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F:\MAGNUM\Mishaun\BLM Sales\Mishaun's Master Spreadsheets\"/>
    </mc:Choice>
  </mc:AlternateContent>
  <xr:revisionPtr revIDLastSave="0" documentId="13_ncr:1_{B7D65BE8-C971-4075-A97F-C6971A9EB397}" xr6:coauthVersionLast="45" xr6:coauthVersionMax="45" xr10:uidLastSave="{00000000-0000-0000-0000-000000000000}"/>
  <bookViews>
    <workbookView xWindow="28680" yWindow="-1845" windowWidth="29040" windowHeight="15840" tabRatio="599" activeTab="1" xr2:uid="{00000000-000D-0000-FFFF-FFFF00000000}"/>
  </bookViews>
  <sheets>
    <sheet name="MASTER" sheetId="1" r:id="rId1"/>
    <sheet name="Summary Table" sheetId="4" r:id="rId2"/>
    <sheet name="Chart1" sheetId="7" r:id="rId3"/>
    <sheet name="GIS" sheetId="3" r:id="rId4"/>
    <sheet name="AMENDMENTS" sheetId="2" r:id="rId5"/>
    <sheet name="Filter List" sheetId="5" r:id="rId6"/>
    <sheet name="Sheet1" sheetId="6" r:id="rId7"/>
  </sheets>
  <definedNames>
    <definedName name="_xlnm._FilterDatabase" localSheetId="0" hidden="1">MASTER!$A$10:$AF$2431</definedName>
    <definedName name="FilterList">'Filter List'!$B:$B</definedName>
    <definedName name="GIS">GIS!$C:$C</definedName>
    <definedName name="_xlnm.Print_Titles" localSheetId="0">MASTER!$4:$10</definedName>
  </definedNames>
  <calcPr calcId="191029" calcMode="autoNoTable" iterate="1"/>
  <pivotCaches>
    <pivotCache cacheId="16" r:id="rId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30" i="1" l="1"/>
  <c r="F1963" i="1" l="1"/>
  <c r="K1963" i="1" s="1"/>
  <c r="F1962" i="1"/>
  <c r="K1962" i="1" s="1"/>
  <c r="F1961" i="1"/>
  <c r="K1961" i="1" s="1"/>
  <c r="F1960" i="1"/>
  <c r="K1960" i="1" s="1"/>
  <c r="F1851" i="1"/>
  <c r="K1851" i="1" s="1"/>
  <c r="F2030" i="1"/>
  <c r="G1969" i="1"/>
  <c r="F1830" i="1"/>
  <c r="F1831" i="1"/>
  <c r="F1832" i="1"/>
  <c r="F1833" i="1"/>
  <c r="F1646" i="1" l="1"/>
  <c r="K1646" i="1" s="1"/>
  <c r="F1648" i="1"/>
  <c r="K1648" i="1" s="1"/>
  <c r="F1649" i="1"/>
  <c r="K1649" i="1" s="1"/>
  <c r="F1650" i="1"/>
  <c r="K1650" i="1" s="1"/>
  <c r="F1651" i="1"/>
  <c r="K1651" i="1" s="1"/>
  <c r="F1652" i="1"/>
  <c r="K1652" i="1" s="1"/>
  <c r="F1653" i="1"/>
  <c r="K1653" i="1" s="1"/>
  <c r="F1654" i="1"/>
  <c r="K1654" i="1" s="1"/>
  <c r="F1655" i="1"/>
  <c r="K1655" i="1" s="1"/>
  <c r="F1656" i="1"/>
  <c r="K1656" i="1" s="1"/>
  <c r="F1657" i="1"/>
  <c r="K1657" i="1" s="1"/>
  <c r="F1658" i="1"/>
  <c r="K1658" i="1" s="1"/>
  <c r="F1660" i="1"/>
  <c r="K1660" i="1" s="1"/>
  <c r="F1661" i="1"/>
  <c r="K1661" i="1" s="1"/>
  <c r="F1662" i="1"/>
  <c r="K1662" i="1" s="1"/>
  <c r="F1663" i="1"/>
  <c r="K1663" i="1" s="1"/>
  <c r="F1664" i="1"/>
  <c r="K1664" i="1" s="1"/>
  <c r="F1665" i="1"/>
  <c r="K1665" i="1" s="1"/>
  <c r="F1666" i="1"/>
  <c r="K1666" i="1" s="1"/>
  <c r="F1667" i="1"/>
  <c r="K1667" i="1" s="1"/>
  <c r="F1668" i="1"/>
  <c r="K1668" i="1" s="1"/>
  <c r="F1669" i="1"/>
  <c r="K1669" i="1" s="1"/>
  <c r="F1670" i="1"/>
  <c r="K1670" i="1" s="1"/>
  <c r="F1671" i="1"/>
  <c r="K1671" i="1" s="1"/>
  <c r="F1672" i="1"/>
  <c r="K1672" i="1" s="1"/>
  <c r="F1673" i="1"/>
  <c r="K1673" i="1" s="1"/>
  <c r="F1674" i="1"/>
  <c r="K1674" i="1" s="1"/>
  <c r="F1676" i="1"/>
  <c r="K1676" i="1" s="1"/>
  <c r="F1677" i="1"/>
  <c r="K1677" i="1" s="1"/>
  <c r="F1678" i="1"/>
  <c r="K1678" i="1" s="1"/>
  <c r="F1679" i="1"/>
  <c r="K1679" i="1" s="1"/>
  <c r="F1680" i="1"/>
  <c r="K1680" i="1" s="1"/>
  <c r="F1681" i="1"/>
  <c r="K1681" i="1" s="1"/>
  <c r="F1682" i="1"/>
  <c r="K1682" i="1" s="1"/>
  <c r="F1683" i="1"/>
  <c r="K1683" i="1" s="1"/>
  <c r="F1684" i="1"/>
  <c r="K1684" i="1" s="1"/>
  <c r="F1685" i="1"/>
  <c r="K1685" i="1" s="1"/>
  <c r="F1686" i="1"/>
  <c r="K1686" i="1" s="1"/>
  <c r="F1687" i="1"/>
  <c r="K1687" i="1" s="1"/>
  <c r="F1688" i="1"/>
  <c r="K1688" i="1" s="1"/>
  <c r="F1689" i="1"/>
  <c r="K1689" i="1" s="1"/>
  <c r="F1690" i="1"/>
  <c r="K1690" i="1" s="1"/>
  <c r="F1691" i="1"/>
  <c r="K1691" i="1" s="1"/>
  <c r="F1692" i="1"/>
  <c r="K1692" i="1" s="1"/>
  <c r="F1693" i="1"/>
  <c r="K1693" i="1" s="1"/>
  <c r="F1694" i="1"/>
  <c r="K1694" i="1" s="1"/>
  <c r="F1695" i="1"/>
  <c r="K1695" i="1" s="1"/>
  <c r="F1696" i="1"/>
  <c r="K1696" i="1" s="1"/>
  <c r="F1697" i="1"/>
  <c r="K1697" i="1" s="1"/>
  <c r="F1698" i="1"/>
  <c r="K1698" i="1" s="1"/>
  <c r="F1643" i="1"/>
  <c r="F1644" i="1"/>
  <c r="K1644" i="1" s="1"/>
  <c r="K1958" i="1"/>
  <c r="K1957" i="1"/>
  <c r="R2062" i="1" l="1"/>
  <c r="T2061" i="1"/>
  <c r="T2062" i="1" s="1"/>
  <c r="S2061" i="1" l="1"/>
  <c r="S2062" i="1" s="1"/>
  <c r="B2061" i="1" l="1"/>
  <c r="R2083" i="1"/>
  <c r="T2082" i="1"/>
  <c r="S2082" i="1" s="1"/>
  <c r="T2081" i="1"/>
  <c r="S2081" i="1" s="1"/>
  <c r="T2080" i="1"/>
  <c r="T2079" i="1"/>
  <c r="S2079" i="1" s="1"/>
  <c r="T2078" i="1"/>
  <c r="S2078" i="1" s="1"/>
  <c r="T2077" i="1"/>
  <c r="S2077" i="1" s="1"/>
  <c r="T2076" i="1"/>
  <c r="S2076" i="1" s="1"/>
  <c r="T2075" i="1"/>
  <c r="S2075" i="1" s="1"/>
  <c r="T2074" i="1"/>
  <c r="T2073" i="1"/>
  <c r="S2073" i="1" s="1"/>
  <c r="T2072" i="1"/>
  <c r="S2072" i="1" s="1"/>
  <c r="T2071" i="1"/>
  <c r="S2071" i="1" s="1"/>
  <c r="T2070" i="1"/>
  <c r="S2070" i="1" s="1"/>
  <c r="T2069" i="1"/>
  <c r="S2069" i="1" s="1"/>
  <c r="T2068" i="1"/>
  <c r="S2068" i="1" s="1"/>
  <c r="T2067" i="1"/>
  <c r="S2067" i="1" s="1"/>
  <c r="S2074" i="1"/>
  <c r="S2080" i="1"/>
  <c r="T2066" i="1"/>
  <c r="S2066" i="1" s="1"/>
  <c r="T2065" i="1"/>
  <c r="S2065" i="1" s="1"/>
  <c r="S2083" i="1" l="1"/>
  <c r="T2083" i="1"/>
  <c r="B2082" i="1" l="1"/>
  <c r="B2065" i="1"/>
  <c r="B2066" i="1"/>
  <c r="B2067" i="1"/>
  <c r="B2068" i="1"/>
  <c r="B2069" i="1"/>
  <c r="B2070" i="1"/>
  <c r="B2071" i="1"/>
  <c r="B2072" i="1"/>
  <c r="B2073" i="1"/>
  <c r="B2074" i="1"/>
  <c r="B2075" i="1"/>
  <c r="B2076" i="1"/>
  <c r="B2077" i="1"/>
  <c r="B2078" i="1"/>
  <c r="B2079" i="1"/>
  <c r="B2080" i="1"/>
  <c r="B2081" i="1"/>
  <c r="F1948" i="1" l="1"/>
  <c r="D18" i="6" l="1"/>
  <c r="C18" i="6"/>
  <c r="F2049" i="1" l="1"/>
  <c r="K2049" i="1" s="1"/>
  <c r="F2050" i="1"/>
  <c r="K2050" i="1" s="1"/>
  <c r="F2051" i="1"/>
  <c r="K2051" i="1" s="1"/>
  <c r="F2052" i="1"/>
  <c r="K2052" i="1" s="1"/>
  <c r="F2053" i="1"/>
  <c r="K2053" i="1" s="1"/>
  <c r="F2054" i="1"/>
  <c r="K2054" i="1" s="1"/>
  <c r="F2055" i="1"/>
  <c r="K2055" i="1" s="1"/>
  <c r="F2056" i="1"/>
  <c r="K2056" i="1" s="1"/>
  <c r="F2057" i="1"/>
  <c r="K2057" i="1" s="1"/>
  <c r="B2057" i="1" l="1"/>
  <c r="B2056" i="1"/>
  <c r="R2058" i="1" l="1"/>
  <c r="T2057" i="1" l="1"/>
  <c r="S2057" i="1" s="1"/>
  <c r="T2056" i="1"/>
  <c r="S2056" i="1" s="1"/>
  <c r="T2051" i="1"/>
  <c r="T2052" i="1"/>
  <c r="R2047" i="1" l="1"/>
  <c r="T2046" i="1"/>
  <c r="S2046" i="1" s="1"/>
  <c r="T2045" i="1"/>
  <c r="S2045" i="1" s="1"/>
  <c r="T2044" i="1"/>
  <c r="S2044" i="1" s="1"/>
  <c r="B2044" i="1"/>
  <c r="B2045" i="1"/>
  <c r="B2046" i="1"/>
  <c r="T2041" i="1"/>
  <c r="S2041" i="1" s="1"/>
  <c r="T2040" i="1"/>
  <c r="S2040" i="1" s="1"/>
  <c r="T2039" i="1"/>
  <c r="S2039" i="1" s="1"/>
  <c r="T2038" i="1"/>
  <c r="S2038" i="1" s="1"/>
  <c r="T2037" i="1"/>
  <c r="S2037" i="1" s="1"/>
  <c r="T2036" i="1"/>
  <c r="S2036" i="1" s="1"/>
  <c r="T2035" i="1"/>
  <c r="S2035" i="1" s="1"/>
  <c r="T2034" i="1"/>
  <c r="S2034" i="1" s="1"/>
  <c r="R2042" i="1"/>
  <c r="B2034" i="1"/>
  <c r="B2035" i="1"/>
  <c r="B2036" i="1"/>
  <c r="B2037" i="1"/>
  <c r="B2038" i="1"/>
  <c r="B2039" i="1"/>
  <c r="B2040" i="1"/>
  <c r="B2041" i="1"/>
  <c r="B2031" i="1"/>
  <c r="T2055" i="1"/>
  <c r="S2055" i="1" s="1"/>
  <c r="T2054" i="1"/>
  <c r="S2054" i="1" s="1"/>
  <c r="T2053" i="1"/>
  <c r="S2053" i="1" s="1"/>
  <c r="S2052" i="1"/>
  <c r="S2051" i="1"/>
  <c r="T2050" i="1"/>
  <c r="S2050" i="1" s="1"/>
  <c r="T2049" i="1"/>
  <c r="B2049" i="1"/>
  <c r="B2050" i="1"/>
  <c r="B2051" i="1"/>
  <c r="B2052" i="1"/>
  <c r="B2053" i="1"/>
  <c r="B2054" i="1"/>
  <c r="B2055" i="1"/>
  <c r="T2058" i="1" l="1"/>
  <c r="S2042" i="1"/>
  <c r="S2049" i="1"/>
  <c r="S2058" i="1" s="1"/>
  <c r="T2047" i="1"/>
  <c r="S2047" i="1"/>
  <c r="T2042" i="1"/>
  <c r="T1948" i="1"/>
  <c r="B1948" i="1"/>
  <c r="F2400" i="1"/>
  <c r="F2395" i="1"/>
  <c r="F2396" i="1"/>
  <c r="B1954" i="1" l="1"/>
  <c r="B1955" i="1"/>
  <c r="B1956" i="1"/>
  <c r="B1957" i="1"/>
  <c r="B1958" i="1"/>
  <c r="B1959" i="1"/>
  <c r="B1960" i="1"/>
  <c r="B1961" i="1"/>
  <c r="B1962" i="1"/>
  <c r="B1963" i="1"/>
  <c r="B1964" i="1"/>
  <c r="T1958" i="1"/>
  <c r="S1958" i="1" s="1"/>
  <c r="T1956" i="1"/>
  <c r="S1956" i="1" s="1"/>
  <c r="T1955" i="1"/>
  <c r="S1955" i="1" s="1"/>
  <c r="T1957" i="1"/>
  <c r="S1957" i="1" s="1"/>
  <c r="T1954" i="1"/>
  <c r="S1954" i="1" s="1"/>
  <c r="S1959" i="1"/>
  <c r="S1960" i="1"/>
  <c r="S1961" i="1"/>
  <c r="S1962" i="1"/>
  <c r="S1963" i="1"/>
  <c r="S1964" i="1"/>
  <c r="R1965" i="1"/>
  <c r="T1965" i="1" l="1"/>
  <c r="S1965" i="1"/>
  <c r="F1347" i="1"/>
  <c r="K1347" i="1" s="1"/>
  <c r="F1348" i="1"/>
  <c r="K1348" i="1" s="1"/>
  <c r="F1349" i="1"/>
  <c r="K1349" i="1" s="1"/>
  <c r="F1350" i="1"/>
  <c r="K1350" i="1" s="1"/>
  <c r="F1351" i="1"/>
  <c r="K1351" i="1" s="1"/>
  <c r="F1352" i="1"/>
  <c r="K1352" i="1" s="1"/>
  <c r="F1353" i="1"/>
  <c r="K1353" i="1" s="1"/>
  <c r="F1354" i="1"/>
  <c r="K1354" i="1" s="1"/>
  <c r="F1355" i="1"/>
  <c r="K1355" i="1" s="1"/>
  <c r="F1356" i="1"/>
  <c r="K1356" i="1" s="1"/>
  <c r="F1357" i="1"/>
  <c r="K1357" i="1" s="1"/>
  <c r="F1358" i="1"/>
  <c r="K1358" i="1" s="1"/>
  <c r="F1359" i="1"/>
  <c r="K1359" i="1" s="1"/>
  <c r="F1360" i="1"/>
  <c r="K1360" i="1" s="1"/>
  <c r="F1361" i="1"/>
  <c r="K1361" i="1" s="1"/>
  <c r="F1362" i="1"/>
  <c r="K1362" i="1" s="1"/>
  <c r="F1363" i="1"/>
  <c r="K1363" i="1" s="1"/>
  <c r="B1355" i="1"/>
  <c r="B1348" i="1"/>
  <c r="B1349" i="1"/>
  <c r="B1350" i="1"/>
  <c r="B1351" i="1"/>
  <c r="B1352" i="1"/>
  <c r="B1353" i="1"/>
  <c r="B1354" i="1"/>
  <c r="B1356" i="1"/>
  <c r="B1357" i="1"/>
  <c r="B1358" i="1"/>
  <c r="B1359" i="1"/>
  <c r="B1360" i="1"/>
  <c r="B1361" i="1"/>
  <c r="B1362" i="1"/>
  <c r="B1363" i="1"/>
  <c r="B1347" i="1"/>
  <c r="B2019" i="1" l="1"/>
  <c r="B2090" i="1"/>
  <c r="B2088" i="1"/>
  <c r="B2305" i="1" l="1"/>
  <c r="B2304" i="1"/>
  <c r="T2031" i="1"/>
  <c r="S2031" i="1" s="1"/>
  <c r="R2027" i="1"/>
  <c r="T2026" i="1"/>
  <c r="S2026" i="1" s="1"/>
  <c r="T2025" i="1"/>
  <c r="S2025" i="1" s="1"/>
  <c r="T2024" i="1"/>
  <c r="R2032" i="1" l="1"/>
  <c r="T2030" i="1"/>
  <c r="S2030" i="1" s="1"/>
  <c r="T2029" i="1"/>
  <c r="S2029" i="1" s="1"/>
  <c r="F2029" i="1"/>
  <c r="F2031" i="1"/>
  <c r="B2029" i="1"/>
  <c r="B2030" i="1"/>
  <c r="T1972" i="1"/>
  <c r="T1971" i="1"/>
  <c r="T1970" i="1"/>
  <c r="T1969" i="1"/>
  <c r="T1968" i="1"/>
  <c r="T2420" i="1"/>
  <c r="S2420" i="1" s="1"/>
  <c r="T2419" i="1"/>
  <c r="S2419" i="1" s="1"/>
  <c r="T2418" i="1"/>
  <c r="S2418" i="1" s="1"/>
  <c r="T2417" i="1"/>
  <c r="S2417" i="1" s="1"/>
  <c r="T2416" i="1"/>
  <c r="S2416" i="1" s="1"/>
  <c r="T2415" i="1"/>
  <c r="S2415" i="1" s="1"/>
  <c r="T2414" i="1"/>
  <c r="S2414" i="1" s="1"/>
  <c r="T2413" i="1"/>
  <c r="S2413" i="1" s="1"/>
  <c r="T2412" i="1"/>
  <c r="S2412" i="1" s="1"/>
  <c r="T2411" i="1"/>
  <c r="S2411" i="1" s="1"/>
  <c r="T2410" i="1"/>
  <c r="S2410" i="1" s="1"/>
  <c r="T2409" i="1"/>
  <c r="S2409" i="1" s="1"/>
  <c r="T2408" i="1"/>
  <c r="S2408" i="1" s="1"/>
  <c r="T2407" i="1"/>
  <c r="S2407" i="1" s="1"/>
  <c r="T2406" i="1"/>
  <c r="S2406" i="1" s="1"/>
  <c r="T2405" i="1"/>
  <c r="R2421" i="1"/>
  <c r="T2404" i="1"/>
  <c r="S2404" i="1" s="1"/>
  <c r="T2403" i="1"/>
  <c r="S2403" i="1" s="1"/>
  <c r="T2423" i="1"/>
  <c r="S2423" i="1" s="1"/>
  <c r="T2425" i="1"/>
  <c r="S2425" i="1" s="1"/>
  <c r="T2426" i="1"/>
  <c r="S2426" i="1" s="1"/>
  <c r="T2427" i="1"/>
  <c r="S2427" i="1" s="1"/>
  <c r="T2428" i="1"/>
  <c r="S2428" i="1" s="1"/>
  <c r="T2429" i="1"/>
  <c r="S2429" i="1" s="1"/>
  <c r="T2424" i="1"/>
  <c r="S2424" i="1" s="1"/>
  <c r="R2431" i="1"/>
  <c r="T2023" i="1"/>
  <c r="S2023" i="1" s="1"/>
  <c r="T2022" i="1"/>
  <c r="S2022" i="1" s="1"/>
  <c r="S2024" i="1"/>
  <c r="T2021" i="1"/>
  <c r="S2021" i="1" s="1"/>
  <c r="T2020" i="1"/>
  <c r="T2032" i="1" l="1"/>
  <c r="T2431" i="1"/>
  <c r="S2032" i="1"/>
  <c r="S2431" i="1"/>
  <c r="T2421" i="1"/>
  <c r="S2405" i="1"/>
  <c r="S2421" i="1" s="1"/>
  <c r="F2021" i="1"/>
  <c r="F2022" i="1"/>
  <c r="F2023" i="1"/>
  <c r="F2024" i="1"/>
  <c r="F2025" i="1"/>
  <c r="F2026" i="1"/>
  <c r="F2020" i="1"/>
  <c r="B2022" i="1"/>
  <c r="B2023" i="1"/>
  <c r="B2024" i="1"/>
  <c r="B2025" i="1"/>
  <c r="B2026" i="1"/>
  <c r="B2018" i="1"/>
  <c r="B2020" i="1"/>
  <c r="B2021" i="1"/>
  <c r="S2020" i="1" l="1"/>
  <c r="T2019" i="1"/>
  <c r="S2019" i="1" s="1"/>
  <c r="T2018" i="1"/>
  <c r="F2018" i="1"/>
  <c r="F2019" i="1"/>
  <c r="F2014" i="1"/>
  <c r="T2027" i="1" l="1"/>
  <c r="S2018" i="1"/>
  <c r="S2027" i="1" s="1"/>
  <c r="R2015" i="1"/>
  <c r="T2014" i="1"/>
  <c r="S2014" i="1" s="1"/>
  <c r="T2013" i="1"/>
  <c r="S2013" i="1" s="1"/>
  <c r="T2012" i="1"/>
  <c r="S2012" i="1" s="1"/>
  <c r="T2011" i="1"/>
  <c r="S2011" i="1" s="1"/>
  <c r="T2010" i="1"/>
  <c r="S2010" i="1" s="1"/>
  <c r="T2009" i="1"/>
  <c r="S2009" i="1" s="1"/>
  <c r="T2008" i="1"/>
  <c r="S2008" i="1" s="1"/>
  <c r="T2007" i="1"/>
  <c r="S2007" i="1" s="1"/>
  <c r="T2006" i="1"/>
  <c r="S2006" i="1" s="1"/>
  <c r="T2005" i="1"/>
  <c r="S2005" i="1" s="1"/>
  <c r="F2005" i="1"/>
  <c r="F2006" i="1"/>
  <c r="F2007" i="1"/>
  <c r="F2008" i="1"/>
  <c r="F2009" i="1"/>
  <c r="F2010" i="1"/>
  <c r="F2011" i="1"/>
  <c r="F2012" i="1"/>
  <c r="F2013" i="1"/>
  <c r="B2005" i="1"/>
  <c r="B2006" i="1"/>
  <c r="B2007" i="1"/>
  <c r="B2008" i="1"/>
  <c r="B2009" i="1"/>
  <c r="B2010" i="1"/>
  <c r="B2011" i="1"/>
  <c r="B2012" i="1"/>
  <c r="B2013" i="1"/>
  <c r="B2014" i="1"/>
  <c r="T2015" i="1" l="1"/>
  <c r="S2015" i="1"/>
  <c r="F2305" i="1"/>
  <c r="F2404" i="1" l="1"/>
  <c r="B13" i="1" l="1"/>
  <c r="B11" i="1"/>
  <c r="S1977" i="1" l="1"/>
  <c r="R2002" i="1"/>
  <c r="T2001" i="1"/>
  <c r="S2001" i="1" s="1"/>
  <c r="T2000" i="1"/>
  <c r="S2000" i="1" s="1"/>
  <c r="T1996" i="1"/>
  <c r="S1996" i="1" s="1"/>
  <c r="S1978" i="1"/>
  <c r="S1976" i="1"/>
  <c r="T1992" i="1"/>
  <c r="S1992" i="1" s="1"/>
  <c r="T1991" i="1"/>
  <c r="S1991" i="1" s="1"/>
  <c r="T1990" i="1"/>
  <c r="S1990" i="1" s="1"/>
  <c r="T1989" i="1"/>
  <c r="S1989" i="1" s="1"/>
  <c r="T1988" i="1"/>
  <c r="S1988" i="1" s="1"/>
  <c r="T1987" i="1"/>
  <c r="S1987" i="1" s="1"/>
  <c r="T1986" i="1"/>
  <c r="S1986" i="1" s="1"/>
  <c r="T1985" i="1"/>
  <c r="S1985" i="1" s="1"/>
  <c r="T1984" i="1"/>
  <c r="S1984" i="1" s="1"/>
  <c r="T1983" i="1"/>
  <c r="S1983" i="1" s="1"/>
  <c r="T1982" i="1"/>
  <c r="S1982" i="1" s="1"/>
  <c r="T1981" i="1"/>
  <c r="S1981" i="1" s="1"/>
  <c r="T1980" i="1"/>
  <c r="S1980" i="1" s="1"/>
  <c r="T1979" i="1"/>
  <c r="S1979" i="1" s="1"/>
  <c r="F1968" i="1"/>
  <c r="F1969" i="1"/>
  <c r="F1970" i="1"/>
  <c r="F1971" i="1"/>
  <c r="F1972" i="1"/>
  <c r="F1976" i="1"/>
  <c r="F1977" i="1"/>
  <c r="F1978" i="1"/>
  <c r="F1979" i="1"/>
  <c r="F1980" i="1"/>
  <c r="F1981" i="1"/>
  <c r="F1982" i="1"/>
  <c r="F1983" i="1"/>
  <c r="F1984" i="1"/>
  <c r="F1985" i="1"/>
  <c r="F1986" i="1"/>
  <c r="F1987" i="1"/>
  <c r="F1988" i="1"/>
  <c r="F1989" i="1"/>
  <c r="F1990" i="1"/>
  <c r="F1991" i="1"/>
  <c r="F1992" i="1"/>
  <c r="F1996" i="1"/>
  <c r="F2000" i="1"/>
  <c r="F2001" i="1"/>
  <c r="F1932" i="1"/>
  <c r="F1936" i="1"/>
  <c r="F1937" i="1"/>
  <c r="F1938" i="1"/>
  <c r="F1939" i="1"/>
  <c r="F1940" i="1"/>
  <c r="F1941" i="1"/>
  <c r="F1942" i="1"/>
  <c r="F1943" i="1"/>
  <c r="F1946" i="1"/>
  <c r="F1947" i="1"/>
  <c r="F1949" i="1"/>
  <c r="F1950" i="1"/>
  <c r="F1951" i="1"/>
  <c r="B1976" i="1"/>
  <c r="B1977" i="1"/>
  <c r="B1978" i="1"/>
  <c r="B1979" i="1"/>
  <c r="B1980" i="1"/>
  <c r="B1981" i="1"/>
  <c r="B1982" i="1"/>
  <c r="B1983" i="1"/>
  <c r="B1984" i="1"/>
  <c r="B1985" i="1"/>
  <c r="B1986" i="1"/>
  <c r="B1987" i="1"/>
  <c r="B1988" i="1"/>
  <c r="B1989" i="1"/>
  <c r="B1990" i="1"/>
  <c r="B1991" i="1"/>
  <c r="B1992" i="1"/>
  <c r="B1996" i="1"/>
  <c r="B2000" i="1"/>
  <c r="B2001" i="1"/>
  <c r="T2002" i="1" l="1"/>
  <c r="S2002" i="1"/>
  <c r="R1972" i="1"/>
  <c r="S1972" i="1" s="1"/>
  <c r="R1971" i="1"/>
  <c r="R1970" i="1"/>
  <c r="R1969" i="1"/>
  <c r="R1968" i="1"/>
  <c r="B1968" i="1"/>
  <c r="B1969" i="1"/>
  <c r="B1970" i="1"/>
  <c r="B1971" i="1"/>
  <c r="B1972" i="1"/>
  <c r="S1970" i="1" l="1"/>
  <c r="T1973" i="1"/>
  <c r="R1973" i="1"/>
  <c r="S1968" i="1"/>
  <c r="S1969" i="1"/>
  <c r="S1971" i="1"/>
  <c r="T1951" i="1"/>
  <c r="R1951" i="1"/>
  <c r="T1950" i="1"/>
  <c r="S1950" i="1" s="1"/>
  <c r="T1949" i="1"/>
  <c r="S1949" i="1" s="1"/>
  <c r="T1947" i="1"/>
  <c r="R1947" i="1"/>
  <c r="T1946" i="1"/>
  <c r="R1946" i="1"/>
  <c r="R1952" i="1" l="1"/>
  <c r="T1952" i="1"/>
  <c r="S1951" i="1"/>
  <c r="S1947" i="1"/>
  <c r="S1973" i="1"/>
  <c r="S1946" i="1"/>
  <c r="B1946" i="1"/>
  <c r="B1947" i="1"/>
  <c r="B1949" i="1"/>
  <c r="B1950" i="1"/>
  <c r="B1951" i="1"/>
  <c r="S1952" i="1" l="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79"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6"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2088"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0"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6" i="1"/>
  <c r="AF2307" i="1"/>
  <c r="AF2308" i="1"/>
  <c r="AF2309" i="1"/>
  <c r="AF2310" i="1"/>
  <c r="AF2311" i="1"/>
  <c r="AF2312" i="1"/>
  <c r="AF2313" i="1"/>
  <c r="AF2314" i="1"/>
  <c r="AF2315"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7"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19" i="1"/>
  <c r="AF2420" i="1"/>
  <c r="AF2421" i="1"/>
  <c r="AF2422" i="1"/>
  <c r="AF2423" i="1"/>
  <c r="AF2424" i="1"/>
  <c r="AF2425" i="1"/>
  <c r="AF2426" i="1"/>
  <c r="AF2427" i="1"/>
  <c r="AF2428" i="1"/>
  <c r="AF2429" i="1"/>
  <c r="AF2431" i="1"/>
  <c r="AF11" i="1"/>
  <c r="AF2430" i="1" l="1"/>
  <c r="F1640" i="1"/>
  <c r="K779" i="1" l="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W3" i="1" l="1"/>
  <c r="F2429" i="1"/>
  <c r="K2429" i="1" s="1"/>
  <c r="F2428" i="1"/>
  <c r="K2428" i="1" s="1"/>
  <c r="F2427" i="1"/>
  <c r="K2427" i="1" s="1"/>
  <c r="F2426" i="1"/>
  <c r="K2426" i="1" s="1"/>
  <c r="F2425" i="1"/>
  <c r="K2425" i="1" s="1"/>
  <c r="F2424" i="1"/>
  <c r="K2424" i="1" s="1"/>
  <c r="F2423" i="1"/>
  <c r="K2423" i="1" s="1"/>
  <c r="F2420" i="1"/>
  <c r="K2420" i="1" s="1"/>
  <c r="F2419" i="1"/>
  <c r="K2419" i="1" s="1"/>
  <c r="F2418" i="1"/>
  <c r="K2418" i="1" s="1"/>
  <c r="F2417" i="1"/>
  <c r="K2417" i="1" s="1"/>
  <c r="F2416" i="1"/>
  <c r="K2416" i="1" s="1"/>
  <c r="F2415" i="1"/>
  <c r="K2415" i="1" s="1"/>
  <c r="F2414" i="1"/>
  <c r="K2414" i="1" s="1"/>
  <c r="F2413" i="1"/>
  <c r="K2413" i="1" s="1"/>
  <c r="F2412" i="1"/>
  <c r="K2412" i="1" s="1"/>
  <c r="F2411" i="1"/>
  <c r="K2411" i="1" s="1"/>
  <c r="F2410" i="1"/>
  <c r="K2410" i="1" s="1"/>
  <c r="F2409" i="1"/>
  <c r="K2409" i="1" s="1"/>
  <c r="F2408" i="1"/>
  <c r="K2408" i="1" s="1"/>
  <c r="F2407" i="1"/>
  <c r="K2407" i="1" s="1"/>
  <c r="F2406" i="1"/>
  <c r="K2406" i="1" s="1"/>
  <c r="F2405" i="1"/>
  <c r="K2405" i="1" s="1"/>
  <c r="K2404" i="1"/>
  <c r="F2403" i="1"/>
  <c r="K2403" i="1" s="1"/>
  <c r="K2400" i="1"/>
  <c r="F2399" i="1"/>
  <c r="K2399" i="1" s="1"/>
  <c r="F2398" i="1"/>
  <c r="K2398" i="1" s="1"/>
  <c r="F2397" i="1"/>
  <c r="K2397" i="1" s="1"/>
  <c r="K2396" i="1"/>
  <c r="K2395" i="1"/>
  <c r="F2394" i="1"/>
  <c r="K2394" i="1" s="1"/>
  <c r="F2393" i="1"/>
  <c r="K2393" i="1" s="1"/>
  <c r="F2392" i="1"/>
  <c r="K2392" i="1" s="1"/>
  <c r="F2391" i="1"/>
  <c r="K2391" i="1" s="1"/>
  <c r="F2390" i="1"/>
  <c r="K2390" i="1" s="1"/>
  <c r="F2387" i="1"/>
  <c r="K2387" i="1" s="1"/>
  <c r="F2386" i="1"/>
  <c r="K2386" i="1" s="1"/>
  <c r="F2385" i="1"/>
  <c r="K2385" i="1" s="1"/>
  <c r="F2384" i="1"/>
  <c r="K2384" i="1" s="1"/>
  <c r="F2383" i="1"/>
  <c r="K2383" i="1" s="1"/>
  <c r="F2382" i="1"/>
  <c r="K2382" i="1" s="1"/>
  <c r="F2381" i="1"/>
  <c r="K2381" i="1" s="1"/>
  <c r="F2380" i="1"/>
  <c r="K2380" i="1" s="1"/>
  <c r="F2379" i="1"/>
  <c r="K2379" i="1" s="1"/>
  <c r="F2378" i="1"/>
  <c r="K2378" i="1" s="1"/>
  <c r="F2375" i="1"/>
  <c r="K2375" i="1" s="1"/>
  <c r="F2374" i="1"/>
  <c r="K2374" i="1" s="1"/>
  <c r="F2373" i="1"/>
  <c r="K2373" i="1" s="1"/>
  <c r="F2372" i="1"/>
  <c r="K2372" i="1" s="1"/>
  <c r="F2371" i="1"/>
  <c r="K2371" i="1" s="1"/>
  <c r="F2370" i="1"/>
  <c r="K2370" i="1" s="1"/>
  <c r="F2369" i="1"/>
  <c r="K2369" i="1" s="1"/>
  <c r="F2368" i="1"/>
  <c r="K2368" i="1" s="1"/>
  <c r="F2367" i="1"/>
  <c r="K2367" i="1" s="1"/>
  <c r="F2366" i="1"/>
  <c r="K2366" i="1" s="1"/>
  <c r="F2365" i="1"/>
  <c r="K2365" i="1" s="1"/>
  <c r="F2362" i="1"/>
  <c r="K2362" i="1" s="1"/>
  <c r="F2361" i="1"/>
  <c r="K2361" i="1" s="1"/>
  <c r="F2360" i="1"/>
  <c r="K2360" i="1" s="1"/>
  <c r="F2359" i="1"/>
  <c r="K2359" i="1" s="1"/>
  <c r="F2358" i="1"/>
  <c r="K2358" i="1" s="1"/>
  <c r="F2357" i="1"/>
  <c r="K2357" i="1" s="1"/>
  <c r="F2356" i="1"/>
  <c r="K2356" i="1" s="1"/>
  <c r="F2355" i="1"/>
  <c r="K2355" i="1" s="1"/>
  <c r="F2354" i="1"/>
  <c r="K2354" i="1" s="1"/>
  <c r="F2353" i="1"/>
  <c r="K2353" i="1" s="1"/>
  <c r="F2350" i="1"/>
  <c r="K2350" i="1" s="1"/>
  <c r="F2349" i="1"/>
  <c r="K2349" i="1" s="1"/>
  <c r="F2346" i="1"/>
  <c r="K2346" i="1" s="1"/>
  <c r="F2345" i="1"/>
  <c r="K2345" i="1" s="1"/>
  <c r="F2344" i="1"/>
  <c r="K2344" i="1" s="1"/>
  <c r="F2343" i="1"/>
  <c r="K2343" i="1" s="1"/>
  <c r="F2341" i="1"/>
  <c r="K2341" i="1" s="1"/>
  <c r="F2338" i="1"/>
  <c r="K2338" i="1" s="1"/>
  <c r="F2337" i="1"/>
  <c r="K2337" i="1" s="1"/>
  <c r="F2334" i="1"/>
  <c r="K2334" i="1" s="1"/>
  <c r="F2333" i="1"/>
  <c r="K2333" i="1" s="1"/>
  <c r="F2332" i="1"/>
  <c r="K2332" i="1" s="1"/>
  <c r="F2331" i="1"/>
  <c r="K2331" i="1" s="1"/>
  <c r="F2330" i="1"/>
  <c r="K2330" i="1" s="1"/>
  <c r="F2329" i="1"/>
  <c r="K2329" i="1" s="1"/>
  <c r="F2328" i="1"/>
  <c r="K2328" i="1" s="1"/>
  <c r="F2327" i="1"/>
  <c r="K2327" i="1" s="1"/>
  <c r="F2324" i="1"/>
  <c r="K2324" i="1" s="1"/>
  <c r="F2323" i="1"/>
  <c r="K2323" i="1" s="1"/>
  <c r="F2322" i="1"/>
  <c r="K2322" i="1" s="1"/>
  <c r="F2321" i="1"/>
  <c r="K2321" i="1" s="1"/>
  <c r="F2320" i="1"/>
  <c r="K2320" i="1" s="1"/>
  <c r="F2319" i="1"/>
  <c r="K2319" i="1" s="1"/>
  <c r="F2318" i="1"/>
  <c r="K2318" i="1" s="1"/>
  <c r="F2317" i="1"/>
  <c r="K2317" i="1" s="1"/>
  <c r="F2316" i="1"/>
  <c r="K2316" i="1" s="1"/>
  <c r="F2315" i="1"/>
  <c r="K2315" i="1" s="1"/>
  <c r="F2314" i="1"/>
  <c r="K2314" i="1" s="1"/>
  <c r="F2313" i="1"/>
  <c r="K2313" i="1" s="1"/>
  <c r="F2310" i="1"/>
  <c r="K2310" i="1" s="1"/>
  <c r="F2309" i="1"/>
  <c r="K2309" i="1" s="1"/>
  <c r="F2308" i="1"/>
  <c r="K2308" i="1" s="1"/>
  <c r="F2307" i="1"/>
  <c r="K2307" i="1" s="1"/>
  <c r="F2306" i="1"/>
  <c r="K2306" i="1" s="1"/>
  <c r="F2304" i="1"/>
  <c r="K2304" i="1" s="1"/>
  <c r="F2303" i="1"/>
  <c r="K2303" i="1" s="1"/>
  <c r="F2300" i="1"/>
  <c r="K2300" i="1" s="1"/>
  <c r="F2299" i="1"/>
  <c r="K2299" i="1" s="1"/>
  <c r="F2298" i="1"/>
  <c r="K2298" i="1" s="1"/>
  <c r="F2297" i="1"/>
  <c r="K2297" i="1" s="1"/>
  <c r="F2296" i="1"/>
  <c r="K2296" i="1" s="1"/>
  <c r="F2295" i="1"/>
  <c r="K2295" i="1" s="1"/>
  <c r="F2292" i="1"/>
  <c r="K2292" i="1" s="1"/>
  <c r="F2291" i="1"/>
  <c r="K2291" i="1" s="1"/>
  <c r="F2290" i="1"/>
  <c r="K2290" i="1" s="1"/>
  <c r="F2289" i="1"/>
  <c r="K2289" i="1" s="1"/>
  <c r="F2288" i="1"/>
  <c r="K2288" i="1" s="1"/>
  <c r="F2287" i="1"/>
  <c r="K2287" i="1" s="1"/>
  <c r="F2286" i="1"/>
  <c r="K2286" i="1" s="1"/>
  <c r="F2285" i="1"/>
  <c r="K2285" i="1" s="1"/>
  <c r="F2284" i="1"/>
  <c r="K2284" i="1" s="1"/>
  <c r="F2283" i="1"/>
  <c r="K2283" i="1" s="1"/>
  <c r="F2282" i="1"/>
  <c r="K2282" i="1" s="1"/>
  <c r="F2281" i="1"/>
  <c r="K2281" i="1" s="1"/>
  <c r="F2280" i="1"/>
  <c r="K2280" i="1" s="1"/>
  <c r="F2279" i="1"/>
  <c r="K2279" i="1" s="1"/>
  <c r="F2278" i="1"/>
  <c r="K2278" i="1" s="1"/>
  <c r="F2277" i="1"/>
  <c r="K2277" i="1" s="1"/>
  <c r="F2276" i="1"/>
  <c r="K2276" i="1" s="1"/>
  <c r="F2275" i="1"/>
  <c r="K2275" i="1" s="1"/>
  <c r="F2274" i="1"/>
  <c r="K2274" i="1" s="1"/>
  <c r="F2273" i="1"/>
  <c r="K2273" i="1" s="1"/>
  <c r="F2272" i="1"/>
  <c r="K2272" i="1" s="1"/>
  <c r="F2271" i="1"/>
  <c r="K2271" i="1" s="1"/>
  <c r="F2270" i="1"/>
  <c r="K2270" i="1" s="1"/>
  <c r="F2269" i="1"/>
  <c r="K2269" i="1" s="1"/>
  <c r="F2266" i="1"/>
  <c r="K2266" i="1" s="1"/>
  <c r="F2265" i="1"/>
  <c r="K2265" i="1" s="1"/>
  <c r="F2264" i="1"/>
  <c r="K2264" i="1" s="1"/>
  <c r="F2263" i="1"/>
  <c r="K2263" i="1" s="1"/>
  <c r="F2262" i="1"/>
  <c r="K2262" i="1" s="1"/>
  <c r="F2261" i="1"/>
  <c r="K2261" i="1" s="1"/>
  <c r="F2260" i="1"/>
  <c r="K2260" i="1" s="1"/>
  <c r="F2259" i="1"/>
  <c r="K2259" i="1" s="1"/>
  <c r="F2258" i="1"/>
  <c r="K2258" i="1" s="1"/>
  <c r="F2257" i="1"/>
  <c r="K2257" i="1" s="1"/>
  <c r="F2256" i="1"/>
  <c r="K2256" i="1" s="1"/>
  <c r="F2255" i="1"/>
  <c r="K2255" i="1" s="1"/>
  <c r="F2253" i="1"/>
  <c r="K2253" i="1" s="1"/>
  <c r="F2252" i="1"/>
  <c r="K2252" i="1" s="1"/>
  <c r="F2250" i="1"/>
  <c r="K2250" i="1" s="1"/>
  <c r="F2246" i="1"/>
  <c r="K2246" i="1" s="1"/>
  <c r="F2245" i="1"/>
  <c r="K2245" i="1" s="1"/>
  <c r="F2244" i="1"/>
  <c r="K2244" i="1" s="1"/>
  <c r="F2243" i="1"/>
  <c r="K2243" i="1" s="1"/>
  <c r="F2242" i="1"/>
  <c r="K2242" i="1" s="1"/>
  <c r="F2241" i="1"/>
  <c r="K2241" i="1" s="1"/>
  <c r="F2240" i="1"/>
  <c r="K2240" i="1" s="1"/>
  <c r="F2239" i="1"/>
  <c r="K2239" i="1" s="1"/>
  <c r="F2238" i="1"/>
  <c r="K2238" i="1" s="1"/>
  <c r="F2237" i="1"/>
  <c r="K2237" i="1" s="1"/>
  <c r="F2236" i="1"/>
  <c r="K2236" i="1" s="1"/>
  <c r="F2235" i="1"/>
  <c r="K2235" i="1" s="1"/>
  <c r="F2234" i="1"/>
  <c r="K2234" i="1" s="1"/>
  <c r="F2233" i="1"/>
  <c r="K2233" i="1" s="1"/>
  <c r="F2229" i="1"/>
  <c r="K2229" i="1" s="1"/>
  <c r="F2228" i="1"/>
  <c r="K2228" i="1" s="1"/>
  <c r="F2227" i="1"/>
  <c r="K2227" i="1" s="1"/>
  <c r="F2226" i="1"/>
  <c r="K2226" i="1" s="1"/>
  <c r="F2225" i="1"/>
  <c r="K2225" i="1" s="1"/>
  <c r="F2224" i="1"/>
  <c r="K2224" i="1" s="1"/>
  <c r="F2222" i="1"/>
  <c r="K2222" i="1" s="1"/>
  <c r="F2220" i="1"/>
  <c r="K2220" i="1" s="1"/>
  <c r="F2216" i="1"/>
  <c r="K2216" i="1" s="1"/>
  <c r="F2215" i="1"/>
  <c r="K2215" i="1" s="1"/>
  <c r="F2214" i="1"/>
  <c r="K2214" i="1" s="1"/>
  <c r="F2213" i="1"/>
  <c r="K2213" i="1" s="1"/>
  <c r="F2212" i="1"/>
  <c r="K2212" i="1" s="1"/>
  <c r="F2211" i="1"/>
  <c r="K2211" i="1" s="1"/>
  <c r="F2210" i="1"/>
  <c r="K2210" i="1" s="1"/>
  <c r="F2209" i="1"/>
  <c r="K2209" i="1" s="1"/>
  <c r="F2208" i="1"/>
  <c r="K2208" i="1" s="1"/>
  <c r="F2207" i="1"/>
  <c r="K2207" i="1" s="1"/>
  <c r="F2206" i="1"/>
  <c r="K2206" i="1" s="1"/>
  <c r="F2202" i="1"/>
  <c r="K2202" i="1" s="1"/>
  <c r="F2201" i="1"/>
  <c r="K2201" i="1" s="1"/>
  <c r="F2200" i="1"/>
  <c r="K2200" i="1" s="1"/>
  <c r="F2199" i="1"/>
  <c r="K2199" i="1" s="1"/>
  <c r="F2198" i="1"/>
  <c r="K2198" i="1" s="1"/>
  <c r="F2197" i="1"/>
  <c r="K2197" i="1" s="1"/>
  <c r="F2196" i="1"/>
  <c r="K2196" i="1" s="1"/>
  <c r="F2192" i="1"/>
  <c r="K2192" i="1" s="1"/>
  <c r="F2188" i="1"/>
  <c r="K2188" i="1" s="1"/>
  <c r="F2187" i="1"/>
  <c r="K2187" i="1" s="1"/>
  <c r="F2186" i="1"/>
  <c r="K2186" i="1" s="1"/>
  <c r="F2185" i="1"/>
  <c r="K2185" i="1" s="1"/>
  <c r="F2184" i="1"/>
  <c r="K2184" i="1" s="1"/>
  <c r="F2183" i="1"/>
  <c r="K2183" i="1" s="1"/>
  <c r="F2182" i="1"/>
  <c r="K2182" i="1" s="1"/>
  <c r="F2181" i="1"/>
  <c r="K2181" i="1" s="1"/>
  <c r="F2180" i="1"/>
  <c r="K2180" i="1" s="1"/>
  <c r="F2179" i="1"/>
  <c r="K2179" i="1" s="1"/>
  <c r="F2178" i="1"/>
  <c r="K2178" i="1" s="1"/>
  <c r="F2177" i="1"/>
  <c r="K2177" i="1" s="1"/>
  <c r="F2176" i="1"/>
  <c r="K2176" i="1" s="1"/>
  <c r="F2175" i="1"/>
  <c r="K2175" i="1" s="1"/>
  <c r="F2171" i="1"/>
  <c r="K2171" i="1" s="1"/>
  <c r="F2170" i="1"/>
  <c r="K2170" i="1" s="1"/>
  <c r="F2169" i="1"/>
  <c r="K2169" i="1" s="1"/>
  <c r="F2168" i="1"/>
  <c r="K2168" i="1" s="1"/>
  <c r="F2167" i="1"/>
  <c r="K2167" i="1" s="1"/>
  <c r="F2166" i="1"/>
  <c r="K2166" i="1" s="1"/>
  <c r="F2165" i="1"/>
  <c r="K2165" i="1" s="1"/>
  <c r="F2164" i="1"/>
  <c r="K2164" i="1" s="1"/>
  <c r="F2163" i="1"/>
  <c r="K2163" i="1" s="1"/>
  <c r="F2162" i="1"/>
  <c r="K2162" i="1" s="1"/>
  <c r="F2161" i="1"/>
  <c r="K2161" i="1" s="1"/>
  <c r="F2160" i="1"/>
  <c r="K2160" i="1" s="1"/>
  <c r="F2155" i="1"/>
  <c r="K2155" i="1" s="1"/>
  <c r="F2154" i="1"/>
  <c r="K2154" i="1" s="1"/>
  <c r="F2153" i="1"/>
  <c r="K2153" i="1" s="1"/>
  <c r="F2152" i="1"/>
  <c r="K2152" i="1" s="1"/>
  <c r="F2151" i="1"/>
  <c r="K2151" i="1" s="1"/>
  <c r="F2150" i="1"/>
  <c r="K2150" i="1" s="1"/>
  <c r="F2149" i="1"/>
  <c r="K2149" i="1" s="1"/>
  <c r="F2148" i="1"/>
  <c r="K2148" i="1" s="1"/>
  <c r="F2147" i="1"/>
  <c r="K2147" i="1" s="1"/>
  <c r="F2146" i="1"/>
  <c r="K2146" i="1" s="1"/>
  <c r="F2145" i="1"/>
  <c r="K2145" i="1" s="1"/>
  <c r="F2144" i="1"/>
  <c r="K2144" i="1" s="1"/>
  <c r="F2143" i="1"/>
  <c r="K2143" i="1" s="1"/>
  <c r="F2142" i="1"/>
  <c r="K2142" i="1" s="1"/>
  <c r="F2141" i="1"/>
  <c r="K2141" i="1" s="1"/>
  <c r="F2137" i="1"/>
  <c r="K2137" i="1" s="1"/>
  <c r="F2136" i="1"/>
  <c r="K2136" i="1" s="1"/>
  <c r="F2135" i="1"/>
  <c r="K2135" i="1" s="1"/>
  <c r="F2134" i="1"/>
  <c r="K2134" i="1" s="1"/>
  <c r="F2133" i="1"/>
  <c r="K2133" i="1" s="1"/>
  <c r="F2132" i="1"/>
  <c r="K2132" i="1" s="1"/>
  <c r="F2131" i="1"/>
  <c r="K2131" i="1" s="1"/>
  <c r="F2130" i="1"/>
  <c r="K2130" i="1" s="1"/>
  <c r="F2129" i="1"/>
  <c r="K2129" i="1" s="1"/>
  <c r="F2128" i="1"/>
  <c r="K2128" i="1" s="1"/>
  <c r="F2127" i="1"/>
  <c r="K2127" i="1" s="1"/>
  <c r="F2126" i="1"/>
  <c r="K2126" i="1" s="1"/>
  <c r="F2125" i="1"/>
  <c r="K2125" i="1" s="1"/>
  <c r="F2124" i="1"/>
  <c r="K2124" i="1" s="1"/>
  <c r="F2120" i="1"/>
  <c r="K2120" i="1" s="1"/>
  <c r="F2119" i="1"/>
  <c r="K2119" i="1" s="1"/>
  <c r="F2115" i="1"/>
  <c r="K2115" i="1" s="1"/>
  <c r="F2114" i="1"/>
  <c r="K2114" i="1" s="1"/>
  <c r="F2113" i="1"/>
  <c r="K2113" i="1" s="1"/>
  <c r="F2112" i="1"/>
  <c r="K2112" i="1" s="1"/>
  <c r="F2111" i="1"/>
  <c r="K2111" i="1" s="1"/>
  <c r="F2110" i="1"/>
  <c r="K2110" i="1" s="1"/>
  <c r="F2108" i="1"/>
  <c r="K2108" i="1" s="1"/>
  <c r="F2107" i="1"/>
  <c r="K2107" i="1" s="1"/>
  <c r="F2105" i="1"/>
  <c r="K2105" i="1" s="1"/>
  <c r="F2104" i="1"/>
  <c r="K2104" i="1" s="1"/>
  <c r="F2103" i="1"/>
  <c r="K2103" i="1" s="1"/>
  <c r="F2102" i="1"/>
  <c r="K2102" i="1" s="1"/>
  <c r="F2101" i="1"/>
  <c r="K2101" i="1" s="1"/>
  <c r="F2100" i="1"/>
  <c r="K2100" i="1" s="1"/>
  <c r="F2099" i="1"/>
  <c r="K2099" i="1" s="1"/>
  <c r="F2098" i="1"/>
  <c r="K2098" i="1" s="1"/>
  <c r="F2097" i="1"/>
  <c r="K2097" i="1" s="1"/>
  <c r="F2096" i="1"/>
  <c r="K2096" i="1" s="1"/>
  <c r="F2095" i="1"/>
  <c r="K2095" i="1" s="1"/>
  <c r="F2094" i="1"/>
  <c r="K2094" i="1" s="1"/>
  <c r="F2093" i="1"/>
  <c r="K2093" i="1" s="1"/>
  <c r="F2092" i="1"/>
  <c r="K2092" i="1" s="1"/>
  <c r="F2090" i="1"/>
  <c r="K2090" i="1" s="1"/>
  <c r="F2088" i="1"/>
  <c r="K2088" i="1" s="1"/>
  <c r="K1943" i="1"/>
  <c r="B2092" i="1"/>
  <c r="B2093" i="1"/>
  <c r="B2094" i="1"/>
  <c r="B2095" i="1"/>
  <c r="B2096" i="1"/>
  <c r="B2097" i="1"/>
  <c r="B2098" i="1"/>
  <c r="B2099" i="1"/>
  <c r="B2100" i="1"/>
  <c r="B2101" i="1"/>
  <c r="B2102" i="1"/>
  <c r="B2103" i="1"/>
  <c r="B2104" i="1"/>
  <c r="B2105" i="1"/>
  <c r="B2107" i="1"/>
  <c r="B2108" i="1"/>
  <c r="B2110" i="1"/>
  <c r="B2111" i="1"/>
  <c r="B2112" i="1"/>
  <c r="B2113" i="1"/>
  <c r="B2114" i="1"/>
  <c r="B2115" i="1"/>
  <c r="B2119" i="1"/>
  <c r="B2120" i="1"/>
  <c r="B2124" i="1"/>
  <c r="B2125" i="1"/>
  <c r="B2126" i="1"/>
  <c r="B2127" i="1"/>
  <c r="B2128" i="1"/>
  <c r="B2129" i="1"/>
  <c r="B2130" i="1"/>
  <c r="B2131" i="1"/>
  <c r="B2132" i="1"/>
  <c r="B2133" i="1"/>
  <c r="B2134" i="1"/>
  <c r="B2135" i="1"/>
  <c r="B2136" i="1"/>
  <c r="B2137" i="1"/>
  <c r="B2141" i="1"/>
  <c r="B2142" i="1"/>
  <c r="B2143" i="1"/>
  <c r="B2144" i="1"/>
  <c r="B2145" i="1"/>
  <c r="B2146" i="1"/>
  <c r="B2147" i="1"/>
  <c r="B2148" i="1"/>
  <c r="B2149" i="1"/>
  <c r="B2150" i="1"/>
  <c r="B2151" i="1"/>
  <c r="B2152" i="1"/>
  <c r="B2153" i="1"/>
  <c r="B2154" i="1"/>
  <c r="B2155" i="1"/>
  <c r="B2160" i="1"/>
  <c r="B2161" i="1"/>
  <c r="B2162" i="1"/>
  <c r="B2163" i="1"/>
  <c r="B2164" i="1"/>
  <c r="B2165" i="1"/>
  <c r="B2166" i="1"/>
  <c r="B2167" i="1"/>
  <c r="B2168" i="1"/>
  <c r="B2169" i="1"/>
  <c r="B2170" i="1"/>
  <c r="B2171" i="1"/>
  <c r="B2175" i="1"/>
  <c r="B2176" i="1"/>
  <c r="B2177" i="1"/>
  <c r="B2178" i="1"/>
  <c r="B2179" i="1"/>
  <c r="B2180" i="1"/>
  <c r="B2181" i="1"/>
  <c r="B2182" i="1"/>
  <c r="B2183" i="1"/>
  <c r="B2184" i="1"/>
  <c r="B2185" i="1"/>
  <c r="B2186" i="1"/>
  <c r="B2187" i="1"/>
  <c r="B2188" i="1"/>
  <c r="B2192" i="1"/>
  <c r="B2196" i="1"/>
  <c r="B2197" i="1"/>
  <c r="B2198" i="1"/>
  <c r="B2199" i="1"/>
  <c r="B2200" i="1"/>
  <c r="B2201" i="1"/>
  <c r="B2202" i="1"/>
  <c r="B2206" i="1"/>
  <c r="B2207" i="1"/>
  <c r="B2208" i="1"/>
  <c r="B2209" i="1"/>
  <c r="B2210" i="1"/>
  <c r="B2211" i="1"/>
  <c r="B2212" i="1"/>
  <c r="B2213" i="1"/>
  <c r="B2214" i="1"/>
  <c r="B2215" i="1"/>
  <c r="B2216" i="1"/>
  <c r="B2220" i="1"/>
  <c r="B2222" i="1"/>
  <c r="B2224" i="1"/>
  <c r="B2225" i="1"/>
  <c r="B2226" i="1"/>
  <c r="B2227" i="1"/>
  <c r="B2228" i="1"/>
  <c r="B2229" i="1"/>
  <c r="B2233" i="1"/>
  <c r="B2234" i="1"/>
  <c r="B2235" i="1"/>
  <c r="B2236" i="1"/>
  <c r="B2237" i="1"/>
  <c r="B2238" i="1"/>
  <c r="B2239" i="1"/>
  <c r="B2240" i="1"/>
  <c r="B2241" i="1"/>
  <c r="B2242" i="1"/>
  <c r="B2243" i="1"/>
  <c r="B2244" i="1"/>
  <c r="B2245" i="1"/>
  <c r="B2246" i="1"/>
  <c r="B2250" i="1"/>
  <c r="B2252" i="1"/>
  <c r="B2253" i="1"/>
  <c r="B2255" i="1"/>
  <c r="B2256" i="1"/>
  <c r="B2257" i="1"/>
  <c r="B2258" i="1"/>
  <c r="B2259" i="1"/>
  <c r="B2260" i="1"/>
  <c r="B2261" i="1"/>
  <c r="B2262" i="1"/>
  <c r="B2263" i="1"/>
  <c r="B2264" i="1"/>
  <c r="B2265" i="1"/>
  <c r="B2266"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5" i="1"/>
  <c r="B2296" i="1"/>
  <c r="B2297" i="1"/>
  <c r="B2298" i="1"/>
  <c r="B2299" i="1"/>
  <c r="B2300" i="1"/>
  <c r="B2303" i="1"/>
  <c r="B2306" i="1"/>
  <c r="B2307" i="1"/>
  <c r="B2308" i="1"/>
  <c r="B2309" i="1"/>
  <c r="B2310" i="1"/>
  <c r="B2313" i="1"/>
  <c r="B2314" i="1"/>
  <c r="B2315" i="1"/>
  <c r="B2316" i="1"/>
  <c r="B2317" i="1"/>
  <c r="B2318" i="1"/>
  <c r="B2319" i="1"/>
  <c r="B2320" i="1"/>
  <c r="B2321" i="1"/>
  <c r="B2322" i="1"/>
  <c r="B2323" i="1"/>
  <c r="B2324" i="1"/>
  <c r="B2327" i="1"/>
  <c r="B2328" i="1"/>
  <c r="B2329" i="1"/>
  <c r="B2330" i="1"/>
  <c r="B2331" i="1"/>
  <c r="B2332" i="1"/>
  <c r="B2333" i="1"/>
  <c r="B2334" i="1"/>
  <c r="B2337" i="1"/>
  <c r="B2338" i="1"/>
  <c r="B2341" i="1"/>
  <c r="B2343" i="1"/>
  <c r="B2344" i="1"/>
  <c r="B2345" i="1"/>
  <c r="B2346" i="1"/>
  <c r="B2349" i="1"/>
  <c r="B2350" i="1"/>
  <c r="B2353" i="1"/>
  <c r="B2354" i="1"/>
  <c r="B2355" i="1"/>
  <c r="B2356" i="1"/>
  <c r="B2357" i="1"/>
  <c r="B2358" i="1"/>
  <c r="B2359" i="1"/>
  <c r="B2360" i="1"/>
  <c r="B2361" i="1"/>
  <c r="B2362" i="1"/>
  <c r="B2365" i="1"/>
  <c r="B2366" i="1"/>
  <c r="B2367" i="1"/>
  <c r="B2368" i="1"/>
  <c r="B2369" i="1"/>
  <c r="B2370" i="1"/>
  <c r="B2371" i="1"/>
  <c r="B2372" i="1"/>
  <c r="B2373" i="1"/>
  <c r="B2374" i="1"/>
  <c r="B2375" i="1"/>
  <c r="B2378" i="1"/>
  <c r="B2379" i="1"/>
  <c r="B2380" i="1"/>
  <c r="B2381" i="1"/>
  <c r="B2382" i="1"/>
  <c r="B2383" i="1"/>
  <c r="B2384" i="1"/>
  <c r="B2385" i="1"/>
  <c r="B2386" i="1"/>
  <c r="B2387" i="1"/>
  <c r="B2390" i="1"/>
  <c r="B2391" i="1"/>
  <c r="B2392" i="1"/>
  <c r="B2393" i="1"/>
  <c r="B2394" i="1"/>
  <c r="B2395" i="1"/>
  <c r="B2396" i="1"/>
  <c r="B2397" i="1"/>
  <c r="B2398" i="1"/>
  <c r="B2399" i="1"/>
  <c r="B2400" i="1"/>
  <c r="B2403" i="1"/>
  <c r="B2404" i="1"/>
  <c r="B2405" i="1"/>
  <c r="B2406" i="1"/>
  <c r="B2407" i="1"/>
  <c r="B2408" i="1"/>
  <c r="B2409" i="1"/>
  <c r="B2410" i="1"/>
  <c r="B2411" i="1"/>
  <c r="B2412" i="1"/>
  <c r="B2413" i="1"/>
  <c r="B2414" i="1"/>
  <c r="B2415" i="1"/>
  <c r="B2416" i="1"/>
  <c r="B2417" i="1"/>
  <c r="B2418" i="1"/>
  <c r="B2419" i="1"/>
  <c r="B2420" i="1"/>
  <c r="B2423" i="1"/>
  <c r="B2424" i="1"/>
  <c r="B2425" i="1"/>
  <c r="B2426" i="1"/>
  <c r="B2427" i="1"/>
  <c r="B2428" i="1"/>
  <c r="B2429" i="1"/>
  <c r="V11" i="1" l="1"/>
  <c r="W11" i="1" s="1"/>
  <c r="V23" i="1"/>
  <c r="W23" i="1" s="1"/>
  <c r="V31" i="1"/>
  <c r="W31" i="1" s="1"/>
  <c r="V40" i="1"/>
  <c r="W40" i="1" s="1"/>
  <c r="V53" i="1"/>
  <c r="W53" i="1" s="1"/>
  <c r="V61" i="1"/>
  <c r="W61" i="1" s="1"/>
  <c r="V69" i="1"/>
  <c r="W69" i="1" s="1"/>
  <c r="V79" i="1"/>
  <c r="W79" i="1" s="1"/>
  <c r="V87" i="1"/>
  <c r="W87" i="1" s="1"/>
  <c r="V97" i="1"/>
  <c r="W97" i="1" s="1"/>
  <c r="V107" i="1"/>
  <c r="W107" i="1" s="1"/>
  <c r="V121" i="1"/>
  <c r="W121" i="1" s="1"/>
  <c r="V130" i="1"/>
  <c r="W130" i="1" s="1"/>
  <c r="V139" i="1"/>
  <c r="W139" i="1" s="1"/>
  <c r="V149" i="1"/>
  <c r="W149" i="1" s="1"/>
  <c r="V164" i="1"/>
  <c r="W164" i="1" s="1"/>
  <c r="V178" i="1"/>
  <c r="W178" i="1" s="1"/>
  <c r="V187" i="1"/>
  <c r="W187" i="1" s="1"/>
  <c r="V205" i="1"/>
  <c r="W205" i="1" s="1"/>
  <c r="V213" i="1"/>
  <c r="W213" i="1" s="1"/>
  <c r="V223" i="1"/>
  <c r="W223" i="1" s="1"/>
  <c r="V231" i="1"/>
  <c r="W231" i="1" s="1"/>
  <c r="V239" i="1"/>
  <c r="W239" i="1" s="1"/>
  <c r="V247" i="1"/>
  <c r="W247" i="1" s="1"/>
  <c r="V255" i="1"/>
  <c r="W255" i="1" s="1"/>
  <c r="V263" i="1"/>
  <c r="W263" i="1" s="1"/>
  <c r="V271" i="1"/>
  <c r="W271" i="1" s="1"/>
  <c r="V279" i="1"/>
  <c r="W279" i="1" s="1"/>
  <c r="V287" i="1"/>
  <c r="W287" i="1" s="1"/>
  <c r="V295" i="1"/>
  <c r="W295" i="1" s="1"/>
  <c r="V310" i="1"/>
  <c r="W310" i="1" s="1"/>
  <c r="V320" i="1"/>
  <c r="W320" i="1" s="1"/>
  <c r="V328" i="1"/>
  <c r="W328" i="1" s="1"/>
  <c r="V336" i="1"/>
  <c r="W336" i="1" s="1"/>
  <c r="V346" i="1"/>
  <c r="W346" i="1" s="1"/>
  <c r="V354" i="1"/>
  <c r="W354" i="1" s="1"/>
  <c r="V17" i="1"/>
  <c r="W17" i="1" s="1"/>
  <c r="V26" i="1"/>
  <c r="W26" i="1" s="1"/>
  <c r="V34" i="1"/>
  <c r="W34" i="1" s="1"/>
  <c r="V47" i="1"/>
  <c r="W47" i="1" s="1"/>
  <c r="V56" i="1"/>
  <c r="W56" i="1" s="1"/>
  <c r="V64" i="1"/>
  <c r="W64" i="1" s="1"/>
  <c r="V72" i="1"/>
  <c r="W72" i="1" s="1"/>
  <c r="V82" i="1"/>
  <c r="W82" i="1" s="1"/>
  <c r="V92" i="1"/>
  <c r="W92" i="1" s="1"/>
  <c r="V100" i="1"/>
  <c r="W100" i="1" s="1"/>
  <c r="V116" i="1"/>
  <c r="W116" i="1" s="1"/>
  <c r="V124" i="1"/>
  <c r="W124" i="1" s="1"/>
  <c r="V133" i="1"/>
  <c r="W133" i="1" s="1"/>
  <c r="V142" i="1"/>
  <c r="W142" i="1" s="1"/>
  <c r="V152" i="1"/>
  <c r="W152" i="1" s="1"/>
  <c r="V173" i="1"/>
  <c r="W173" i="1" s="1"/>
  <c r="V182" i="1"/>
  <c r="W182" i="1" s="1"/>
  <c r="V192" i="1"/>
  <c r="W192" i="1" s="1"/>
  <c r="V208" i="1"/>
  <c r="W208" i="1" s="1"/>
  <c r="V216" i="1"/>
  <c r="W216" i="1" s="1"/>
  <c r="V226" i="1"/>
  <c r="W226" i="1" s="1"/>
  <c r="V234" i="1"/>
  <c r="W234" i="1" s="1"/>
  <c r="V242" i="1"/>
  <c r="W242" i="1" s="1"/>
  <c r="V250" i="1"/>
  <c r="W250" i="1" s="1"/>
  <c r="V258" i="1"/>
  <c r="W258" i="1" s="1"/>
  <c r="V266" i="1"/>
  <c r="W266" i="1" s="1"/>
  <c r="V274" i="1"/>
  <c r="W274" i="1" s="1"/>
  <c r="V282" i="1"/>
  <c r="W282" i="1" s="1"/>
  <c r="V290" i="1"/>
  <c r="W290" i="1" s="1"/>
  <c r="V305" i="1"/>
  <c r="W305" i="1" s="1"/>
  <c r="V315" i="1"/>
  <c r="W315" i="1" s="1"/>
  <c r="V323" i="1"/>
  <c r="W323" i="1" s="1"/>
  <c r="V331" i="1"/>
  <c r="W331" i="1" s="1"/>
  <c r="V339" i="1"/>
  <c r="W339" i="1" s="1"/>
  <c r="V349" i="1"/>
  <c r="W349" i="1" s="1"/>
  <c r="V357" i="1"/>
  <c r="W357" i="1" s="1"/>
  <c r="V365" i="1"/>
  <c r="W365" i="1" s="1"/>
  <c r="V373" i="1"/>
  <c r="W373" i="1" s="1"/>
  <c r="V381" i="1"/>
  <c r="W381" i="1" s="1"/>
  <c r="V389" i="1"/>
  <c r="W389" i="1" s="1"/>
  <c r="V397" i="1"/>
  <c r="W397" i="1" s="1"/>
  <c r="V405" i="1"/>
  <c r="W405" i="1" s="1"/>
  <c r="V413" i="1"/>
  <c r="W413" i="1" s="1"/>
  <c r="V421" i="1"/>
  <c r="W421" i="1" s="1"/>
  <c r="V429" i="1"/>
  <c r="W429" i="1" s="1"/>
  <c r="V439" i="1"/>
  <c r="W439" i="1" s="1"/>
  <c r="V447" i="1"/>
  <c r="W447" i="1" s="1"/>
  <c r="V455" i="1"/>
  <c r="W455" i="1" s="1"/>
  <c r="V463" i="1"/>
  <c r="W463" i="1" s="1"/>
  <c r="V473" i="1"/>
  <c r="W473" i="1" s="1"/>
  <c r="V481" i="1"/>
  <c r="W481" i="1" s="1"/>
  <c r="V489" i="1"/>
  <c r="W489" i="1" s="1"/>
  <c r="V497" i="1"/>
  <c r="W497" i="1" s="1"/>
  <c r="V509" i="1"/>
  <c r="W509" i="1" s="1"/>
  <c r="V517" i="1"/>
  <c r="W517" i="1" s="1"/>
  <c r="V529" i="1"/>
  <c r="W529" i="1" s="1"/>
  <c r="V537" i="1"/>
  <c r="W537" i="1" s="1"/>
  <c r="V545" i="1"/>
  <c r="W545" i="1" s="1"/>
  <c r="V553" i="1"/>
  <c r="W553" i="1" s="1"/>
  <c r="V561" i="1"/>
  <c r="W561" i="1" s="1"/>
  <c r="V569" i="1"/>
  <c r="W569" i="1" s="1"/>
  <c r="V577" i="1"/>
  <c r="W577" i="1" s="1"/>
  <c r="V590" i="1"/>
  <c r="W590" i="1" s="1"/>
  <c r="V598" i="1"/>
  <c r="W598" i="1" s="1"/>
  <c r="V606" i="1"/>
  <c r="W606" i="1" s="1"/>
  <c r="V614" i="1"/>
  <c r="W614" i="1" s="1"/>
  <c r="V622" i="1"/>
  <c r="W622" i="1" s="1"/>
  <c r="V630" i="1"/>
  <c r="W630" i="1" s="1"/>
  <c r="V638" i="1"/>
  <c r="W638" i="1" s="1"/>
  <c r="V646" i="1"/>
  <c r="W646" i="1" s="1"/>
  <c r="V660" i="1"/>
  <c r="W660" i="1" s="1"/>
  <c r="V668" i="1"/>
  <c r="W668" i="1" s="1"/>
  <c r="V676" i="1"/>
  <c r="W676" i="1" s="1"/>
  <c r="V721" i="1"/>
  <c r="W721" i="1" s="1"/>
  <c r="V729" i="1"/>
  <c r="W729" i="1" s="1"/>
  <c r="V737" i="1"/>
  <c r="W737" i="1" s="1"/>
  <c r="V745" i="1"/>
  <c r="W745" i="1" s="1"/>
  <c r="V753" i="1"/>
  <c r="W753" i="1" s="1"/>
  <c r="V761" i="1"/>
  <c r="W761" i="1" s="1"/>
  <c r="V769" i="1"/>
  <c r="W769" i="1" s="1"/>
  <c r="V777" i="1"/>
  <c r="W777" i="1" s="1"/>
  <c r="V785" i="1"/>
  <c r="W785" i="1" s="1"/>
  <c r="V803" i="1"/>
  <c r="W803" i="1" s="1"/>
  <c r="V811" i="1"/>
  <c r="W811" i="1" s="1"/>
  <c r="V825" i="1"/>
  <c r="W825" i="1" s="1"/>
  <c r="V19" i="1"/>
  <c r="W19" i="1" s="1"/>
  <c r="V27" i="1"/>
  <c r="W27" i="1" s="1"/>
  <c r="V35" i="1"/>
  <c r="W35" i="1" s="1"/>
  <c r="V48" i="1"/>
  <c r="W48" i="1" s="1"/>
  <c r="V57" i="1"/>
  <c r="W57" i="1" s="1"/>
  <c r="V65" i="1"/>
  <c r="W65" i="1" s="1"/>
  <c r="V74" i="1"/>
  <c r="W74" i="1" s="1"/>
  <c r="V83" i="1"/>
  <c r="W83" i="1" s="1"/>
  <c r="V93" i="1"/>
  <c r="W93" i="1" s="1"/>
  <c r="V101" i="1"/>
  <c r="W101" i="1" s="1"/>
  <c r="V117" i="1"/>
  <c r="W117" i="1" s="1"/>
  <c r="V125" i="1"/>
  <c r="W125" i="1" s="1"/>
  <c r="V134" i="1"/>
  <c r="W134" i="1" s="1"/>
  <c r="V143" i="1"/>
  <c r="W143" i="1" s="1"/>
  <c r="V153" i="1"/>
  <c r="W153" i="1" s="1"/>
  <c r="V174" i="1"/>
  <c r="W174" i="1" s="1"/>
  <c r="V183" i="1"/>
  <c r="W183" i="1" s="1"/>
  <c r="V193" i="1"/>
  <c r="W193" i="1" s="1"/>
  <c r="V209" i="1"/>
  <c r="W209" i="1" s="1"/>
  <c r="V217" i="1"/>
  <c r="W217" i="1" s="1"/>
  <c r="V227" i="1"/>
  <c r="W227" i="1" s="1"/>
  <c r="V235" i="1"/>
  <c r="W235" i="1" s="1"/>
  <c r="V243" i="1"/>
  <c r="W243" i="1" s="1"/>
  <c r="V251" i="1"/>
  <c r="W251" i="1" s="1"/>
  <c r="V259" i="1"/>
  <c r="W259" i="1" s="1"/>
  <c r="V267" i="1"/>
  <c r="W267" i="1" s="1"/>
  <c r="V275" i="1"/>
  <c r="W275" i="1" s="1"/>
  <c r="V283" i="1"/>
  <c r="W283" i="1" s="1"/>
  <c r="V22" i="1"/>
  <c r="W22" i="1" s="1"/>
  <c r="V30" i="1"/>
  <c r="W30" i="1" s="1"/>
  <c r="V39" i="1"/>
  <c r="W39" i="1" s="1"/>
  <c r="V52" i="1"/>
  <c r="W52" i="1" s="1"/>
  <c r="V60" i="1"/>
  <c r="W60" i="1" s="1"/>
  <c r="V68" i="1"/>
  <c r="W68" i="1" s="1"/>
  <c r="V78" i="1"/>
  <c r="W78" i="1" s="1"/>
  <c r="V86" i="1"/>
  <c r="W86" i="1" s="1"/>
  <c r="V96" i="1"/>
  <c r="W96" i="1" s="1"/>
  <c r="V105" i="1"/>
  <c r="W105" i="1" s="1"/>
  <c r="V120" i="1"/>
  <c r="W120" i="1" s="1"/>
  <c r="V129" i="1"/>
  <c r="W129" i="1" s="1"/>
  <c r="V138" i="1"/>
  <c r="W138" i="1" s="1"/>
  <c r="V146" i="1"/>
  <c r="W146" i="1" s="1"/>
  <c r="V163" i="1"/>
  <c r="W163" i="1" s="1"/>
  <c r="V177" i="1"/>
  <c r="W177" i="1" s="1"/>
  <c r="V186" i="1"/>
  <c r="W186" i="1" s="1"/>
  <c r="V203" i="1"/>
  <c r="W203" i="1" s="1"/>
  <c r="V212" i="1"/>
  <c r="W212" i="1" s="1"/>
  <c r="V220" i="1"/>
  <c r="W220" i="1" s="1"/>
  <c r="V230" i="1"/>
  <c r="W230" i="1" s="1"/>
  <c r="V238" i="1"/>
  <c r="W238" i="1" s="1"/>
  <c r="V246" i="1"/>
  <c r="W246" i="1" s="1"/>
  <c r="V254" i="1"/>
  <c r="W254" i="1" s="1"/>
  <c r="V262" i="1"/>
  <c r="W262" i="1" s="1"/>
  <c r="V270" i="1"/>
  <c r="W270" i="1" s="1"/>
  <c r="V278" i="1"/>
  <c r="W278" i="1" s="1"/>
  <c r="V286" i="1"/>
  <c r="W286" i="1" s="1"/>
  <c r="V294" i="1"/>
  <c r="W294" i="1" s="1"/>
  <c r="V309" i="1"/>
  <c r="W309" i="1" s="1"/>
  <c r="V319" i="1"/>
  <c r="W319" i="1" s="1"/>
  <c r="V327" i="1"/>
  <c r="W327" i="1" s="1"/>
  <c r="V335" i="1"/>
  <c r="W335" i="1" s="1"/>
  <c r="V343" i="1"/>
  <c r="W343" i="1" s="1"/>
  <c r="V353" i="1"/>
  <c r="W353" i="1" s="1"/>
  <c r="V361" i="1"/>
  <c r="W361" i="1" s="1"/>
  <c r="V369" i="1"/>
  <c r="W369" i="1" s="1"/>
  <c r="V377" i="1"/>
  <c r="W377" i="1" s="1"/>
  <c r="V385" i="1"/>
  <c r="W385" i="1" s="1"/>
  <c r="V393" i="1"/>
  <c r="W393" i="1" s="1"/>
  <c r="V401" i="1"/>
  <c r="W401" i="1" s="1"/>
  <c r="V409" i="1"/>
  <c r="W409" i="1" s="1"/>
  <c r="V417" i="1"/>
  <c r="W417" i="1" s="1"/>
  <c r="V425" i="1"/>
  <c r="W425" i="1" s="1"/>
  <c r="V435" i="1"/>
  <c r="W435" i="1" s="1"/>
  <c r="V443" i="1"/>
  <c r="W443" i="1" s="1"/>
  <c r="V451" i="1"/>
  <c r="W451" i="1" s="1"/>
  <c r="V459" i="1"/>
  <c r="W459" i="1" s="1"/>
  <c r="V469" i="1"/>
  <c r="W469" i="1" s="1"/>
  <c r="V477" i="1"/>
  <c r="W477" i="1" s="1"/>
  <c r="V485" i="1"/>
  <c r="W485" i="1" s="1"/>
  <c r="V493" i="1"/>
  <c r="W493" i="1" s="1"/>
  <c r="V505" i="1"/>
  <c r="W505" i="1" s="1"/>
  <c r="V513" i="1"/>
  <c r="W513" i="1" s="1"/>
  <c r="V525" i="1"/>
  <c r="W525" i="1" s="1"/>
  <c r="V533" i="1"/>
  <c r="W533" i="1" s="1"/>
  <c r="V541" i="1"/>
  <c r="W541" i="1" s="1"/>
  <c r="V549" i="1"/>
  <c r="W549" i="1" s="1"/>
  <c r="V557" i="1"/>
  <c r="W557" i="1" s="1"/>
  <c r="V565" i="1"/>
  <c r="W565" i="1" s="1"/>
  <c r="V573" i="1"/>
  <c r="W573" i="1" s="1"/>
  <c r="V586" i="1"/>
  <c r="W586" i="1" s="1"/>
  <c r="V594" i="1"/>
  <c r="W594" i="1" s="1"/>
  <c r="V602" i="1"/>
  <c r="W602" i="1" s="1"/>
  <c r="V610" i="1"/>
  <c r="W610" i="1" s="1"/>
  <c r="V618" i="1"/>
  <c r="W618" i="1" s="1"/>
  <c r="V626" i="1"/>
  <c r="W626" i="1" s="1"/>
  <c r="V634" i="1"/>
  <c r="W634" i="1" s="1"/>
  <c r="V642" i="1"/>
  <c r="W642" i="1" s="1"/>
  <c r="V656" i="1"/>
  <c r="W656" i="1" s="1"/>
  <c r="V664" i="1"/>
  <c r="W664" i="1" s="1"/>
  <c r="V672" i="1"/>
  <c r="W672" i="1" s="1"/>
  <c r="V717" i="1"/>
  <c r="W717" i="1" s="1"/>
  <c r="V725" i="1"/>
  <c r="W725" i="1" s="1"/>
  <c r="V733" i="1"/>
  <c r="W733" i="1" s="1"/>
  <c r="V741" i="1"/>
  <c r="W741" i="1" s="1"/>
  <c r="V749" i="1"/>
  <c r="W749" i="1" s="1"/>
  <c r="V757" i="1"/>
  <c r="W757" i="1" s="1"/>
  <c r="V765" i="1"/>
  <c r="W765" i="1" s="1"/>
  <c r="V773" i="1"/>
  <c r="W773" i="1" s="1"/>
  <c r="V781" i="1"/>
  <c r="W781" i="1" s="1"/>
  <c r="V799" i="1"/>
  <c r="W799" i="1" s="1"/>
  <c r="V13" i="1"/>
  <c r="W13" i="1" s="1"/>
  <c r="V32" i="1"/>
  <c r="W32" i="1" s="1"/>
  <c r="V54" i="1"/>
  <c r="W54" i="1" s="1"/>
  <c r="V70" i="1"/>
  <c r="W70" i="1" s="1"/>
  <c r="V88" i="1"/>
  <c r="W88" i="1" s="1"/>
  <c r="V108" i="1"/>
  <c r="W108" i="1" s="1"/>
  <c r="V131" i="1"/>
  <c r="W131" i="1" s="1"/>
  <c r="V150" i="1"/>
  <c r="W150" i="1" s="1"/>
  <c r="V179" i="1"/>
  <c r="W179" i="1" s="1"/>
  <c r="V206" i="1"/>
  <c r="W206" i="1" s="1"/>
  <c r="V224" i="1"/>
  <c r="W224" i="1" s="1"/>
  <c r="V240" i="1"/>
  <c r="W240" i="1" s="1"/>
  <c r="V256" i="1"/>
  <c r="W256" i="1" s="1"/>
  <c r="V21" i="1"/>
  <c r="W21" i="1" s="1"/>
  <c r="V38" i="1"/>
  <c r="W38" i="1" s="1"/>
  <c r="V59" i="1"/>
  <c r="W59" i="1" s="1"/>
  <c r="V76" i="1"/>
  <c r="W76" i="1" s="1"/>
  <c r="V95" i="1"/>
  <c r="W95" i="1" s="1"/>
  <c r="V119" i="1"/>
  <c r="W119" i="1" s="1"/>
  <c r="V136" i="1"/>
  <c r="W136" i="1" s="1"/>
  <c r="V162" i="1"/>
  <c r="W162" i="1" s="1"/>
  <c r="V185" i="1"/>
  <c r="W185" i="1" s="1"/>
  <c r="V211" i="1"/>
  <c r="W211" i="1" s="1"/>
  <c r="V229" i="1"/>
  <c r="W229" i="1" s="1"/>
  <c r="V245" i="1"/>
  <c r="W245" i="1" s="1"/>
  <c r="V261" i="1"/>
  <c r="W261" i="1" s="1"/>
  <c r="V277" i="1"/>
  <c r="W277" i="1" s="1"/>
  <c r="V292" i="1"/>
  <c r="W292" i="1" s="1"/>
  <c r="V314" i="1"/>
  <c r="W314" i="1" s="1"/>
  <c r="V326" i="1"/>
  <c r="W326" i="1" s="1"/>
  <c r="V340" i="1"/>
  <c r="W340" i="1" s="1"/>
  <c r="V355" i="1"/>
  <c r="W355" i="1" s="1"/>
  <c r="V366" i="1"/>
  <c r="W366" i="1" s="1"/>
  <c r="V376" i="1"/>
  <c r="W376" i="1" s="1"/>
  <c r="V387" i="1"/>
  <c r="W387" i="1" s="1"/>
  <c r="V398" i="1"/>
  <c r="W398" i="1" s="1"/>
  <c r="V408" i="1"/>
  <c r="W408" i="1" s="1"/>
  <c r="V419" i="1"/>
  <c r="W419" i="1" s="1"/>
  <c r="V432" i="1"/>
  <c r="W432" i="1" s="1"/>
  <c r="V442" i="1"/>
  <c r="W442" i="1" s="1"/>
  <c r="V453" i="1"/>
  <c r="W453" i="1" s="1"/>
  <c r="V464" i="1"/>
  <c r="W464" i="1" s="1"/>
  <c r="V476" i="1"/>
  <c r="W476" i="1" s="1"/>
  <c r="V487" i="1"/>
  <c r="W487" i="1" s="1"/>
  <c r="V498" i="1"/>
  <c r="W498" i="1" s="1"/>
  <c r="V512" i="1"/>
  <c r="W512" i="1" s="1"/>
  <c r="V527" i="1"/>
  <c r="W527" i="1" s="1"/>
  <c r="V538" i="1"/>
  <c r="W538" i="1" s="1"/>
  <c r="V548" i="1"/>
  <c r="W548" i="1" s="1"/>
  <c r="V559" i="1"/>
  <c r="W559" i="1" s="1"/>
  <c r="V570" i="1"/>
  <c r="W570" i="1" s="1"/>
  <c r="V585" i="1"/>
  <c r="W585" i="1" s="1"/>
  <c r="V596" i="1"/>
  <c r="W596" i="1" s="1"/>
  <c r="V607" i="1"/>
  <c r="W607" i="1" s="1"/>
  <c r="V617" i="1"/>
  <c r="W617" i="1" s="1"/>
  <c r="V628" i="1"/>
  <c r="W628" i="1" s="1"/>
  <c r="V639" i="1"/>
  <c r="W639" i="1" s="1"/>
  <c r="V655" i="1"/>
  <c r="W655" i="1" s="1"/>
  <c r="V666" i="1"/>
  <c r="W666" i="1" s="1"/>
  <c r="V677" i="1"/>
  <c r="W677" i="1" s="1"/>
  <c r="V724" i="1"/>
  <c r="W724" i="1" s="1"/>
  <c r="V735" i="1"/>
  <c r="W735" i="1" s="1"/>
  <c r="V746" i="1"/>
  <c r="W746" i="1" s="1"/>
  <c r="V756" i="1"/>
  <c r="W756" i="1" s="1"/>
  <c r="V767" i="1"/>
  <c r="W767" i="1" s="1"/>
  <c r="V778" i="1"/>
  <c r="W778" i="1" s="1"/>
  <c r="V798" i="1"/>
  <c r="W798" i="1" s="1"/>
  <c r="V808" i="1"/>
  <c r="W808" i="1" s="1"/>
  <c r="V823" i="1"/>
  <c r="W823" i="1" s="1"/>
  <c r="V832" i="1"/>
  <c r="W832" i="1" s="1"/>
  <c r="V840" i="1"/>
  <c r="W840" i="1" s="1"/>
  <c r="V848" i="1"/>
  <c r="W848" i="1" s="1"/>
  <c r="V856" i="1"/>
  <c r="W856" i="1" s="1"/>
  <c r="V869" i="1"/>
  <c r="W869" i="1" s="1"/>
  <c r="V882" i="1"/>
  <c r="W882" i="1" s="1"/>
  <c r="V895" i="1"/>
  <c r="W895" i="1" s="1"/>
  <c r="V903" i="1"/>
  <c r="W903" i="1" s="1"/>
  <c r="V916" i="1"/>
  <c r="W916" i="1" s="1"/>
  <c r="V924" i="1"/>
  <c r="W924" i="1" s="1"/>
  <c r="V940" i="1"/>
  <c r="W940" i="1" s="1"/>
  <c r="V952" i="1"/>
  <c r="W952" i="1" s="1"/>
  <c r="V960" i="1"/>
  <c r="W960" i="1" s="1"/>
  <c r="V968" i="1"/>
  <c r="W968" i="1" s="1"/>
  <c r="V976" i="1"/>
  <c r="W976" i="1" s="1"/>
  <c r="V996" i="1"/>
  <c r="W996" i="1" s="1"/>
  <c r="V1004" i="1"/>
  <c r="W1004" i="1" s="1"/>
  <c r="V1012" i="1"/>
  <c r="W1012" i="1" s="1"/>
  <c r="V1022" i="1"/>
  <c r="W1022" i="1" s="1"/>
  <c r="V1030" i="1"/>
  <c r="W1030" i="1" s="1"/>
  <c r="V1038" i="1"/>
  <c r="W1038" i="1" s="1"/>
  <c r="V1046" i="1"/>
  <c r="W1046" i="1" s="1"/>
  <c r="V1054" i="1"/>
  <c r="W1054" i="1" s="1"/>
  <c r="V1062" i="1"/>
  <c r="W1062" i="1" s="1"/>
  <c r="V1070" i="1"/>
  <c r="W1070" i="1" s="1"/>
  <c r="V1078" i="1"/>
  <c r="W1078" i="1" s="1"/>
  <c r="V1086" i="1"/>
  <c r="W1086" i="1" s="1"/>
  <c r="V1094" i="1"/>
  <c r="W1094" i="1" s="1"/>
  <c r="V1108" i="1"/>
  <c r="W1108" i="1" s="1"/>
  <c r="V1119" i="1"/>
  <c r="W1119" i="1" s="1"/>
  <c r="V1127" i="1"/>
  <c r="W1127" i="1" s="1"/>
  <c r="V1140" i="1"/>
  <c r="W1140" i="1" s="1"/>
  <c r="V1148" i="1"/>
  <c r="W1148" i="1" s="1"/>
  <c r="V1169" i="1"/>
  <c r="W1169" i="1" s="1"/>
  <c r="V1185" i="1"/>
  <c r="W1185" i="1" s="1"/>
  <c r="V24" i="1"/>
  <c r="W24" i="1" s="1"/>
  <c r="V41" i="1"/>
  <c r="W41" i="1" s="1"/>
  <c r="V62" i="1"/>
  <c r="W62" i="1" s="1"/>
  <c r="V80" i="1"/>
  <c r="W80" i="1" s="1"/>
  <c r="V98" i="1"/>
  <c r="W98" i="1" s="1"/>
  <c r="V122" i="1"/>
  <c r="W122" i="1" s="1"/>
  <c r="V140" i="1"/>
  <c r="W140" i="1" s="1"/>
  <c r="V170" i="1"/>
  <c r="W170" i="1" s="1"/>
  <c r="V190" i="1"/>
  <c r="W190" i="1" s="1"/>
  <c r="V214" i="1"/>
  <c r="W214" i="1" s="1"/>
  <c r="V232" i="1"/>
  <c r="W232" i="1" s="1"/>
  <c r="V248" i="1"/>
  <c r="W248" i="1" s="1"/>
  <c r="V29" i="1"/>
  <c r="W29" i="1" s="1"/>
  <c r="V51" i="1"/>
  <c r="W51" i="1" s="1"/>
  <c r="V67" i="1"/>
  <c r="W67" i="1" s="1"/>
  <c r="V85" i="1"/>
  <c r="W85" i="1" s="1"/>
  <c r="V104" i="1"/>
  <c r="W104" i="1" s="1"/>
  <c r="V128" i="1"/>
  <c r="W128" i="1" s="1"/>
  <c r="V145" i="1"/>
  <c r="W145" i="1" s="1"/>
  <c r="V176" i="1"/>
  <c r="W176" i="1" s="1"/>
  <c r="V199" i="1"/>
  <c r="W199" i="1" s="1"/>
  <c r="V219" i="1"/>
  <c r="W219" i="1" s="1"/>
  <c r="V237" i="1"/>
  <c r="W237" i="1" s="1"/>
  <c r="V253" i="1"/>
  <c r="W253" i="1" s="1"/>
  <c r="V269" i="1"/>
  <c r="W269" i="1" s="1"/>
  <c r="V285" i="1"/>
  <c r="W285" i="1" s="1"/>
  <c r="V306" i="1"/>
  <c r="W306" i="1" s="1"/>
  <c r="V321" i="1"/>
  <c r="W321" i="1" s="1"/>
  <c r="V333" i="1"/>
  <c r="W333" i="1" s="1"/>
  <c r="V348" i="1"/>
  <c r="W348" i="1" s="1"/>
  <c r="V360" i="1"/>
  <c r="W360" i="1" s="1"/>
  <c r="V371" i="1"/>
  <c r="W371" i="1" s="1"/>
  <c r="V382" i="1"/>
  <c r="W382" i="1" s="1"/>
  <c r="V392" i="1"/>
  <c r="W392" i="1" s="1"/>
  <c r="V403" i="1"/>
  <c r="W403" i="1" s="1"/>
  <c r="V414" i="1"/>
  <c r="W414" i="1" s="1"/>
  <c r="V424" i="1"/>
  <c r="W424" i="1" s="1"/>
  <c r="V437" i="1"/>
  <c r="W437" i="1" s="1"/>
  <c r="V448" i="1"/>
  <c r="W448" i="1" s="1"/>
  <c r="V458" i="1"/>
  <c r="W458" i="1" s="1"/>
  <c r="V471" i="1"/>
  <c r="W471" i="1" s="1"/>
  <c r="V482" i="1"/>
  <c r="W482" i="1" s="1"/>
  <c r="V492" i="1"/>
  <c r="W492" i="1" s="1"/>
  <c r="V507" i="1"/>
  <c r="W507" i="1" s="1"/>
  <c r="V518" i="1"/>
  <c r="W518" i="1" s="1"/>
  <c r="V532" i="1"/>
  <c r="W532" i="1" s="1"/>
  <c r="V543" i="1"/>
  <c r="W543" i="1" s="1"/>
  <c r="V554" i="1"/>
  <c r="W554" i="1" s="1"/>
  <c r="V564" i="1"/>
  <c r="W564" i="1" s="1"/>
  <c r="V575" i="1"/>
  <c r="W575" i="1" s="1"/>
  <c r="V591" i="1"/>
  <c r="W591" i="1" s="1"/>
  <c r="V601" i="1"/>
  <c r="W601" i="1" s="1"/>
  <c r="V612" i="1"/>
  <c r="W612" i="1" s="1"/>
  <c r="V623" i="1"/>
  <c r="W623" i="1" s="1"/>
  <c r="V633" i="1"/>
  <c r="W633" i="1" s="1"/>
  <c r="V644" i="1"/>
  <c r="W644" i="1" s="1"/>
  <c r="V661" i="1"/>
  <c r="W661" i="1" s="1"/>
  <c r="V671" i="1"/>
  <c r="W671" i="1" s="1"/>
  <c r="V719" i="1"/>
  <c r="W719" i="1" s="1"/>
  <c r="V730" i="1"/>
  <c r="W730" i="1" s="1"/>
  <c r="V740" i="1"/>
  <c r="W740" i="1" s="1"/>
  <c r="V751" i="1"/>
  <c r="W751" i="1" s="1"/>
  <c r="V762" i="1"/>
  <c r="W762" i="1" s="1"/>
  <c r="V772" i="1"/>
  <c r="W772" i="1" s="1"/>
  <c r="V783" i="1"/>
  <c r="W783" i="1" s="1"/>
  <c r="V804" i="1"/>
  <c r="W804" i="1" s="1"/>
  <c r="V813" i="1"/>
  <c r="W813" i="1" s="1"/>
  <c r="V828" i="1"/>
  <c r="W828" i="1" s="1"/>
  <c r="V836" i="1"/>
  <c r="W836" i="1" s="1"/>
  <c r="V844" i="1"/>
  <c r="W844" i="1" s="1"/>
  <c r="V852" i="1"/>
  <c r="W852" i="1" s="1"/>
  <c r="V860" i="1"/>
  <c r="W860" i="1" s="1"/>
  <c r="V873" i="1"/>
  <c r="W873" i="1" s="1"/>
  <c r="V886" i="1"/>
  <c r="W886" i="1" s="1"/>
  <c r="V899" i="1"/>
  <c r="W899" i="1" s="1"/>
  <c r="V907" i="1"/>
  <c r="W907" i="1" s="1"/>
  <c r="V920" i="1"/>
  <c r="W920" i="1" s="1"/>
  <c r="V934" i="1"/>
  <c r="W934" i="1" s="1"/>
  <c r="V948" i="1"/>
  <c r="W948" i="1" s="1"/>
  <c r="V956" i="1"/>
  <c r="W956" i="1" s="1"/>
  <c r="V964" i="1"/>
  <c r="W964" i="1" s="1"/>
  <c r="V972" i="1"/>
  <c r="W972" i="1" s="1"/>
  <c r="V986" i="1"/>
  <c r="W986" i="1" s="1"/>
  <c r="V1000" i="1"/>
  <c r="W1000" i="1" s="1"/>
  <c r="V1008" i="1"/>
  <c r="W1008" i="1" s="1"/>
  <c r="V1016" i="1"/>
  <c r="W1016" i="1" s="1"/>
  <c r="V1026" i="1"/>
  <c r="W1026" i="1" s="1"/>
  <c r="V1034" i="1"/>
  <c r="W1034" i="1" s="1"/>
  <c r="V1042" i="1"/>
  <c r="W1042" i="1" s="1"/>
  <c r="V1050" i="1"/>
  <c r="W1050" i="1" s="1"/>
  <c r="V1058" i="1"/>
  <c r="W1058" i="1" s="1"/>
  <c r="V1066" i="1"/>
  <c r="W1066" i="1" s="1"/>
  <c r="V1074" i="1"/>
  <c r="W1074" i="1" s="1"/>
  <c r="V1082" i="1"/>
  <c r="W1082" i="1" s="1"/>
  <c r="V1090" i="1"/>
  <c r="W1090" i="1" s="1"/>
  <c r="V1104" i="1"/>
  <c r="W1104" i="1" s="1"/>
  <c r="V1115" i="1"/>
  <c r="W1115" i="1" s="1"/>
  <c r="V15" i="1"/>
  <c r="W15" i="1" s="1"/>
  <c r="V55" i="1"/>
  <c r="W55" i="1" s="1"/>
  <c r="V89" i="1"/>
  <c r="W89" i="1" s="1"/>
  <c r="V132" i="1"/>
  <c r="W132" i="1" s="1"/>
  <c r="V180" i="1"/>
  <c r="W180" i="1" s="1"/>
  <c r="V225" i="1"/>
  <c r="W225" i="1" s="1"/>
  <c r="V257" i="1"/>
  <c r="W257" i="1" s="1"/>
  <c r="V280" i="1"/>
  <c r="W280" i="1" s="1"/>
  <c r="V304" i="1"/>
  <c r="W304" i="1" s="1"/>
  <c r="V324" i="1"/>
  <c r="W324" i="1" s="1"/>
  <c r="V341" i="1"/>
  <c r="W341" i="1" s="1"/>
  <c r="V359" i="1"/>
  <c r="W359" i="1" s="1"/>
  <c r="V374" i="1"/>
  <c r="W374" i="1" s="1"/>
  <c r="V388" i="1"/>
  <c r="W388" i="1" s="1"/>
  <c r="V402" i="1"/>
  <c r="W402" i="1" s="1"/>
  <c r="V416" i="1"/>
  <c r="W416" i="1" s="1"/>
  <c r="V433" i="1"/>
  <c r="W433" i="1" s="1"/>
  <c r="V446" i="1"/>
  <c r="W446" i="1" s="1"/>
  <c r="V461" i="1"/>
  <c r="W461" i="1" s="1"/>
  <c r="V478" i="1"/>
  <c r="W478" i="1" s="1"/>
  <c r="V491" i="1"/>
  <c r="W491" i="1" s="1"/>
  <c r="V510" i="1"/>
  <c r="W510" i="1" s="1"/>
  <c r="V528" i="1"/>
  <c r="W528" i="1" s="1"/>
  <c r="V542" i="1"/>
  <c r="W542" i="1" s="1"/>
  <c r="V556" i="1"/>
  <c r="W556" i="1" s="1"/>
  <c r="V571" i="1"/>
  <c r="W571" i="1" s="1"/>
  <c r="V589" i="1"/>
  <c r="W589" i="1" s="1"/>
  <c r="V604" i="1"/>
  <c r="W604" i="1" s="1"/>
  <c r="V619" i="1"/>
  <c r="W619" i="1" s="1"/>
  <c r="V632" i="1"/>
  <c r="W632" i="1" s="1"/>
  <c r="V653" i="1"/>
  <c r="W653" i="1" s="1"/>
  <c r="V667" i="1"/>
  <c r="W667" i="1" s="1"/>
  <c r="V718" i="1"/>
  <c r="W718" i="1" s="1"/>
  <c r="V732" i="1"/>
  <c r="W732" i="1" s="1"/>
  <c r="V747" i="1"/>
  <c r="W747" i="1" s="1"/>
  <c r="V760" i="1"/>
  <c r="W760" i="1" s="1"/>
  <c r="V775" i="1"/>
  <c r="W775" i="1" s="1"/>
  <c r="V800" i="1"/>
  <c r="W800" i="1" s="1"/>
  <c r="V812" i="1"/>
  <c r="W812" i="1" s="1"/>
  <c r="V830" i="1"/>
  <c r="W830" i="1" s="1"/>
  <c r="V841" i="1"/>
  <c r="W841" i="1" s="1"/>
  <c r="V851" i="1"/>
  <c r="W851" i="1" s="1"/>
  <c r="V867" i="1"/>
  <c r="W867" i="1" s="1"/>
  <c r="V883" i="1"/>
  <c r="W883" i="1" s="1"/>
  <c r="V898" i="1"/>
  <c r="W898" i="1" s="1"/>
  <c r="V914" i="1"/>
  <c r="W914" i="1" s="1"/>
  <c r="V925" i="1"/>
  <c r="W925" i="1" s="1"/>
  <c r="V947" i="1"/>
  <c r="W947" i="1" s="1"/>
  <c r="V958" i="1"/>
  <c r="W958" i="1" s="1"/>
  <c r="V969" i="1"/>
  <c r="W969" i="1" s="1"/>
  <c r="V985" i="1"/>
  <c r="W985" i="1" s="1"/>
  <c r="V1002" i="1"/>
  <c r="W1002" i="1" s="1"/>
  <c r="V1013" i="1"/>
  <c r="W1013" i="1" s="1"/>
  <c r="V1025" i="1"/>
  <c r="W1025" i="1" s="1"/>
  <c r="V1036" i="1"/>
  <c r="W1036" i="1" s="1"/>
  <c r="V1047" i="1"/>
  <c r="W1047" i="1" s="1"/>
  <c r="V1057" i="1"/>
  <c r="W1057" i="1" s="1"/>
  <c r="V20" i="1"/>
  <c r="W20" i="1" s="1"/>
  <c r="V58" i="1"/>
  <c r="W58" i="1" s="1"/>
  <c r="V94" i="1"/>
  <c r="W94" i="1" s="1"/>
  <c r="V135" i="1"/>
  <c r="W135" i="1" s="1"/>
  <c r="V184" i="1"/>
  <c r="W184" i="1" s="1"/>
  <c r="V228" i="1"/>
  <c r="W228" i="1" s="1"/>
  <c r="V260" i="1"/>
  <c r="W260" i="1" s="1"/>
  <c r="V281" i="1"/>
  <c r="W281" i="1" s="1"/>
  <c r="V307" i="1"/>
  <c r="W307" i="1" s="1"/>
  <c r="V325" i="1"/>
  <c r="W325" i="1" s="1"/>
  <c r="V342" i="1"/>
  <c r="W342" i="1" s="1"/>
  <c r="V362" i="1"/>
  <c r="W362" i="1" s="1"/>
  <c r="V375" i="1"/>
  <c r="W375" i="1" s="1"/>
  <c r="V390" i="1"/>
  <c r="W390" i="1" s="1"/>
  <c r="V404" i="1"/>
  <c r="W404" i="1" s="1"/>
  <c r="V418" i="1"/>
  <c r="W418" i="1" s="1"/>
  <c r="V434" i="1"/>
  <c r="W434" i="1" s="1"/>
  <c r="V449" i="1"/>
  <c r="W449" i="1" s="1"/>
  <c r="V462" i="1"/>
  <c r="W462" i="1" s="1"/>
  <c r="V479" i="1"/>
  <c r="W479" i="1" s="1"/>
  <c r="V494" i="1"/>
  <c r="W494" i="1" s="1"/>
  <c r="V25" i="1"/>
  <c r="W25" i="1" s="1"/>
  <c r="V63" i="1"/>
  <c r="W63" i="1" s="1"/>
  <c r="V99" i="1"/>
  <c r="W99" i="1" s="1"/>
  <c r="V141" i="1"/>
  <c r="W141" i="1" s="1"/>
  <c r="V191" i="1"/>
  <c r="W191" i="1" s="1"/>
  <c r="V233" i="1"/>
  <c r="W233" i="1" s="1"/>
  <c r="V264" i="1"/>
  <c r="W264" i="1" s="1"/>
  <c r="V284" i="1"/>
  <c r="W284" i="1" s="1"/>
  <c r="V308" i="1"/>
  <c r="W308" i="1" s="1"/>
  <c r="V329" i="1"/>
  <c r="W329" i="1" s="1"/>
  <c r="V347" i="1"/>
  <c r="W347" i="1" s="1"/>
  <c r="V363" i="1"/>
  <c r="W363" i="1" s="1"/>
  <c r="V378" i="1"/>
  <c r="W378" i="1" s="1"/>
  <c r="V391" i="1"/>
  <c r="W391" i="1" s="1"/>
  <c r="V406" i="1"/>
  <c r="W406" i="1" s="1"/>
  <c r="V420" i="1"/>
  <c r="W420" i="1" s="1"/>
  <c r="V436" i="1"/>
  <c r="W436" i="1" s="1"/>
  <c r="V450" i="1"/>
  <c r="W450" i="1" s="1"/>
  <c r="V467" i="1"/>
  <c r="W467" i="1" s="1"/>
  <c r="V480" i="1"/>
  <c r="W480" i="1" s="1"/>
  <c r="V495" i="1"/>
  <c r="W495" i="1" s="1"/>
  <c r="V28" i="1"/>
  <c r="W28" i="1" s="1"/>
  <c r="V66" i="1"/>
  <c r="W66" i="1" s="1"/>
  <c r="V103" i="1"/>
  <c r="W103" i="1" s="1"/>
  <c r="V144" i="1"/>
  <c r="W144" i="1" s="1"/>
  <c r="V194" i="1"/>
  <c r="W194" i="1" s="1"/>
  <c r="V236" i="1"/>
  <c r="W236" i="1" s="1"/>
  <c r="V265" i="1"/>
  <c r="W265" i="1" s="1"/>
  <c r="V288" i="1"/>
  <c r="W288" i="1" s="1"/>
  <c r="V311" i="1"/>
  <c r="W311" i="1" s="1"/>
  <c r="V330" i="1"/>
  <c r="W330" i="1" s="1"/>
  <c r="V350" i="1"/>
  <c r="W350" i="1" s="1"/>
  <c r="V364" i="1"/>
  <c r="W364" i="1" s="1"/>
  <c r="V379" i="1"/>
  <c r="W379" i="1" s="1"/>
  <c r="V394" i="1"/>
  <c r="W394" i="1" s="1"/>
  <c r="V407" i="1"/>
  <c r="W407" i="1" s="1"/>
  <c r="V422" i="1"/>
  <c r="W422" i="1" s="1"/>
  <c r="V438" i="1"/>
  <c r="W438" i="1" s="1"/>
  <c r="V452" i="1"/>
  <c r="W452" i="1" s="1"/>
  <c r="V468" i="1"/>
  <c r="W468" i="1" s="1"/>
  <c r="V483" i="1"/>
  <c r="W483" i="1" s="1"/>
  <c r="V496" i="1"/>
  <c r="W496" i="1" s="1"/>
  <c r="V515" i="1"/>
  <c r="W515" i="1" s="1"/>
  <c r="V534" i="1"/>
  <c r="W534" i="1" s="1"/>
  <c r="V547" i="1"/>
  <c r="W547" i="1" s="1"/>
  <c r="V562" i="1"/>
  <c r="W562" i="1" s="1"/>
  <c r="V576" i="1"/>
  <c r="W576" i="1" s="1"/>
  <c r="V595" i="1"/>
  <c r="W595" i="1" s="1"/>
  <c r="V609" i="1"/>
  <c r="W609" i="1" s="1"/>
  <c r="V624" i="1"/>
  <c r="W624" i="1" s="1"/>
  <c r="V637" i="1"/>
  <c r="W637" i="1" s="1"/>
  <c r="V658" i="1"/>
  <c r="W658" i="1" s="1"/>
  <c r="V673" i="1"/>
  <c r="W673" i="1" s="1"/>
  <c r="V723" i="1"/>
  <c r="W723" i="1" s="1"/>
  <c r="V738" i="1"/>
  <c r="W738" i="1" s="1"/>
  <c r="V752" i="1"/>
  <c r="W752" i="1" s="1"/>
  <c r="V766" i="1"/>
  <c r="W766" i="1" s="1"/>
  <c r="V780" i="1"/>
  <c r="W780" i="1" s="1"/>
  <c r="V805" i="1"/>
  <c r="W805" i="1" s="1"/>
  <c r="V816" i="1"/>
  <c r="W816" i="1" s="1"/>
  <c r="V834" i="1"/>
  <c r="W834" i="1" s="1"/>
  <c r="V845" i="1"/>
  <c r="W845" i="1" s="1"/>
  <c r="V855" i="1"/>
  <c r="W855" i="1" s="1"/>
  <c r="V871" i="1"/>
  <c r="W871" i="1" s="1"/>
  <c r="V887" i="1"/>
  <c r="W887" i="1" s="1"/>
  <c r="V902" i="1"/>
  <c r="W902" i="1" s="1"/>
  <c r="V918" i="1"/>
  <c r="W918" i="1" s="1"/>
  <c r="V935" i="1"/>
  <c r="W935" i="1" s="1"/>
  <c r="V951" i="1"/>
  <c r="W951" i="1" s="1"/>
  <c r="V962" i="1"/>
  <c r="W962" i="1" s="1"/>
  <c r="V973" i="1"/>
  <c r="W973" i="1" s="1"/>
  <c r="V989" i="1"/>
  <c r="W989" i="1" s="1"/>
  <c r="V1006" i="1"/>
  <c r="W1006" i="1" s="1"/>
  <c r="V1017" i="1"/>
  <c r="W1017" i="1" s="1"/>
  <c r="V1029" i="1"/>
  <c r="W1029" i="1" s="1"/>
  <c r="V1040" i="1"/>
  <c r="W1040" i="1" s="1"/>
  <c r="V1051" i="1"/>
  <c r="W1051" i="1" s="1"/>
  <c r="V1061" i="1"/>
  <c r="W1061" i="1" s="1"/>
  <c r="V1072" i="1"/>
  <c r="W1072" i="1" s="1"/>
  <c r="V1083" i="1"/>
  <c r="W1083" i="1" s="1"/>
  <c r="V1093" i="1"/>
  <c r="W1093" i="1" s="1"/>
  <c r="V1110" i="1"/>
  <c r="W1110" i="1" s="1"/>
  <c r="V1123" i="1"/>
  <c r="W1123" i="1" s="1"/>
  <c r="V1132" i="1"/>
  <c r="W1132" i="1" s="1"/>
  <c r="V1146" i="1"/>
  <c r="W1146" i="1" s="1"/>
  <c r="V1168" i="1"/>
  <c r="W1168" i="1" s="1"/>
  <c r="V1186" i="1"/>
  <c r="W1186" i="1" s="1"/>
  <c r="V1194" i="1"/>
  <c r="W1194" i="1" s="1"/>
  <c r="V1202" i="1"/>
  <c r="W1202" i="1" s="1"/>
  <c r="V1210" i="1"/>
  <c r="W1210" i="1" s="1"/>
  <c r="V1218" i="1"/>
  <c r="W1218" i="1" s="1"/>
  <c r="V1226" i="1"/>
  <c r="W1226" i="1" s="1"/>
  <c r="V1234" i="1"/>
  <c r="W1234" i="1" s="1"/>
  <c r="V1242" i="1"/>
  <c r="W1242" i="1" s="1"/>
  <c r="V1250" i="1"/>
  <c r="W1250" i="1" s="1"/>
  <c r="V1258" i="1"/>
  <c r="W1258" i="1" s="1"/>
  <c r="V1266" i="1"/>
  <c r="W1266" i="1" s="1"/>
  <c r="V1281" i="1"/>
  <c r="W1281" i="1" s="1"/>
  <c r="V1289" i="1"/>
  <c r="W1289" i="1" s="1"/>
  <c r="V1297" i="1"/>
  <c r="W1297" i="1" s="1"/>
  <c r="V1305" i="1"/>
  <c r="W1305" i="1" s="1"/>
  <c r="V1313" i="1"/>
  <c r="W1313" i="1" s="1"/>
  <c r="V1321" i="1"/>
  <c r="W1321" i="1" s="1"/>
  <c r="V1329" i="1"/>
  <c r="W1329" i="1" s="1"/>
  <c r="V1337" i="1"/>
  <c r="W1337" i="1" s="1"/>
  <c r="V1345" i="1"/>
  <c r="W1345" i="1" s="1"/>
  <c r="V1370" i="1"/>
  <c r="W1370" i="1" s="1"/>
  <c r="V1386" i="1"/>
  <c r="W1386" i="1" s="1"/>
  <c r="V1394" i="1"/>
  <c r="W1394" i="1" s="1"/>
  <c r="V1402" i="1"/>
  <c r="W1402" i="1" s="1"/>
  <c r="V1414" i="1"/>
  <c r="W1414" i="1" s="1"/>
  <c r="V1422" i="1"/>
  <c r="W1422" i="1" s="1"/>
  <c r="V1430" i="1"/>
  <c r="W1430" i="1" s="1"/>
  <c r="V1438" i="1"/>
  <c r="W1438" i="1" s="1"/>
  <c r="V1446" i="1"/>
  <c r="W1446" i="1" s="1"/>
  <c r="V1456" i="1"/>
  <c r="W1456" i="1" s="1"/>
  <c r="V1464" i="1"/>
  <c r="W1464" i="1" s="1"/>
  <c r="V1472" i="1"/>
  <c r="W1472" i="1" s="1"/>
  <c r="V1480" i="1"/>
  <c r="W1480" i="1" s="1"/>
  <c r="V1488" i="1"/>
  <c r="W1488" i="1" s="1"/>
  <c r="V1496" i="1"/>
  <c r="W1496" i="1" s="1"/>
  <c r="V1504" i="1"/>
  <c r="W1504" i="1" s="1"/>
  <c r="V1514" i="1"/>
  <c r="W1514" i="1" s="1"/>
  <c r="V1524" i="1"/>
  <c r="W1524" i="1" s="1"/>
  <c r="V1532" i="1"/>
  <c r="W1532" i="1" s="1"/>
  <c r="V1540" i="1"/>
  <c r="W1540" i="1" s="1"/>
  <c r="V1548" i="1"/>
  <c r="W1548" i="1" s="1"/>
  <c r="V1556" i="1"/>
  <c r="W1556" i="1" s="1"/>
  <c r="V1566" i="1"/>
  <c r="W1566" i="1" s="1"/>
  <c r="V1576" i="1"/>
  <c r="W1576" i="1" s="1"/>
  <c r="V1584" i="1"/>
  <c r="W1584" i="1" s="1"/>
  <c r="V1592" i="1"/>
  <c r="W1592" i="1" s="1"/>
  <c r="V1600" i="1"/>
  <c r="W1600" i="1" s="1"/>
  <c r="V1608" i="1"/>
  <c r="W1608" i="1" s="1"/>
  <c r="V1616" i="1"/>
  <c r="W1616" i="1" s="1"/>
  <c r="V1624" i="1"/>
  <c r="W1624" i="1" s="1"/>
  <c r="V1632" i="1"/>
  <c r="W1632" i="1" s="1"/>
  <c r="V1640" i="1"/>
  <c r="W1640" i="1" s="1"/>
  <c r="V1708" i="1"/>
  <c r="W1708" i="1" s="1"/>
  <c r="V1718" i="1"/>
  <c r="W1718" i="1" s="1"/>
  <c r="V1726" i="1"/>
  <c r="W1726" i="1" s="1"/>
  <c r="V1734" i="1"/>
  <c r="W1734" i="1" s="1"/>
  <c r="V1742" i="1"/>
  <c r="W1742" i="1" s="1"/>
  <c r="V1750" i="1"/>
  <c r="W1750" i="1" s="1"/>
  <c r="V1760" i="1"/>
  <c r="W1760" i="1" s="1"/>
  <c r="V1768" i="1"/>
  <c r="W1768" i="1" s="1"/>
  <c r="V1781" i="1"/>
  <c r="W1781" i="1" s="1"/>
  <c r="V1789" i="1"/>
  <c r="W1789" i="1" s="1"/>
  <c r="V1799" i="1"/>
  <c r="W1799" i="1" s="1"/>
  <c r="V1807" i="1"/>
  <c r="W1807" i="1" s="1"/>
  <c r="V1817" i="1"/>
  <c r="W1817" i="1" s="1"/>
  <c r="V1830" i="1"/>
  <c r="W1830" i="1" s="1"/>
  <c r="V1841" i="1"/>
  <c r="W1841" i="1" s="1"/>
  <c r="V1851" i="1"/>
  <c r="W1851" i="1" s="1"/>
  <c r="V1861" i="1"/>
  <c r="W1861" i="1" s="1"/>
  <c r="V1869" i="1"/>
  <c r="W1869" i="1" s="1"/>
  <c r="V1877" i="1"/>
  <c r="W1877" i="1" s="1"/>
  <c r="V1885" i="1"/>
  <c r="W1885" i="1" s="1"/>
  <c r="V1895" i="1"/>
  <c r="W1895" i="1" s="1"/>
  <c r="V1903" i="1"/>
  <c r="W1903" i="1" s="1"/>
  <c r="V1911" i="1"/>
  <c r="W1911" i="1" s="1"/>
  <c r="V1921" i="1"/>
  <c r="W1921" i="1" s="1"/>
  <c r="V1929" i="1"/>
  <c r="W1929" i="1" s="1"/>
  <c r="V1942" i="1"/>
  <c r="W1942" i="1" s="1"/>
  <c r="V2096" i="1"/>
  <c r="W2096" i="1" s="1"/>
  <c r="V2104" i="1"/>
  <c r="W2104" i="1" s="1"/>
  <c r="V2114" i="1"/>
  <c r="W2114" i="1" s="1"/>
  <c r="V2128" i="1"/>
  <c r="W2128" i="1" s="1"/>
  <c r="V2136" i="1"/>
  <c r="W2136" i="1" s="1"/>
  <c r="V2147" i="1"/>
  <c r="W2147" i="1" s="1"/>
  <c r="V2155" i="1"/>
  <c r="W2155" i="1" s="1"/>
  <c r="V2167" i="1"/>
  <c r="W2167" i="1" s="1"/>
  <c r="V2178" i="1"/>
  <c r="W2178" i="1" s="1"/>
  <c r="V2186" i="1"/>
  <c r="W2186" i="1" s="1"/>
  <c r="V2200" i="1"/>
  <c r="W2200" i="1" s="1"/>
  <c r="V2211" i="1"/>
  <c r="W2211" i="1" s="1"/>
  <c r="V2224" i="1"/>
  <c r="W2224" i="1" s="1"/>
  <c r="V2235" i="1"/>
  <c r="W2235" i="1" s="1"/>
  <c r="V2243" i="1"/>
  <c r="W2243" i="1" s="1"/>
  <c r="V2256" i="1"/>
  <c r="W2256" i="1" s="1"/>
  <c r="V2264" i="1"/>
  <c r="W2264" i="1" s="1"/>
  <c r="V2274" i="1"/>
  <c r="W2274" i="1" s="1"/>
  <c r="V2282" i="1"/>
  <c r="W2282" i="1" s="1"/>
  <c r="V2290" i="1"/>
  <c r="W2290" i="1" s="1"/>
  <c r="V2300" i="1"/>
  <c r="W2300" i="1" s="1"/>
  <c r="V2313" i="1"/>
  <c r="W2313" i="1" s="1"/>
  <c r="V33" i="1"/>
  <c r="W33" i="1" s="1"/>
  <c r="V71" i="1"/>
  <c r="W71" i="1" s="1"/>
  <c r="V115" i="1"/>
  <c r="W115" i="1" s="1"/>
  <c r="V151" i="1"/>
  <c r="W151" i="1" s="1"/>
  <c r="V207" i="1"/>
  <c r="W207" i="1" s="1"/>
  <c r="V241" i="1"/>
  <c r="W241" i="1" s="1"/>
  <c r="V268" i="1"/>
  <c r="W268" i="1" s="1"/>
  <c r="V289" i="1"/>
  <c r="W289" i="1" s="1"/>
  <c r="V316" i="1"/>
  <c r="W316" i="1" s="1"/>
  <c r="V332" i="1"/>
  <c r="W332" i="1" s="1"/>
  <c r="V351" i="1"/>
  <c r="W351" i="1" s="1"/>
  <c r="V367" i="1"/>
  <c r="W367" i="1" s="1"/>
  <c r="V380" i="1"/>
  <c r="W380" i="1" s="1"/>
  <c r="V395" i="1"/>
  <c r="W395" i="1" s="1"/>
  <c r="V410" i="1"/>
  <c r="W410" i="1" s="1"/>
  <c r="V423" i="1"/>
  <c r="W423" i="1" s="1"/>
  <c r="V440" i="1"/>
  <c r="W440" i="1" s="1"/>
  <c r="V454" i="1"/>
  <c r="W454" i="1" s="1"/>
  <c r="V470" i="1"/>
  <c r="W470" i="1" s="1"/>
  <c r="V484" i="1"/>
  <c r="W484" i="1" s="1"/>
  <c r="V503" i="1"/>
  <c r="W503" i="1" s="1"/>
  <c r="V516" i="1"/>
  <c r="W516" i="1" s="1"/>
  <c r="V535" i="1"/>
  <c r="W535" i="1" s="1"/>
  <c r="V550" i="1"/>
  <c r="W550" i="1" s="1"/>
  <c r="V563" i="1"/>
  <c r="W563" i="1" s="1"/>
  <c r="V578" i="1"/>
  <c r="W578" i="1" s="1"/>
  <c r="V597" i="1"/>
  <c r="W597" i="1" s="1"/>
  <c r="V611" i="1"/>
  <c r="W611" i="1" s="1"/>
  <c r="V625" i="1"/>
  <c r="W625" i="1" s="1"/>
  <c r="V640" i="1"/>
  <c r="W640" i="1" s="1"/>
  <c r="V659" i="1"/>
  <c r="W659" i="1" s="1"/>
  <c r="V674" i="1"/>
  <c r="W674" i="1" s="1"/>
  <c r="V726" i="1"/>
  <c r="W726" i="1" s="1"/>
  <c r="V739" i="1"/>
  <c r="W739" i="1" s="1"/>
  <c r="V754" i="1"/>
  <c r="W754" i="1" s="1"/>
  <c r="V768" i="1"/>
  <c r="W768" i="1" s="1"/>
  <c r="V782" i="1"/>
  <c r="W782" i="1" s="1"/>
  <c r="V806" i="1"/>
  <c r="W806" i="1" s="1"/>
  <c r="V824" i="1"/>
  <c r="W824" i="1" s="1"/>
  <c r="V835" i="1"/>
  <c r="W835" i="1" s="1"/>
  <c r="V846" i="1"/>
  <c r="W846" i="1" s="1"/>
  <c r="V857" i="1"/>
  <c r="W857" i="1" s="1"/>
  <c r="V872" i="1"/>
  <c r="W872" i="1" s="1"/>
  <c r="V893" i="1"/>
  <c r="W893" i="1" s="1"/>
  <c r="V904" i="1"/>
  <c r="W904" i="1" s="1"/>
  <c r="V919" i="1"/>
  <c r="W919" i="1" s="1"/>
  <c r="V936" i="1"/>
  <c r="W936" i="1" s="1"/>
  <c r="V953" i="1"/>
  <c r="W953" i="1" s="1"/>
  <c r="V963" i="1"/>
  <c r="W963" i="1" s="1"/>
  <c r="V974" i="1"/>
  <c r="W974" i="1" s="1"/>
  <c r="V997" i="1"/>
  <c r="W997" i="1" s="1"/>
  <c r="V1007" i="1"/>
  <c r="W1007" i="1" s="1"/>
  <c r="V1018" i="1"/>
  <c r="W1018" i="1" s="1"/>
  <c r="V37" i="1"/>
  <c r="W37" i="1" s="1"/>
  <c r="V75" i="1"/>
  <c r="W75" i="1" s="1"/>
  <c r="V118" i="1"/>
  <c r="W118" i="1" s="1"/>
  <c r="V161" i="1"/>
  <c r="W161" i="1" s="1"/>
  <c r="V210" i="1"/>
  <c r="W210" i="1" s="1"/>
  <c r="V244" i="1"/>
  <c r="W244" i="1" s="1"/>
  <c r="V272" i="1"/>
  <c r="W272" i="1" s="1"/>
  <c r="V291" i="1"/>
  <c r="W291" i="1" s="1"/>
  <c r="V317" i="1"/>
  <c r="W317" i="1" s="1"/>
  <c r="V334" i="1"/>
  <c r="W334" i="1" s="1"/>
  <c r="V352" i="1"/>
  <c r="W352" i="1" s="1"/>
  <c r="V368" i="1"/>
  <c r="W368" i="1" s="1"/>
  <c r="V383" i="1"/>
  <c r="W383" i="1" s="1"/>
  <c r="V396" i="1"/>
  <c r="W396" i="1" s="1"/>
  <c r="V411" i="1"/>
  <c r="W411" i="1" s="1"/>
  <c r="V426" i="1"/>
  <c r="W426" i="1" s="1"/>
  <c r="V441" i="1"/>
  <c r="W441" i="1" s="1"/>
  <c r="V456" i="1"/>
  <c r="W456" i="1" s="1"/>
  <c r="V472" i="1"/>
  <c r="W472" i="1" s="1"/>
  <c r="V486" i="1"/>
  <c r="W486" i="1" s="1"/>
  <c r="V504" i="1"/>
  <c r="W504" i="1" s="1"/>
  <c r="V45" i="1"/>
  <c r="W45" i="1" s="1"/>
  <c r="V81" i="1"/>
  <c r="W81" i="1" s="1"/>
  <c r="V123" i="1"/>
  <c r="W123" i="1" s="1"/>
  <c r="V171" i="1"/>
  <c r="W171" i="1" s="1"/>
  <c r="V215" i="1"/>
  <c r="W215" i="1" s="1"/>
  <c r="V249" i="1"/>
  <c r="W249" i="1" s="1"/>
  <c r="V273" i="1"/>
  <c r="W273" i="1" s="1"/>
  <c r="V293" i="1"/>
  <c r="W293" i="1" s="1"/>
  <c r="V318" i="1"/>
  <c r="W318" i="1" s="1"/>
  <c r="V337" i="1"/>
  <c r="W337" i="1" s="1"/>
  <c r="V356" i="1"/>
  <c r="W356" i="1" s="1"/>
  <c r="V370" i="1"/>
  <c r="W370" i="1" s="1"/>
  <c r="V384" i="1"/>
  <c r="W384" i="1" s="1"/>
  <c r="V399" i="1"/>
  <c r="W399" i="1" s="1"/>
  <c r="V412" i="1"/>
  <c r="W412" i="1" s="1"/>
  <c r="V427" i="1"/>
  <c r="W427" i="1" s="1"/>
  <c r="V444" i="1"/>
  <c r="W444" i="1" s="1"/>
  <c r="V457" i="1"/>
  <c r="W457" i="1" s="1"/>
  <c r="V474" i="1"/>
  <c r="W474" i="1" s="1"/>
  <c r="V488" i="1"/>
  <c r="W488" i="1" s="1"/>
  <c r="V506" i="1"/>
  <c r="W506" i="1" s="1"/>
  <c r="V50" i="1"/>
  <c r="W50" i="1" s="1"/>
  <c r="V84" i="1"/>
  <c r="W84" i="1" s="1"/>
  <c r="V127" i="1"/>
  <c r="W127" i="1" s="1"/>
  <c r="V175" i="1"/>
  <c r="W175" i="1" s="1"/>
  <c r="V218" i="1"/>
  <c r="W218" i="1" s="1"/>
  <c r="V252" i="1"/>
  <c r="W252" i="1" s="1"/>
  <c r="V276" i="1"/>
  <c r="W276" i="1" s="1"/>
  <c r="V303" i="1"/>
  <c r="W303" i="1" s="1"/>
  <c r="V322" i="1"/>
  <c r="W322" i="1" s="1"/>
  <c r="V338" i="1"/>
  <c r="W338" i="1" s="1"/>
  <c r="V358" i="1"/>
  <c r="W358" i="1" s="1"/>
  <c r="V372" i="1"/>
  <c r="W372" i="1" s="1"/>
  <c r="V386" i="1"/>
  <c r="W386" i="1" s="1"/>
  <c r="V400" i="1"/>
  <c r="W400" i="1" s="1"/>
  <c r="V415" i="1"/>
  <c r="W415" i="1" s="1"/>
  <c r="V428" i="1"/>
  <c r="W428" i="1" s="1"/>
  <c r="V445" i="1"/>
  <c r="W445" i="1" s="1"/>
  <c r="V460" i="1"/>
  <c r="W460" i="1" s="1"/>
  <c r="V475" i="1"/>
  <c r="W475" i="1" s="1"/>
  <c r="V490" i="1"/>
  <c r="W490" i="1" s="1"/>
  <c r="V508" i="1"/>
  <c r="W508" i="1" s="1"/>
  <c r="V526" i="1"/>
  <c r="W526" i="1" s="1"/>
  <c r="V540" i="1"/>
  <c r="W540" i="1" s="1"/>
  <c r="V555" i="1"/>
  <c r="W555" i="1" s="1"/>
  <c r="V568" i="1"/>
  <c r="W568" i="1" s="1"/>
  <c r="V588" i="1"/>
  <c r="W588" i="1" s="1"/>
  <c r="V603" i="1"/>
  <c r="W603" i="1" s="1"/>
  <c r="V616" i="1"/>
  <c r="W616" i="1" s="1"/>
  <c r="V631" i="1"/>
  <c r="W631" i="1" s="1"/>
  <c r="V645" i="1"/>
  <c r="W645" i="1" s="1"/>
  <c r="V665" i="1"/>
  <c r="W665" i="1" s="1"/>
  <c r="V716" i="1"/>
  <c r="W716" i="1" s="1"/>
  <c r="V731" i="1"/>
  <c r="W731" i="1" s="1"/>
  <c r="V744" i="1"/>
  <c r="W744" i="1" s="1"/>
  <c r="V759" i="1"/>
  <c r="W759" i="1" s="1"/>
  <c r="V774" i="1"/>
  <c r="W774" i="1" s="1"/>
  <c r="V787" i="1"/>
  <c r="W787" i="1" s="1"/>
  <c r="V810" i="1"/>
  <c r="W810" i="1" s="1"/>
  <c r="V829" i="1"/>
  <c r="W829" i="1" s="1"/>
  <c r="V839" i="1"/>
  <c r="W839" i="1" s="1"/>
  <c r="V850" i="1"/>
  <c r="W850" i="1" s="1"/>
  <c r="V861" i="1"/>
  <c r="W861" i="1" s="1"/>
  <c r="V881" i="1"/>
  <c r="W881" i="1" s="1"/>
  <c r="V897" i="1"/>
  <c r="W897" i="1" s="1"/>
  <c r="V913" i="1"/>
  <c r="W913" i="1" s="1"/>
  <c r="V923" i="1"/>
  <c r="W923" i="1" s="1"/>
  <c r="V946" i="1"/>
  <c r="W946" i="1" s="1"/>
  <c r="V957" i="1"/>
  <c r="W957" i="1" s="1"/>
  <c r="V967" i="1"/>
  <c r="W967" i="1" s="1"/>
  <c r="V984" i="1"/>
  <c r="W984" i="1" s="1"/>
  <c r="V1001" i="1"/>
  <c r="W1001" i="1" s="1"/>
  <c r="V1011" i="1"/>
  <c r="W1011" i="1" s="1"/>
  <c r="V1024" i="1"/>
  <c r="W1024" i="1" s="1"/>
  <c r="V1035" i="1"/>
  <c r="W1035" i="1" s="1"/>
  <c r="V1045" i="1"/>
  <c r="W1045" i="1" s="1"/>
  <c r="V1056" i="1"/>
  <c r="W1056" i="1" s="1"/>
  <c r="V1067" i="1"/>
  <c r="W1067" i="1" s="1"/>
  <c r="V1077" i="1"/>
  <c r="W1077" i="1" s="1"/>
  <c r="V1088" i="1"/>
  <c r="W1088" i="1" s="1"/>
  <c r="V1105" i="1"/>
  <c r="W1105" i="1" s="1"/>
  <c r="V1118" i="1"/>
  <c r="W1118" i="1" s="1"/>
  <c r="V1128" i="1"/>
  <c r="W1128" i="1" s="1"/>
  <c r="V1142" i="1"/>
  <c r="W1142" i="1" s="1"/>
  <c r="V1151" i="1"/>
  <c r="W1151" i="1" s="1"/>
  <c r="V1178" i="1"/>
  <c r="W1178" i="1" s="1"/>
  <c r="V1190" i="1"/>
  <c r="W1190" i="1" s="1"/>
  <c r="V1198" i="1"/>
  <c r="W1198" i="1" s="1"/>
  <c r="V1206" i="1"/>
  <c r="W1206" i="1" s="1"/>
  <c r="V1214" i="1"/>
  <c r="W1214" i="1" s="1"/>
  <c r="V1222" i="1"/>
  <c r="W1222" i="1" s="1"/>
  <c r="V1230" i="1"/>
  <c r="W1230" i="1" s="1"/>
  <c r="V1238" i="1"/>
  <c r="W1238" i="1" s="1"/>
  <c r="V1246" i="1"/>
  <c r="W1246" i="1" s="1"/>
  <c r="V1254" i="1"/>
  <c r="W1254" i="1" s="1"/>
  <c r="V1262" i="1"/>
  <c r="W1262" i="1" s="1"/>
  <c r="V1270" i="1"/>
  <c r="W1270" i="1" s="1"/>
  <c r="V1285" i="1"/>
  <c r="W1285" i="1" s="1"/>
  <c r="V1293" i="1"/>
  <c r="W1293" i="1" s="1"/>
  <c r="V1301" i="1"/>
  <c r="W1301" i="1" s="1"/>
  <c r="V1309" i="1"/>
  <c r="W1309" i="1" s="1"/>
  <c r="V1317" i="1"/>
  <c r="W1317" i="1" s="1"/>
  <c r="V1325" i="1"/>
  <c r="W1325" i="1" s="1"/>
  <c r="V1333" i="1"/>
  <c r="W1333" i="1" s="1"/>
  <c r="V1341" i="1"/>
  <c r="W1341" i="1" s="1"/>
  <c r="V1366" i="1"/>
  <c r="W1366" i="1" s="1"/>
  <c r="V1380" i="1"/>
  <c r="W1380" i="1" s="1"/>
  <c r="V1390" i="1"/>
  <c r="W1390" i="1" s="1"/>
  <c r="V1398" i="1"/>
  <c r="W1398" i="1" s="1"/>
  <c r="V1406" i="1"/>
  <c r="W1406" i="1" s="1"/>
  <c r="V1418" i="1"/>
  <c r="W1418" i="1" s="1"/>
  <c r="V1426" i="1"/>
  <c r="W1426" i="1" s="1"/>
  <c r="V1434" i="1"/>
  <c r="W1434" i="1" s="1"/>
  <c r="V1442" i="1"/>
  <c r="W1442" i="1" s="1"/>
  <c r="V1450" i="1"/>
  <c r="W1450" i="1" s="1"/>
  <c r="V1460" i="1"/>
  <c r="W1460" i="1" s="1"/>
  <c r="V1468" i="1"/>
  <c r="W1468" i="1" s="1"/>
  <c r="V1476" i="1"/>
  <c r="W1476" i="1" s="1"/>
  <c r="V1484" i="1"/>
  <c r="W1484" i="1" s="1"/>
  <c r="V1492" i="1"/>
  <c r="W1492" i="1" s="1"/>
  <c r="V1500" i="1"/>
  <c r="W1500" i="1" s="1"/>
  <c r="V1508" i="1"/>
  <c r="W1508" i="1" s="1"/>
  <c r="V1520" i="1"/>
  <c r="W1520" i="1" s="1"/>
  <c r="V1528" i="1"/>
  <c r="W1528" i="1" s="1"/>
  <c r="V1536" i="1"/>
  <c r="W1536" i="1" s="1"/>
  <c r="V1544" i="1"/>
  <c r="W1544" i="1" s="1"/>
  <c r="V1552" i="1"/>
  <c r="W1552" i="1" s="1"/>
  <c r="V1562" i="1"/>
  <c r="W1562" i="1" s="1"/>
  <c r="V1570" i="1"/>
  <c r="W1570" i="1" s="1"/>
  <c r="V1580" i="1"/>
  <c r="W1580" i="1" s="1"/>
  <c r="V1588" i="1"/>
  <c r="W1588" i="1" s="1"/>
  <c r="V1596" i="1"/>
  <c r="W1596" i="1" s="1"/>
  <c r="V1604" i="1"/>
  <c r="W1604" i="1" s="1"/>
  <c r="V1612" i="1"/>
  <c r="W1612" i="1" s="1"/>
  <c r="V1620" i="1"/>
  <c r="W1620" i="1" s="1"/>
  <c r="V1628" i="1"/>
  <c r="W1628" i="1" s="1"/>
  <c r="V1636" i="1"/>
  <c r="W1636" i="1" s="1"/>
  <c r="V1704" i="1"/>
  <c r="W1704" i="1" s="1"/>
  <c r="V1712" i="1"/>
  <c r="W1712" i="1" s="1"/>
  <c r="V1722" i="1"/>
  <c r="W1722" i="1" s="1"/>
  <c r="V1730" i="1"/>
  <c r="W1730" i="1" s="1"/>
  <c r="V1738" i="1"/>
  <c r="W1738" i="1" s="1"/>
  <c r="V1746" i="1"/>
  <c r="W1746" i="1" s="1"/>
  <c r="V1756" i="1"/>
  <c r="W1756" i="1" s="1"/>
  <c r="V1764" i="1"/>
  <c r="W1764" i="1" s="1"/>
  <c r="V1772" i="1"/>
  <c r="W1772" i="1" s="1"/>
  <c r="V1785" i="1"/>
  <c r="W1785" i="1" s="1"/>
  <c r="V1795" i="1"/>
  <c r="W1795" i="1" s="1"/>
  <c r="V1803" i="1"/>
  <c r="W1803" i="1" s="1"/>
  <c r="V1811" i="1"/>
  <c r="W1811" i="1" s="1"/>
  <c r="V1823" i="1"/>
  <c r="W1823" i="1" s="1"/>
  <c r="V1834" i="1"/>
  <c r="W1834" i="1" s="1"/>
  <c r="V1845" i="1"/>
  <c r="W1845" i="1" s="1"/>
  <c r="V1857" i="1"/>
  <c r="W1857" i="1" s="1"/>
  <c r="V1865" i="1"/>
  <c r="W1865" i="1" s="1"/>
  <c r="V1873" i="1"/>
  <c r="W1873" i="1" s="1"/>
  <c r="V1881" i="1"/>
  <c r="W1881" i="1" s="1"/>
  <c r="V1889" i="1"/>
  <c r="W1889" i="1" s="1"/>
  <c r="V1899" i="1"/>
  <c r="W1899" i="1" s="1"/>
  <c r="V1907" i="1"/>
  <c r="W1907" i="1" s="1"/>
  <c r="V1917" i="1"/>
  <c r="W1917" i="1" s="1"/>
  <c r="V1925" i="1"/>
  <c r="W1925" i="1" s="1"/>
  <c r="V1938" i="1"/>
  <c r="W1938" i="1" s="1"/>
  <c r="V2092" i="1"/>
  <c r="W2092" i="1" s="1"/>
  <c r="V2100" i="1"/>
  <c r="W2100" i="1" s="1"/>
  <c r="V2110" i="1"/>
  <c r="W2110" i="1" s="1"/>
  <c r="V2124" i="1"/>
  <c r="W2124" i="1" s="1"/>
  <c r="V2132" i="1"/>
  <c r="W2132" i="1" s="1"/>
  <c r="V2143" i="1"/>
  <c r="W2143" i="1" s="1"/>
  <c r="V2151" i="1"/>
  <c r="W2151" i="1" s="1"/>
  <c r="V2163" i="1"/>
  <c r="W2163" i="1" s="1"/>
  <c r="V2171" i="1"/>
  <c r="W2171" i="1" s="1"/>
  <c r="V2182" i="1"/>
  <c r="W2182" i="1" s="1"/>
  <c r="V2196" i="1"/>
  <c r="W2196" i="1" s="1"/>
  <c r="V2207" i="1"/>
  <c r="W2207" i="1" s="1"/>
  <c r="V2215" i="1"/>
  <c r="W2215" i="1" s="1"/>
  <c r="V2228" i="1"/>
  <c r="W2228" i="1" s="1"/>
  <c r="V2239" i="1"/>
  <c r="W2239" i="1" s="1"/>
  <c r="V2250" i="1"/>
  <c r="W2250" i="1" s="1"/>
  <c r="V2260" i="1"/>
  <c r="W2260" i="1" s="1"/>
  <c r="V2270" i="1"/>
  <c r="W2270" i="1" s="1"/>
  <c r="V2278" i="1"/>
  <c r="W2278" i="1" s="1"/>
  <c r="V2286" i="1"/>
  <c r="W2286" i="1" s="1"/>
  <c r="V2296" i="1"/>
  <c r="W2296" i="1" s="1"/>
  <c r="V2307" i="1"/>
  <c r="W2307" i="1" s="1"/>
  <c r="V2317" i="1"/>
  <c r="W2317" i="1" s="1"/>
  <c r="V2327" i="1"/>
  <c r="W2327" i="1" s="1"/>
  <c r="V2337" i="1"/>
  <c r="W2337" i="1" s="1"/>
  <c r="V2350" i="1"/>
  <c r="W2350" i="1" s="1"/>
  <c r="V2360" i="1"/>
  <c r="W2360" i="1" s="1"/>
  <c r="V2370" i="1"/>
  <c r="W2370" i="1" s="1"/>
  <c r="V511" i="1"/>
  <c r="W511" i="1" s="1"/>
  <c r="V544" i="1"/>
  <c r="W544" i="1" s="1"/>
  <c r="V572" i="1"/>
  <c r="W572" i="1" s="1"/>
  <c r="V605" i="1"/>
  <c r="W605" i="1" s="1"/>
  <c r="V635" i="1"/>
  <c r="W635" i="1" s="1"/>
  <c r="V669" i="1"/>
  <c r="W669" i="1" s="1"/>
  <c r="V734" i="1"/>
  <c r="W734" i="1" s="1"/>
  <c r="V763" i="1"/>
  <c r="W763" i="1" s="1"/>
  <c r="V801" i="1"/>
  <c r="W801" i="1" s="1"/>
  <c r="V831" i="1"/>
  <c r="W831" i="1" s="1"/>
  <c r="V853" i="1"/>
  <c r="W853" i="1" s="1"/>
  <c r="V884" i="1"/>
  <c r="W884" i="1" s="1"/>
  <c r="V915" i="1"/>
  <c r="W915" i="1" s="1"/>
  <c r="V970" i="1"/>
  <c r="W970" i="1" s="1"/>
  <c r="V1003" i="1"/>
  <c r="W1003" i="1" s="1"/>
  <c r="V1027" i="1"/>
  <c r="W1027" i="1" s="1"/>
  <c r="V1043" i="1"/>
  <c r="W1043" i="1" s="1"/>
  <c r="V1060" i="1"/>
  <c r="W1060" i="1" s="1"/>
  <c r="V1075" i="1"/>
  <c r="W1075" i="1" s="1"/>
  <c r="V1089" i="1"/>
  <c r="W1089" i="1" s="1"/>
  <c r="V1109" i="1"/>
  <c r="W1109" i="1" s="1"/>
  <c r="V1125" i="1"/>
  <c r="W1125" i="1" s="1"/>
  <c r="V1143" i="1"/>
  <c r="W1143" i="1" s="1"/>
  <c r="V1167" i="1"/>
  <c r="W1167" i="1" s="1"/>
  <c r="V1188" i="1"/>
  <c r="W1188" i="1" s="1"/>
  <c r="V1209" i="1"/>
  <c r="W1209" i="1" s="1"/>
  <c r="V1231" i="1"/>
  <c r="W1231" i="1" s="1"/>
  <c r="V1252" i="1"/>
  <c r="W1252" i="1" s="1"/>
  <c r="V1291" i="1"/>
  <c r="W1291" i="1" s="1"/>
  <c r="V1323" i="1"/>
  <c r="W1323" i="1" s="1"/>
  <c r="V1376" i="1"/>
  <c r="W1376" i="1" s="1"/>
  <c r="V1427" i="1"/>
  <c r="W1427" i="1" s="1"/>
  <c r="V1471" i="1"/>
  <c r="W1471" i="1" s="1"/>
  <c r="V1503" i="1"/>
  <c r="W1503" i="1" s="1"/>
  <c r="V1539" i="1"/>
  <c r="W1539" i="1" s="1"/>
  <c r="V1573" i="1"/>
  <c r="W1573" i="1" s="1"/>
  <c r="V1597" i="1"/>
  <c r="W1597" i="1" s="1"/>
  <c r="V1629" i="1"/>
  <c r="W1629" i="1" s="1"/>
  <c r="V1710" i="1"/>
  <c r="W1710" i="1" s="1"/>
  <c r="V1744" i="1"/>
  <c r="W1744" i="1" s="1"/>
  <c r="V1767" i="1"/>
  <c r="W1767" i="1" s="1"/>
  <c r="V1806" i="1"/>
  <c r="W1806" i="1" s="1"/>
  <c r="V1837" i="1"/>
  <c r="W1837" i="1" s="1"/>
  <c r="V1874" i="1"/>
  <c r="W1874" i="1" s="1"/>
  <c r="V1897" i="1"/>
  <c r="W1897" i="1" s="1"/>
  <c r="V1920" i="1"/>
  <c r="W1920" i="1" s="1"/>
  <c r="V2093" i="1"/>
  <c r="W2093" i="1" s="1"/>
  <c r="V2119" i="1"/>
  <c r="W2119" i="1" s="1"/>
  <c r="V2161" i="1"/>
  <c r="W2161" i="1" s="1"/>
  <c r="V2185" i="1"/>
  <c r="W2185" i="1" s="1"/>
  <c r="V2216" i="1"/>
  <c r="W2216" i="1" s="1"/>
  <c r="V2261" i="1"/>
  <c r="W2261" i="1" s="1"/>
  <c r="V2284" i="1"/>
  <c r="W2284" i="1" s="1"/>
  <c r="V2310" i="1"/>
  <c r="W2310" i="1" s="1"/>
  <c r="V2349" i="1"/>
  <c r="W2349" i="1" s="1"/>
  <c r="V2372" i="1"/>
  <c r="W2372" i="1" s="1"/>
  <c r="V2392" i="1"/>
  <c r="W2392" i="1" s="1"/>
  <c r="V2418" i="1"/>
  <c r="W2418" i="1" s="1"/>
  <c r="V1324" i="1"/>
  <c r="W1324" i="1" s="1"/>
  <c r="V1428" i="1"/>
  <c r="W1428" i="1" s="1"/>
  <c r="V1473" i="1"/>
  <c r="W1473" i="1" s="1"/>
  <c r="V1505" i="1"/>
  <c r="W1505" i="1" s="1"/>
  <c r="V1541" i="1"/>
  <c r="W1541" i="1" s="1"/>
  <c r="V1564" i="1"/>
  <c r="W1564" i="1" s="1"/>
  <c r="V514" i="1"/>
  <c r="W514" i="1" s="1"/>
  <c r="V546" i="1"/>
  <c r="W546" i="1" s="1"/>
  <c r="V574" i="1"/>
  <c r="W574" i="1" s="1"/>
  <c r="V608" i="1"/>
  <c r="W608" i="1" s="1"/>
  <c r="V636" i="1"/>
  <c r="W636" i="1" s="1"/>
  <c r="V670" i="1"/>
  <c r="W670" i="1" s="1"/>
  <c r="V736" i="1"/>
  <c r="W736" i="1" s="1"/>
  <c r="V764" i="1"/>
  <c r="W764" i="1" s="1"/>
  <c r="V802" i="1"/>
  <c r="W802" i="1" s="1"/>
  <c r="V833" i="1"/>
  <c r="W833" i="1" s="1"/>
  <c r="V854" i="1"/>
  <c r="W854" i="1" s="1"/>
  <c r="V885" i="1"/>
  <c r="W885" i="1" s="1"/>
  <c r="V917" i="1"/>
  <c r="W917" i="1" s="1"/>
  <c r="V950" i="1"/>
  <c r="W950" i="1" s="1"/>
  <c r="V971" i="1"/>
  <c r="W971" i="1" s="1"/>
  <c r="V1005" i="1"/>
  <c r="W1005" i="1" s="1"/>
  <c r="V1028" i="1"/>
  <c r="W1028" i="1" s="1"/>
  <c r="V1044" i="1"/>
  <c r="W1044" i="1" s="1"/>
  <c r="V1063" i="1"/>
  <c r="W1063" i="1" s="1"/>
  <c r="V1076" i="1"/>
  <c r="W1076" i="1" s="1"/>
  <c r="V1091" i="1"/>
  <c r="W1091" i="1" s="1"/>
  <c r="V1114" i="1"/>
  <c r="W1114" i="1" s="1"/>
  <c r="V1126" i="1"/>
  <c r="W1126" i="1" s="1"/>
  <c r="V1144" i="1"/>
  <c r="W1144" i="1" s="1"/>
  <c r="V1170" i="1"/>
  <c r="W1170" i="1" s="1"/>
  <c r="V1189" i="1"/>
  <c r="W1189" i="1" s="1"/>
  <c r="V1200" i="1"/>
  <c r="W1200" i="1" s="1"/>
  <c r="V1211" i="1"/>
  <c r="W1211" i="1" s="1"/>
  <c r="V1221" i="1"/>
  <c r="W1221" i="1" s="1"/>
  <c r="V1232" i="1"/>
  <c r="W1232" i="1" s="1"/>
  <c r="V1243" i="1"/>
  <c r="W1243" i="1" s="1"/>
  <c r="V1253" i="1"/>
  <c r="W1253" i="1" s="1"/>
  <c r="V1264" i="1"/>
  <c r="W1264" i="1" s="1"/>
  <c r="V1282" i="1"/>
  <c r="W1282" i="1" s="1"/>
  <c r="V1292" i="1"/>
  <c r="W1292" i="1" s="1"/>
  <c r="V1314" i="1"/>
  <c r="W1314" i="1" s="1"/>
  <c r="V1335" i="1"/>
  <c r="W1335" i="1" s="1"/>
  <c r="V1346" i="1"/>
  <c r="W1346" i="1" s="1"/>
  <c r="V1379" i="1"/>
  <c r="W1379" i="1" s="1"/>
  <c r="V1392" i="1"/>
  <c r="W1392" i="1" s="1"/>
  <c r="V1403" i="1"/>
  <c r="W1403" i="1" s="1"/>
  <c r="V1439" i="1"/>
  <c r="W1439" i="1" s="1"/>
  <c r="V1449" i="1"/>
  <c r="W1449" i="1" s="1"/>
  <c r="V1483" i="1"/>
  <c r="W1483" i="1" s="1"/>
  <c r="V1530" i="1"/>
  <c r="W1530" i="1" s="1"/>
  <c r="V1577" i="1"/>
  <c r="W1577" i="1" s="1"/>
  <c r="V519" i="1"/>
  <c r="W519" i="1" s="1"/>
  <c r="V551" i="1"/>
  <c r="W551" i="1" s="1"/>
  <c r="V579" i="1"/>
  <c r="W579" i="1" s="1"/>
  <c r="V613" i="1"/>
  <c r="W613" i="1" s="1"/>
  <c r="V641" i="1"/>
  <c r="W641" i="1" s="1"/>
  <c r="V675" i="1"/>
  <c r="W675" i="1" s="1"/>
  <c r="V742" i="1"/>
  <c r="W742" i="1" s="1"/>
  <c r="V770" i="1"/>
  <c r="W770" i="1" s="1"/>
  <c r="V807" i="1"/>
  <c r="W807" i="1" s="1"/>
  <c r="V837" i="1"/>
  <c r="W837" i="1" s="1"/>
  <c r="V858" i="1"/>
  <c r="W858" i="1" s="1"/>
  <c r="V894" i="1"/>
  <c r="W894" i="1" s="1"/>
  <c r="V921" i="1"/>
  <c r="W921" i="1" s="1"/>
  <c r="V954" i="1"/>
  <c r="W954" i="1" s="1"/>
  <c r="V975" i="1"/>
  <c r="W975" i="1" s="1"/>
  <c r="V1009" i="1"/>
  <c r="W1009" i="1" s="1"/>
  <c r="V1031" i="1"/>
  <c r="W1031" i="1" s="1"/>
  <c r="V1048" i="1"/>
  <c r="W1048" i="1" s="1"/>
  <c r="V1064" i="1"/>
  <c r="W1064" i="1" s="1"/>
  <c r="V1079" i="1"/>
  <c r="W1079" i="1" s="1"/>
  <c r="V1092" i="1"/>
  <c r="W1092" i="1" s="1"/>
  <c r="V1116" i="1"/>
  <c r="W1116" i="1" s="1"/>
  <c r="V1129" i="1"/>
  <c r="W1129" i="1" s="1"/>
  <c r="V1145" i="1"/>
  <c r="W1145" i="1" s="1"/>
  <c r="V1171" i="1"/>
  <c r="W1171" i="1" s="1"/>
  <c r="V1191" i="1"/>
  <c r="W1191" i="1" s="1"/>
  <c r="V1201" i="1"/>
  <c r="W1201" i="1" s="1"/>
  <c r="V1212" i="1"/>
  <c r="W1212" i="1" s="1"/>
  <c r="V1223" i="1"/>
  <c r="W1223" i="1" s="1"/>
  <c r="V1233" i="1"/>
  <c r="W1233" i="1" s="1"/>
  <c r="V1244" i="1"/>
  <c r="W1244" i="1" s="1"/>
  <c r="V1255" i="1"/>
  <c r="W1255" i="1" s="1"/>
  <c r="V1265" i="1"/>
  <c r="W1265" i="1" s="1"/>
  <c r="V1283" i="1"/>
  <c r="W1283" i="1" s="1"/>
  <c r="V1294" i="1"/>
  <c r="W1294" i="1" s="1"/>
  <c r="V1304" i="1"/>
  <c r="W1304" i="1" s="1"/>
  <c r="V1315" i="1"/>
  <c r="W1315" i="1" s="1"/>
  <c r="V1326" i="1"/>
  <c r="W1326" i="1" s="1"/>
  <c r="V1336" i="1"/>
  <c r="W1336" i="1" s="1"/>
  <c r="V1364" i="1"/>
  <c r="W1364" i="1" s="1"/>
  <c r="V1383" i="1"/>
  <c r="W1383" i="1" s="1"/>
  <c r="V1393" i="1"/>
  <c r="W1393" i="1" s="1"/>
  <c r="V1404" i="1"/>
  <c r="W1404" i="1" s="1"/>
  <c r="V1419" i="1"/>
  <c r="W1419" i="1" s="1"/>
  <c r="V1429" i="1"/>
  <c r="W1429" i="1" s="1"/>
  <c r="V1440" i="1"/>
  <c r="W1440" i="1" s="1"/>
  <c r="V1451" i="1"/>
  <c r="W1451" i="1" s="1"/>
  <c r="V1463" i="1"/>
  <c r="W1463" i="1" s="1"/>
  <c r="V1474" i="1"/>
  <c r="W1474" i="1" s="1"/>
  <c r="V524" i="1"/>
  <c r="W524" i="1" s="1"/>
  <c r="V552" i="1"/>
  <c r="W552" i="1" s="1"/>
  <c r="V587" i="1"/>
  <c r="W587" i="1" s="1"/>
  <c r="V615" i="1"/>
  <c r="W615" i="1" s="1"/>
  <c r="V643" i="1"/>
  <c r="W643" i="1" s="1"/>
  <c r="V678" i="1"/>
  <c r="W678" i="1" s="1"/>
  <c r="V743" i="1"/>
  <c r="W743" i="1" s="1"/>
  <c r="V771" i="1"/>
  <c r="W771" i="1" s="1"/>
  <c r="V809" i="1"/>
  <c r="W809" i="1" s="1"/>
  <c r="V838" i="1"/>
  <c r="W838" i="1" s="1"/>
  <c r="V859" i="1"/>
  <c r="W859" i="1" s="1"/>
  <c r="V896" i="1"/>
  <c r="W896" i="1" s="1"/>
  <c r="V922" i="1"/>
  <c r="W922" i="1" s="1"/>
  <c r="V955" i="1"/>
  <c r="W955" i="1" s="1"/>
  <c r="V977" i="1"/>
  <c r="W977" i="1" s="1"/>
  <c r="V1010" i="1"/>
  <c r="W1010" i="1" s="1"/>
  <c r="V1032" i="1"/>
  <c r="W1032" i="1" s="1"/>
  <c r="V1049" i="1"/>
  <c r="W1049" i="1" s="1"/>
  <c r="V1065" i="1"/>
  <c r="W1065" i="1" s="1"/>
  <c r="V1080" i="1"/>
  <c r="W1080" i="1" s="1"/>
  <c r="V1101" i="1"/>
  <c r="W1101" i="1" s="1"/>
  <c r="V1117" i="1"/>
  <c r="W1117" i="1" s="1"/>
  <c r="V1130" i="1"/>
  <c r="W1130" i="1" s="1"/>
  <c r="V1147" i="1"/>
  <c r="W1147" i="1" s="1"/>
  <c r="V1172" i="1"/>
  <c r="W1172" i="1" s="1"/>
  <c r="V1192" i="1"/>
  <c r="W1192" i="1" s="1"/>
  <c r="V1203" i="1"/>
  <c r="W1203" i="1" s="1"/>
  <c r="V1213" i="1"/>
  <c r="W1213" i="1" s="1"/>
  <c r="V1224" i="1"/>
  <c r="W1224" i="1" s="1"/>
  <c r="V1235" i="1"/>
  <c r="W1235" i="1" s="1"/>
  <c r="V1245" i="1"/>
  <c r="W1245" i="1" s="1"/>
  <c r="V1256" i="1"/>
  <c r="W1256" i="1" s="1"/>
  <c r="V1267" i="1"/>
  <c r="W1267" i="1" s="1"/>
  <c r="V1284" i="1"/>
  <c r="W1284" i="1" s="1"/>
  <c r="V1295" i="1"/>
  <c r="W1295" i="1" s="1"/>
  <c r="V1306" i="1"/>
  <c r="W1306" i="1" s="1"/>
  <c r="V1316" i="1"/>
  <c r="W1316" i="1" s="1"/>
  <c r="V1327" i="1"/>
  <c r="W1327" i="1" s="1"/>
  <c r="V1338" i="1"/>
  <c r="W1338" i="1" s="1"/>
  <c r="V1365" i="1"/>
  <c r="W1365" i="1" s="1"/>
  <c r="V1384" i="1"/>
  <c r="W1384" i="1" s="1"/>
  <c r="V1395" i="1"/>
  <c r="W1395" i="1" s="1"/>
  <c r="V1405" i="1"/>
  <c r="W1405" i="1" s="1"/>
  <c r="V1420" i="1"/>
  <c r="W1420" i="1" s="1"/>
  <c r="V1431" i="1"/>
  <c r="W1431" i="1" s="1"/>
  <c r="V1441" i="1"/>
  <c r="W1441" i="1" s="1"/>
  <c r="V1452" i="1"/>
  <c r="W1452" i="1" s="1"/>
  <c r="V1465" i="1"/>
  <c r="W1465" i="1" s="1"/>
  <c r="V1475" i="1"/>
  <c r="W1475" i="1" s="1"/>
  <c r="V1486" i="1"/>
  <c r="W1486" i="1" s="1"/>
  <c r="V1497" i="1"/>
  <c r="W1497" i="1" s="1"/>
  <c r="V1507" i="1"/>
  <c r="W1507" i="1" s="1"/>
  <c r="V1522" i="1"/>
  <c r="W1522" i="1" s="1"/>
  <c r="V1533" i="1"/>
  <c r="W1533" i="1" s="1"/>
  <c r="V1543" i="1"/>
  <c r="W1543" i="1" s="1"/>
  <c r="V1554" i="1"/>
  <c r="W1554" i="1" s="1"/>
  <c r="V1567" i="1"/>
  <c r="W1567" i="1" s="1"/>
  <c r="V1579" i="1"/>
  <c r="W1579" i="1" s="1"/>
  <c r="V1590" i="1"/>
  <c r="W1590" i="1" s="1"/>
  <c r="V1601" i="1"/>
  <c r="W1601" i="1" s="1"/>
  <c r="V1611" i="1"/>
  <c r="W1611" i="1" s="1"/>
  <c r="V1622" i="1"/>
  <c r="W1622" i="1" s="1"/>
  <c r="V1633" i="1"/>
  <c r="W1633" i="1" s="1"/>
  <c r="V1703" i="1"/>
  <c r="W1703" i="1" s="1"/>
  <c r="V1714" i="1"/>
  <c r="W1714" i="1" s="1"/>
  <c r="V1727" i="1"/>
  <c r="W1727" i="1" s="1"/>
  <c r="V1737" i="1"/>
  <c r="W1737" i="1" s="1"/>
  <c r="V1748" i="1"/>
  <c r="W1748" i="1" s="1"/>
  <c r="V1761" i="1"/>
  <c r="W1761" i="1" s="1"/>
  <c r="V1771" i="1"/>
  <c r="W1771" i="1" s="1"/>
  <c r="V1787" i="1"/>
  <c r="W1787" i="1" s="1"/>
  <c r="V1800" i="1"/>
  <c r="W1800" i="1" s="1"/>
  <c r="V1810" i="1"/>
  <c r="W1810" i="1" s="1"/>
  <c r="V1826" i="1"/>
  <c r="W1826" i="1" s="1"/>
  <c r="V1842" i="1"/>
  <c r="W1842" i="1" s="1"/>
  <c r="V1856" i="1"/>
  <c r="W1856" i="1" s="1"/>
  <c r="V1867" i="1"/>
  <c r="W1867" i="1" s="1"/>
  <c r="V1878" i="1"/>
  <c r="W1878" i="1" s="1"/>
  <c r="V1888" i="1"/>
  <c r="W1888" i="1" s="1"/>
  <c r="V1901" i="1"/>
  <c r="W1901" i="1" s="1"/>
  <c r="V1914" i="1"/>
  <c r="W1914" i="1" s="1"/>
  <c r="V1924" i="1"/>
  <c r="W1924" i="1" s="1"/>
  <c r="V1940" i="1"/>
  <c r="W1940" i="1" s="1"/>
  <c r="V2097" i="1"/>
  <c r="W2097" i="1" s="1"/>
  <c r="V2108" i="1"/>
  <c r="W2108" i="1" s="1"/>
  <c r="V2126" i="1"/>
  <c r="W2126" i="1" s="1"/>
  <c r="V2137" i="1"/>
  <c r="W2137" i="1" s="1"/>
  <c r="V2150" i="1"/>
  <c r="W2150" i="1" s="1"/>
  <c r="V2165" i="1"/>
  <c r="W2165" i="1" s="1"/>
  <c r="V2179" i="1"/>
  <c r="W2179" i="1" s="1"/>
  <c r="V2192" i="1"/>
  <c r="W2192" i="1" s="1"/>
  <c r="V2209" i="1"/>
  <c r="W2209" i="1" s="1"/>
  <c r="V2225" i="1"/>
  <c r="W2225" i="1" s="1"/>
  <c r="V2238" i="1"/>
  <c r="W2238" i="1" s="1"/>
  <c r="V2253" i="1"/>
  <c r="W2253" i="1" s="1"/>
  <c r="V2265" i="1"/>
  <c r="W2265" i="1" s="1"/>
  <c r="V2277" i="1"/>
  <c r="W2277" i="1" s="1"/>
  <c r="V2288" i="1"/>
  <c r="W2288" i="1" s="1"/>
  <c r="V2303" i="1"/>
  <c r="W2303" i="1" s="1"/>
  <c r="V2316" i="1"/>
  <c r="W2316" i="1" s="1"/>
  <c r="V2328" i="1"/>
  <c r="W2328" i="1" s="1"/>
  <c r="V2341" i="1"/>
  <c r="W2341" i="1" s="1"/>
  <c r="V2355" i="1"/>
  <c r="W2355" i="1" s="1"/>
  <c r="V2366" i="1"/>
  <c r="W2366" i="1" s="1"/>
  <c r="V2375" i="1"/>
  <c r="W2375" i="1" s="1"/>
  <c r="V2385" i="1"/>
  <c r="W2385" i="1" s="1"/>
  <c r="V2395" i="1"/>
  <c r="W2395" i="1" s="1"/>
  <c r="V2405" i="1"/>
  <c r="W2405" i="1" s="1"/>
  <c r="V2413" i="1"/>
  <c r="W2413" i="1" s="1"/>
  <c r="V2423" i="1"/>
  <c r="W2423" i="1" s="1"/>
  <c r="V720" i="1"/>
  <c r="W720" i="1" s="1"/>
  <c r="V1068" i="1"/>
  <c r="W1068" i="1" s="1"/>
  <c r="V1120" i="1"/>
  <c r="W1120" i="1" s="1"/>
  <c r="V1149" i="1"/>
  <c r="W1149" i="1" s="1"/>
  <c r="V1179" i="1"/>
  <c r="W1179" i="1" s="1"/>
  <c r="V1204" i="1"/>
  <c r="W1204" i="1" s="1"/>
  <c r="V1215" i="1"/>
  <c r="W1215" i="1" s="1"/>
  <c r="V1236" i="1"/>
  <c r="W1236" i="1" s="1"/>
  <c r="V1247" i="1"/>
  <c r="W1247" i="1" s="1"/>
  <c r="V1268" i="1"/>
  <c r="W1268" i="1" s="1"/>
  <c r="V1286" i="1"/>
  <c r="W1286" i="1" s="1"/>
  <c r="V1307" i="1"/>
  <c r="W1307" i="1" s="1"/>
  <c r="V1328" i="1"/>
  <c r="W1328" i="1" s="1"/>
  <c r="V1339" i="1"/>
  <c r="W1339" i="1" s="1"/>
  <c r="V1385" i="1"/>
  <c r="W1385" i="1" s="1"/>
  <c r="V1407" i="1"/>
  <c r="W1407" i="1" s="1"/>
  <c r="V1432" i="1"/>
  <c r="W1432" i="1" s="1"/>
  <c r="V1443" i="1"/>
  <c r="W1443" i="1" s="1"/>
  <c r="V1466" i="1"/>
  <c r="W1466" i="1" s="1"/>
  <c r="V1487" i="1"/>
  <c r="W1487" i="1" s="1"/>
  <c r="V1498" i="1"/>
  <c r="W1498" i="1" s="1"/>
  <c r="V1523" i="1"/>
  <c r="W1523" i="1" s="1"/>
  <c r="V1545" i="1"/>
  <c r="W1545" i="1" s="1"/>
  <c r="V1568" i="1"/>
  <c r="W1568" i="1" s="1"/>
  <c r="V1591" i="1"/>
  <c r="W1591" i="1" s="1"/>
  <c r="V1613" i="1"/>
  <c r="W1613" i="1" s="1"/>
  <c r="V1623" i="1"/>
  <c r="W1623" i="1" s="1"/>
  <c r="V1705" i="1"/>
  <c r="W1705" i="1" s="1"/>
  <c r="V1728" i="1"/>
  <c r="W1728" i="1" s="1"/>
  <c r="V1749" i="1"/>
  <c r="W1749" i="1" s="1"/>
  <c r="V1778" i="1"/>
  <c r="W1778" i="1" s="1"/>
  <c r="V1801" i="1"/>
  <c r="W1801" i="1" s="1"/>
  <c r="V1812" i="1"/>
  <c r="W1812" i="1" s="1"/>
  <c r="V1843" i="1"/>
  <c r="W1843" i="1" s="1"/>
  <c r="V1868" i="1"/>
  <c r="W1868" i="1" s="1"/>
  <c r="V1879" i="1"/>
  <c r="W1879" i="1" s="1"/>
  <c r="V1902" i="1"/>
  <c r="W1902" i="1" s="1"/>
  <c r="V1926" i="1"/>
  <c r="W1926" i="1" s="1"/>
  <c r="V2098" i="1"/>
  <c r="W2098" i="1" s="1"/>
  <c r="V2127" i="1"/>
  <c r="W2127" i="1" s="1"/>
  <c r="V2141" i="1"/>
  <c r="W2141" i="1" s="1"/>
  <c r="V2166" i="1"/>
  <c r="W2166" i="1" s="1"/>
  <c r="V2197" i="1"/>
  <c r="W2197" i="1" s="1"/>
  <c r="V2226" i="1"/>
  <c r="W2226" i="1" s="1"/>
  <c r="V2255" i="1"/>
  <c r="W2255" i="1" s="1"/>
  <c r="V2266" i="1"/>
  <c r="W2266" i="1" s="1"/>
  <c r="V2289" i="1"/>
  <c r="W2289" i="1" s="1"/>
  <c r="V2318" i="1"/>
  <c r="W2318" i="1" s="1"/>
  <c r="V2329" i="1"/>
  <c r="W2329" i="1" s="1"/>
  <c r="V2356" i="1"/>
  <c r="W2356" i="1" s="1"/>
  <c r="V2378" i="1"/>
  <c r="W2378" i="1" s="1"/>
  <c r="V2396" i="1"/>
  <c r="W2396" i="1" s="1"/>
  <c r="V2414" i="1"/>
  <c r="W2414" i="1" s="1"/>
  <c r="V2424" i="1"/>
  <c r="W2424" i="1" s="1"/>
  <c r="V1340" i="1"/>
  <c r="W1340" i="1" s="1"/>
  <c r="V1444" i="1"/>
  <c r="W1444" i="1" s="1"/>
  <c r="V1478" i="1"/>
  <c r="W1478" i="1" s="1"/>
  <c r="V1510" i="1"/>
  <c r="W1510" i="1" s="1"/>
  <c r="V1546" i="1"/>
  <c r="W1546" i="1" s="1"/>
  <c r="V1582" i="1"/>
  <c r="W1582" i="1" s="1"/>
  <c r="V530" i="1"/>
  <c r="W530" i="1" s="1"/>
  <c r="V558" i="1"/>
  <c r="W558" i="1" s="1"/>
  <c r="V592" i="1"/>
  <c r="W592" i="1" s="1"/>
  <c r="V620" i="1"/>
  <c r="W620" i="1" s="1"/>
  <c r="V654" i="1"/>
  <c r="W654" i="1" s="1"/>
  <c r="V748" i="1"/>
  <c r="W748" i="1" s="1"/>
  <c r="V776" i="1"/>
  <c r="W776" i="1" s="1"/>
  <c r="V814" i="1"/>
  <c r="W814" i="1" s="1"/>
  <c r="V842" i="1"/>
  <c r="W842" i="1" s="1"/>
  <c r="V868" i="1"/>
  <c r="W868" i="1" s="1"/>
  <c r="V900" i="1"/>
  <c r="W900" i="1" s="1"/>
  <c r="V926" i="1"/>
  <c r="W926" i="1" s="1"/>
  <c r="V959" i="1"/>
  <c r="W959" i="1" s="1"/>
  <c r="V987" i="1"/>
  <c r="W987" i="1" s="1"/>
  <c r="V1014" i="1"/>
  <c r="W1014" i="1" s="1"/>
  <c r="V1033" i="1"/>
  <c r="W1033" i="1" s="1"/>
  <c r="V1052" i="1"/>
  <c r="W1052" i="1" s="1"/>
  <c r="V1081" i="1"/>
  <c r="W1081" i="1" s="1"/>
  <c r="V1102" i="1"/>
  <c r="W1102" i="1" s="1"/>
  <c r="V1131" i="1"/>
  <c r="W1131" i="1" s="1"/>
  <c r="V1193" i="1"/>
  <c r="W1193" i="1" s="1"/>
  <c r="V1225" i="1"/>
  <c r="W1225" i="1" s="1"/>
  <c r="V1257" i="1"/>
  <c r="W1257" i="1" s="1"/>
  <c r="V1296" i="1"/>
  <c r="W1296" i="1" s="1"/>
  <c r="V1318" i="1"/>
  <c r="W1318" i="1" s="1"/>
  <c r="V1367" i="1"/>
  <c r="W1367" i="1" s="1"/>
  <c r="V1396" i="1"/>
  <c r="W1396" i="1" s="1"/>
  <c r="V1421" i="1"/>
  <c r="W1421" i="1" s="1"/>
  <c r="V1453" i="1"/>
  <c r="W1453" i="1" s="1"/>
  <c r="V1477" i="1"/>
  <c r="W1477" i="1" s="1"/>
  <c r="V1509" i="1"/>
  <c r="W1509" i="1" s="1"/>
  <c r="V1534" i="1"/>
  <c r="W1534" i="1" s="1"/>
  <c r="V1555" i="1"/>
  <c r="W1555" i="1" s="1"/>
  <c r="V1581" i="1"/>
  <c r="W1581" i="1" s="1"/>
  <c r="V1602" i="1"/>
  <c r="W1602" i="1" s="1"/>
  <c r="V1634" i="1"/>
  <c r="W1634" i="1" s="1"/>
  <c r="V1715" i="1"/>
  <c r="W1715" i="1" s="1"/>
  <c r="V1739" i="1"/>
  <c r="W1739" i="1" s="1"/>
  <c r="V1762" i="1"/>
  <c r="W1762" i="1" s="1"/>
  <c r="V1788" i="1"/>
  <c r="W1788" i="1" s="1"/>
  <c r="V1829" i="1"/>
  <c r="W1829" i="1" s="1"/>
  <c r="V1858" i="1"/>
  <c r="W1858" i="1" s="1"/>
  <c r="V1890" i="1"/>
  <c r="W1890" i="1" s="1"/>
  <c r="V1915" i="1"/>
  <c r="W1915" i="1" s="1"/>
  <c r="V1941" i="1"/>
  <c r="W1941" i="1" s="1"/>
  <c r="V2111" i="1"/>
  <c r="W2111" i="1" s="1"/>
  <c r="V2152" i="1"/>
  <c r="W2152" i="1" s="1"/>
  <c r="V2180" i="1"/>
  <c r="W2180" i="1" s="1"/>
  <c r="V2210" i="1"/>
  <c r="W2210" i="1" s="1"/>
  <c r="V2240" i="1"/>
  <c r="W2240" i="1" s="1"/>
  <c r="V2279" i="1"/>
  <c r="W2279" i="1" s="1"/>
  <c r="V2304" i="1"/>
  <c r="W2304" i="1" s="1"/>
  <c r="V2343" i="1"/>
  <c r="W2343" i="1" s="1"/>
  <c r="V2367" i="1"/>
  <c r="W2367" i="1" s="1"/>
  <c r="V2386" i="1"/>
  <c r="W2386" i="1" s="1"/>
  <c r="V2406" i="1"/>
  <c r="W2406" i="1" s="1"/>
  <c r="V1330" i="1"/>
  <c r="W1330" i="1" s="1"/>
  <c r="V1457" i="1"/>
  <c r="W1457" i="1" s="1"/>
  <c r="V1499" i="1"/>
  <c r="W1499" i="1" s="1"/>
  <c r="V1535" i="1"/>
  <c r="W1535" i="1" s="1"/>
  <c r="V1569" i="1"/>
  <c r="W1569" i="1" s="1"/>
  <c r="V1593" i="1"/>
  <c r="W1593" i="1" s="1"/>
  <c r="V531" i="1"/>
  <c r="W531" i="1" s="1"/>
  <c r="V560" i="1"/>
  <c r="W560" i="1" s="1"/>
  <c r="V593" i="1"/>
  <c r="W593" i="1" s="1"/>
  <c r="V621" i="1"/>
  <c r="W621" i="1" s="1"/>
  <c r="V657" i="1"/>
  <c r="W657" i="1" s="1"/>
  <c r="V722" i="1"/>
  <c r="W722" i="1" s="1"/>
  <c r="V750" i="1"/>
  <c r="W750" i="1" s="1"/>
  <c r="V779" i="1"/>
  <c r="W779" i="1" s="1"/>
  <c r="V815" i="1"/>
  <c r="W815" i="1" s="1"/>
  <c r="V843" i="1"/>
  <c r="W843" i="1" s="1"/>
  <c r="V870" i="1"/>
  <c r="W870" i="1" s="1"/>
  <c r="V901" i="1"/>
  <c r="W901" i="1" s="1"/>
  <c r="V927" i="1"/>
  <c r="W927" i="1" s="1"/>
  <c r="V961" i="1"/>
  <c r="W961" i="1" s="1"/>
  <c r="V988" i="1"/>
  <c r="W988" i="1" s="1"/>
  <c r="V1015" i="1"/>
  <c r="W1015" i="1" s="1"/>
  <c r="V1037" i="1"/>
  <c r="W1037" i="1" s="1"/>
  <c r="V1053" i="1"/>
  <c r="W1053" i="1" s="1"/>
  <c r="V1069" i="1"/>
  <c r="W1069" i="1" s="1"/>
  <c r="V1084" i="1"/>
  <c r="W1084" i="1" s="1"/>
  <c r="V1103" i="1"/>
  <c r="W1103" i="1" s="1"/>
  <c r="V1121" i="1"/>
  <c r="W1121" i="1" s="1"/>
  <c r="V1138" i="1"/>
  <c r="W1138" i="1" s="1"/>
  <c r="V1150" i="1"/>
  <c r="W1150" i="1" s="1"/>
  <c r="V1183" i="1"/>
  <c r="W1183" i="1" s="1"/>
  <c r="V1195" i="1"/>
  <c r="W1195" i="1" s="1"/>
  <c r="V1205" i="1"/>
  <c r="W1205" i="1" s="1"/>
  <c r="V1216" i="1"/>
  <c r="W1216" i="1" s="1"/>
  <c r="V1227" i="1"/>
  <c r="W1227" i="1" s="1"/>
  <c r="V1237" i="1"/>
  <c r="W1237" i="1" s="1"/>
  <c r="V1248" i="1"/>
  <c r="W1248" i="1" s="1"/>
  <c r="V1259" i="1"/>
  <c r="W1259" i="1" s="1"/>
  <c r="V1269" i="1"/>
  <c r="W1269" i="1" s="1"/>
  <c r="V1287" i="1"/>
  <c r="W1287" i="1" s="1"/>
  <c r="V1298" i="1"/>
  <c r="W1298" i="1" s="1"/>
  <c r="V1308" i="1"/>
  <c r="W1308" i="1" s="1"/>
  <c r="V1319" i="1"/>
  <c r="W1319" i="1" s="1"/>
  <c r="V1368" i="1"/>
  <c r="W1368" i="1" s="1"/>
  <c r="V1387" i="1"/>
  <c r="W1387" i="1" s="1"/>
  <c r="V1397" i="1"/>
  <c r="W1397" i="1" s="1"/>
  <c r="V1410" i="1"/>
  <c r="W1410" i="1" s="1"/>
  <c r="V1423" i="1"/>
  <c r="W1423" i="1" s="1"/>
  <c r="V1433" i="1"/>
  <c r="W1433" i="1" s="1"/>
  <c r="V1467" i="1"/>
  <c r="W1467" i="1" s="1"/>
  <c r="V1489" i="1"/>
  <c r="W1489" i="1" s="1"/>
  <c r="V1525" i="1"/>
  <c r="W1525" i="1" s="1"/>
  <c r="V1557" i="1"/>
  <c r="W1557" i="1" s="1"/>
  <c r="V536" i="1"/>
  <c r="W536" i="1" s="1"/>
  <c r="V566" i="1"/>
  <c r="W566" i="1" s="1"/>
  <c r="V599" i="1"/>
  <c r="W599" i="1" s="1"/>
  <c r="V627" i="1"/>
  <c r="W627" i="1" s="1"/>
  <c r="V662" i="1"/>
  <c r="W662" i="1" s="1"/>
  <c r="V727" i="1"/>
  <c r="W727" i="1" s="1"/>
  <c r="V755" i="1"/>
  <c r="W755" i="1" s="1"/>
  <c r="V784" i="1"/>
  <c r="W784" i="1" s="1"/>
  <c r="V826" i="1"/>
  <c r="W826" i="1" s="1"/>
  <c r="V847" i="1"/>
  <c r="W847" i="1" s="1"/>
  <c r="V874" i="1"/>
  <c r="W874" i="1" s="1"/>
  <c r="V905" i="1"/>
  <c r="W905" i="1" s="1"/>
  <c r="V937" i="1"/>
  <c r="W937" i="1" s="1"/>
  <c r="V965" i="1"/>
  <c r="W965" i="1" s="1"/>
  <c r="V998" i="1"/>
  <c r="W998" i="1" s="1"/>
  <c r="V1019" i="1"/>
  <c r="W1019" i="1" s="1"/>
  <c r="V1039" i="1"/>
  <c r="W1039" i="1" s="1"/>
  <c r="V1055" i="1"/>
  <c r="W1055" i="1" s="1"/>
  <c r="V1071" i="1"/>
  <c r="W1071" i="1" s="1"/>
  <c r="V1085" i="1"/>
  <c r="W1085" i="1" s="1"/>
  <c r="V1106" i="1"/>
  <c r="W1106" i="1" s="1"/>
  <c r="V1122" i="1"/>
  <c r="W1122" i="1" s="1"/>
  <c r="V1139" i="1"/>
  <c r="W1139" i="1" s="1"/>
  <c r="V1152" i="1"/>
  <c r="W1152" i="1" s="1"/>
  <c r="V1184" i="1"/>
  <c r="W1184" i="1" s="1"/>
  <c r="V1196" i="1"/>
  <c r="W1196" i="1" s="1"/>
  <c r="V1207" i="1"/>
  <c r="W1207" i="1" s="1"/>
  <c r="V1217" i="1"/>
  <c r="W1217" i="1" s="1"/>
  <c r="V1228" i="1"/>
  <c r="W1228" i="1" s="1"/>
  <c r="V1239" i="1"/>
  <c r="W1239" i="1" s="1"/>
  <c r="V1249" i="1"/>
  <c r="W1249" i="1" s="1"/>
  <c r="V1260" i="1"/>
  <c r="W1260" i="1" s="1"/>
  <c r="V1271" i="1"/>
  <c r="W1271" i="1" s="1"/>
  <c r="V1288" i="1"/>
  <c r="W1288" i="1" s="1"/>
  <c r="V1299" i="1"/>
  <c r="W1299" i="1" s="1"/>
  <c r="V1310" i="1"/>
  <c r="W1310" i="1" s="1"/>
  <c r="V1320" i="1"/>
  <c r="W1320" i="1" s="1"/>
  <c r="V1331" i="1"/>
  <c r="W1331" i="1" s="1"/>
  <c r="V1342" i="1"/>
  <c r="W1342" i="1" s="1"/>
  <c r="V1369" i="1"/>
  <c r="W1369" i="1" s="1"/>
  <c r="V1388" i="1"/>
  <c r="W1388" i="1" s="1"/>
  <c r="V1399" i="1"/>
  <c r="W1399" i="1" s="1"/>
  <c r="V1411" i="1"/>
  <c r="W1411" i="1" s="1"/>
  <c r="V1424" i="1"/>
  <c r="W1424" i="1" s="1"/>
  <c r="V1435" i="1"/>
  <c r="W1435" i="1" s="1"/>
  <c r="V1445" i="1"/>
  <c r="W1445" i="1" s="1"/>
  <c r="V1458" i="1"/>
  <c r="W1458" i="1" s="1"/>
  <c r="V1469" i="1"/>
  <c r="W1469" i="1" s="1"/>
  <c r="V1479" i="1"/>
  <c r="W1479" i="1" s="1"/>
  <c r="V1490" i="1"/>
  <c r="W1490" i="1" s="1"/>
  <c r="V1501" i="1"/>
  <c r="W1501" i="1" s="1"/>
  <c r="V1511" i="1"/>
  <c r="W1511" i="1" s="1"/>
  <c r="V539" i="1"/>
  <c r="W539" i="1" s="1"/>
  <c r="V567" i="1"/>
  <c r="W567" i="1" s="1"/>
  <c r="V600" i="1"/>
  <c r="W600" i="1" s="1"/>
  <c r="V629" i="1"/>
  <c r="W629" i="1" s="1"/>
  <c r="V663" i="1"/>
  <c r="W663" i="1" s="1"/>
  <c r="V728" i="1"/>
  <c r="W728" i="1" s="1"/>
  <c r="V758" i="1"/>
  <c r="W758" i="1" s="1"/>
  <c r="V786" i="1"/>
  <c r="W786" i="1" s="1"/>
  <c r="V827" i="1"/>
  <c r="W827" i="1" s="1"/>
  <c r="V849" i="1"/>
  <c r="W849" i="1" s="1"/>
  <c r="V875" i="1"/>
  <c r="W875" i="1" s="1"/>
  <c r="V906" i="1"/>
  <c r="W906" i="1" s="1"/>
  <c r="V945" i="1"/>
  <c r="W945" i="1" s="1"/>
  <c r="V966" i="1"/>
  <c r="W966" i="1" s="1"/>
  <c r="V999" i="1"/>
  <c r="W999" i="1" s="1"/>
  <c r="V1023" i="1"/>
  <c r="W1023" i="1" s="1"/>
  <c r="V1041" i="1"/>
  <c r="W1041" i="1" s="1"/>
  <c r="V1059" i="1"/>
  <c r="W1059" i="1" s="1"/>
  <c r="V1073" i="1"/>
  <c r="W1073" i="1" s="1"/>
  <c r="V1087" i="1"/>
  <c r="W1087" i="1" s="1"/>
  <c r="V1107" i="1"/>
  <c r="W1107" i="1" s="1"/>
  <c r="V1124" i="1"/>
  <c r="W1124" i="1" s="1"/>
  <c r="V1141" i="1"/>
  <c r="W1141" i="1" s="1"/>
  <c r="V1166" i="1"/>
  <c r="W1166" i="1" s="1"/>
  <c r="V1187" i="1"/>
  <c r="W1187" i="1" s="1"/>
  <c r="V1197" i="1"/>
  <c r="W1197" i="1" s="1"/>
  <c r="V1208" i="1"/>
  <c r="W1208" i="1" s="1"/>
  <c r="V1219" i="1"/>
  <c r="W1219" i="1" s="1"/>
  <c r="V1229" i="1"/>
  <c r="W1229" i="1" s="1"/>
  <c r="V1240" i="1"/>
  <c r="W1240" i="1" s="1"/>
  <c r="V1251" i="1"/>
  <c r="W1251" i="1" s="1"/>
  <c r="V1261" i="1"/>
  <c r="W1261" i="1" s="1"/>
  <c r="V1272" i="1"/>
  <c r="W1272" i="1" s="1"/>
  <c r="V1290" i="1"/>
  <c r="W1290" i="1" s="1"/>
  <c r="V1300" i="1"/>
  <c r="W1300" i="1" s="1"/>
  <c r="V1311" i="1"/>
  <c r="W1311" i="1" s="1"/>
  <c r="V1322" i="1"/>
  <c r="W1322" i="1" s="1"/>
  <c r="V1332" i="1"/>
  <c r="W1332" i="1" s="1"/>
  <c r="V1343" i="1"/>
  <c r="W1343" i="1" s="1"/>
  <c r="V1375" i="1"/>
  <c r="W1375" i="1" s="1"/>
  <c r="V1389" i="1"/>
  <c r="W1389" i="1" s="1"/>
  <c r="V1400" i="1"/>
  <c r="W1400" i="1" s="1"/>
  <c r="V1415" i="1"/>
  <c r="W1415" i="1" s="1"/>
  <c r="V1425" i="1"/>
  <c r="W1425" i="1" s="1"/>
  <c r="V1436" i="1"/>
  <c r="W1436" i="1" s="1"/>
  <c r="V1447" i="1"/>
  <c r="W1447" i="1" s="1"/>
  <c r="V1459" i="1"/>
  <c r="W1459" i="1" s="1"/>
  <c r="V1470" i="1"/>
  <c r="W1470" i="1" s="1"/>
  <c r="V1481" i="1"/>
  <c r="W1481" i="1" s="1"/>
  <c r="V1491" i="1"/>
  <c r="W1491" i="1" s="1"/>
  <c r="V1502" i="1"/>
  <c r="W1502" i="1" s="1"/>
  <c r="V1515" i="1"/>
  <c r="W1515" i="1" s="1"/>
  <c r="V1527" i="1"/>
  <c r="W1527" i="1" s="1"/>
  <c r="V1538" i="1"/>
  <c r="W1538" i="1" s="1"/>
  <c r="V1549" i="1"/>
  <c r="W1549" i="1" s="1"/>
  <c r="V1561" i="1"/>
  <c r="W1561" i="1" s="1"/>
  <c r="V1572" i="1"/>
  <c r="W1572" i="1" s="1"/>
  <c r="V1585" i="1"/>
  <c r="W1585" i="1" s="1"/>
  <c r="V1595" i="1"/>
  <c r="W1595" i="1" s="1"/>
  <c r="V1606" i="1"/>
  <c r="W1606" i="1" s="1"/>
  <c r="V1617" i="1"/>
  <c r="W1617" i="1" s="1"/>
  <c r="V1627" i="1"/>
  <c r="W1627" i="1" s="1"/>
  <c r="V1638" i="1"/>
  <c r="W1638" i="1" s="1"/>
  <c r="V1709" i="1"/>
  <c r="W1709" i="1" s="1"/>
  <c r="V1721" i="1"/>
  <c r="W1721" i="1" s="1"/>
  <c r="V1732" i="1"/>
  <c r="W1732" i="1" s="1"/>
  <c r="V1743" i="1"/>
  <c r="W1743" i="1" s="1"/>
  <c r="V1755" i="1"/>
  <c r="W1755" i="1" s="1"/>
  <c r="V1766" i="1"/>
  <c r="W1766" i="1" s="1"/>
  <c r="V1782" i="1"/>
  <c r="W1782" i="1" s="1"/>
  <c r="V1792" i="1"/>
  <c r="W1792" i="1" s="1"/>
  <c r="V1805" i="1"/>
  <c r="W1805" i="1" s="1"/>
  <c r="V1818" i="1"/>
  <c r="W1818" i="1" s="1"/>
  <c r="V1833" i="1"/>
  <c r="W1833" i="1" s="1"/>
  <c r="V1849" i="1"/>
  <c r="W1849" i="1" s="1"/>
  <c r="V1862" i="1"/>
  <c r="W1862" i="1" s="1"/>
  <c r="V1872" i="1"/>
  <c r="W1872" i="1" s="1"/>
  <c r="V1883" i="1"/>
  <c r="W1883" i="1" s="1"/>
  <c r="V1896" i="1"/>
  <c r="W1896" i="1" s="1"/>
  <c r="V1906" i="1"/>
  <c r="W1906" i="1" s="1"/>
  <c r="V1919" i="1"/>
  <c r="W1919" i="1" s="1"/>
  <c r="V1932" i="1"/>
  <c r="W1932" i="1" s="1"/>
  <c r="V2090" i="1"/>
  <c r="W2090" i="1" s="1"/>
  <c r="V2102" i="1"/>
  <c r="W2102" i="1" s="1"/>
  <c r="V2115" i="1"/>
  <c r="W2115" i="1" s="1"/>
  <c r="V2131" i="1"/>
  <c r="W2131" i="1" s="1"/>
  <c r="V2145" i="1"/>
  <c r="W2145" i="1" s="1"/>
  <c r="V2160" i="1"/>
  <c r="W2160" i="1" s="1"/>
  <c r="V2170" i="1"/>
  <c r="W2170" i="1" s="1"/>
  <c r="V2184" i="1"/>
  <c r="W2184" i="1" s="1"/>
  <c r="V2201" i="1"/>
  <c r="W2201" i="1" s="1"/>
  <c r="V2214" i="1"/>
  <c r="W2214" i="1" s="1"/>
  <c r="V2233" i="1"/>
  <c r="W2233" i="1" s="1"/>
  <c r="V2244" i="1"/>
  <c r="W2244" i="1" s="1"/>
  <c r="V2259" i="1"/>
  <c r="W2259" i="1" s="1"/>
  <c r="V2272" i="1"/>
  <c r="W2272" i="1" s="1"/>
  <c r="V2283" i="1"/>
  <c r="W2283" i="1" s="1"/>
  <c r="V2295" i="1"/>
  <c r="W2295" i="1" s="1"/>
  <c r="V2309" i="1"/>
  <c r="W2309" i="1" s="1"/>
  <c r="V2321" i="1"/>
  <c r="W2321" i="1" s="1"/>
  <c r="V2332" i="1"/>
  <c r="W2332" i="1" s="1"/>
  <c r="V2346" i="1"/>
  <c r="W2346" i="1" s="1"/>
  <c r="V2359" i="1"/>
  <c r="W2359" i="1" s="1"/>
  <c r="V2371" i="1"/>
  <c r="W2371" i="1" s="1"/>
  <c r="V2381" i="1"/>
  <c r="W2381" i="1" s="1"/>
  <c r="V2391" i="1"/>
  <c r="W2391" i="1" s="1"/>
  <c r="V2399" i="1"/>
  <c r="W2399" i="1" s="1"/>
  <c r="V2409" i="1"/>
  <c r="W2409" i="1" s="1"/>
  <c r="V2417" i="1"/>
  <c r="W2417" i="1" s="1"/>
  <c r="V2427" i="1"/>
  <c r="W2427" i="1" s="1"/>
  <c r="V949" i="1"/>
  <c r="W949" i="1" s="1"/>
  <c r="V1199" i="1"/>
  <c r="W1199" i="1" s="1"/>
  <c r="V1220" i="1"/>
  <c r="W1220" i="1" s="1"/>
  <c r="V1241" i="1"/>
  <c r="W1241" i="1" s="1"/>
  <c r="V1263" i="1"/>
  <c r="W1263" i="1" s="1"/>
  <c r="V1273" i="1"/>
  <c r="W1273" i="1" s="1"/>
  <c r="V1302" i="1"/>
  <c r="W1302" i="1" s="1"/>
  <c r="V1312" i="1"/>
  <c r="W1312" i="1" s="1"/>
  <c r="V1334" i="1"/>
  <c r="W1334" i="1" s="1"/>
  <c r="V1344" i="1"/>
  <c r="W1344" i="1" s="1"/>
  <c r="V1391" i="1"/>
  <c r="W1391" i="1" s="1"/>
  <c r="V1401" i="1"/>
  <c r="W1401" i="1" s="1"/>
  <c r="V1416" i="1"/>
  <c r="W1416" i="1" s="1"/>
  <c r="V1437" i="1"/>
  <c r="W1437" i="1" s="1"/>
  <c r="V1448" i="1"/>
  <c r="W1448" i="1" s="1"/>
  <c r="V1461" i="1"/>
  <c r="W1461" i="1" s="1"/>
  <c r="V1482" i="1"/>
  <c r="W1482" i="1" s="1"/>
  <c r="V1493" i="1"/>
  <c r="W1493" i="1" s="1"/>
  <c r="V1516" i="1"/>
  <c r="W1516" i="1" s="1"/>
  <c r="V1529" i="1"/>
  <c r="W1529" i="1" s="1"/>
  <c r="V1550" i="1"/>
  <c r="W1550" i="1" s="1"/>
  <c r="V1563" i="1"/>
  <c r="W1563" i="1" s="1"/>
  <c r="V1586" i="1"/>
  <c r="W1586" i="1" s="1"/>
  <c r="V1607" i="1"/>
  <c r="W1607" i="1" s="1"/>
  <c r="V1618" i="1"/>
  <c r="W1618" i="1" s="1"/>
  <c r="V1639" i="1"/>
  <c r="W1639" i="1" s="1"/>
  <c r="V1723" i="1"/>
  <c r="W1723" i="1" s="1"/>
  <c r="V1733" i="1"/>
  <c r="W1733" i="1" s="1"/>
  <c r="V1757" i="1"/>
  <c r="W1757" i="1" s="1"/>
  <c r="V1783" i="1"/>
  <c r="W1783" i="1" s="1"/>
  <c r="V1796" i="1"/>
  <c r="W1796" i="1" s="1"/>
  <c r="V1819" i="1"/>
  <c r="W1819" i="1" s="1"/>
  <c r="V1850" i="1"/>
  <c r="W1850" i="1" s="1"/>
  <c r="V1863" i="1"/>
  <c r="W1863" i="1" s="1"/>
  <c r="V1884" i="1"/>
  <c r="W1884" i="1" s="1"/>
  <c r="V1908" i="1"/>
  <c r="W1908" i="1" s="1"/>
  <c r="V1936" i="1"/>
  <c r="W1936" i="1" s="1"/>
  <c r="V2103" i="1"/>
  <c r="W2103" i="1" s="1"/>
  <c r="V2133" i="1"/>
  <c r="W2133" i="1" s="1"/>
  <c r="V2146" i="1"/>
  <c r="W2146" i="1" s="1"/>
  <c r="V2175" i="1"/>
  <c r="W2175" i="1" s="1"/>
  <c r="V2202" i="1"/>
  <c r="W2202" i="1" s="1"/>
  <c r="V2234" i="1"/>
  <c r="W2234" i="1" s="1"/>
  <c r="V2245" i="1"/>
  <c r="W2245" i="1" s="1"/>
  <c r="V2273" i="1"/>
  <c r="W2273" i="1" s="1"/>
  <c r="V2297" i="1"/>
  <c r="W2297" i="1" s="1"/>
  <c r="V2322" i="1"/>
  <c r="W2322" i="1" s="1"/>
  <c r="V2333" i="1"/>
  <c r="W2333" i="1" s="1"/>
  <c r="V2361" i="1"/>
  <c r="W2361" i="1" s="1"/>
  <c r="V2382" i="1"/>
  <c r="W2382" i="1" s="1"/>
  <c r="V2400" i="1"/>
  <c r="W2400" i="1" s="1"/>
  <c r="V2410" i="1"/>
  <c r="W2410" i="1" s="1"/>
  <c r="V2428" i="1"/>
  <c r="W2428" i="1" s="1"/>
  <c r="V1303" i="1"/>
  <c r="W1303" i="1" s="1"/>
  <c r="V1417" i="1"/>
  <c r="W1417" i="1" s="1"/>
  <c r="V1462" i="1"/>
  <c r="W1462" i="1" s="1"/>
  <c r="V1494" i="1"/>
  <c r="W1494" i="1" s="1"/>
  <c r="V1519" i="1"/>
  <c r="W1519" i="1" s="1"/>
  <c r="V1551" i="1"/>
  <c r="W1551" i="1" s="1"/>
  <c r="V2094" i="1"/>
  <c r="W2094" i="1" s="1"/>
  <c r="V2236" i="1"/>
  <c r="W2236" i="1" s="1"/>
  <c r="V2314" i="1"/>
  <c r="W2314" i="1" s="1"/>
  <c r="V2383" i="1"/>
  <c r="W2383" i="1" s="1"/>
  <c r="V2334" i="1"/>
  <c r="W2334" i="1" s="1"/>
  <c r="V1875" i="1"/>
  <c r="W1875" i="1" s="1"/>
  <c r="V2419" i="1"/>
  <c r="W2419" i="1" s="1"/>
  <c r="V1521" i="1"/>
  <c r="W1521" i="1" s="1"/>
  <c r="V1565" i="1"/>
  <c r="W1565" i="1" s="1"/>
  <c r="V1599" i="1"/>
  <c r="W1599" i="1" s="1"/>
  <c r="V1621" i="1"/>
  <c r="W1621" i="1" s="1"/>
  <c r="V1701" i="1"/>
  <c r="W1701" i="1" s="1"/>
  <c r="V1725" i="1"/>
  <c r="W1725" i="1" s="1"/>
  <c r="V1747" i="1"/>
  <c r="W1747" i="1" s="1"/>
  <c r="V1770" i="1"/>
  <c r="W1770" i="1" s="1"/>
  <c r="V1798" i="1"/>
  <c r="W1798" i="1" s="1"/>
  <c r="V1825" i="1"/>
  <c r="W1825" i="1" s="1"/>
  <c r="V1855" i="1"/>
  <c r="W1855" i="1" s="1"/>
  <c r="V1876" i="1"/>
  <c r="W1876" i="1" s="1"/>
  <c r="V1900" i="1"/>
  <c r="W1900" i="1" s="1"/>
  <c r="V1923" i="1"/>
  <c r="W1923" i="1" s="1"/>
  <c r="V2095" i="1"/>
  <c r="W2095" i="1" s="1"/>
  <c r="V2125" i="1"/>
  <c r="W2125" i="1" s="1"/>
  <c r="V2149" i="1"/>
  <c r="W2149" i="1" s="1"/>
  <c r="V2177" i="1"/>
  <c r="W2177" i="1" s="1"/>
  <c r="V2208" i="1"/>
  <c r="W2208" i="1" s="1"/>
  <c r="V2237" i="1"/>
  <c r="W2237" i="1" s="1"/>
  <c r="V2263" i="1"/>
  <c r="W2263" i="1" s="1"/>
  <c r="V2287" i="1"/>
  <c r="W2287" i="1" s="1"/>
  <c r="V2315" i="1"/>
  <c r="W2315" i="1" s="1"/>
  <c r="V2338" i="1"/>
  <c r="W2338" i="1" s="1"/>
  <c r="V2365" i="1"/>
  <c r="W2365" i="1" s="1"/>
  <c r="V2384" i="1"/>
  <c r="W2384" i="1" s="1"/>
  <c r="V2404" i="1"/>
  <c r="W2404" i="1" s="1"/>
  <c r="V2420" i="1"/>
  <c r="W2420" i="1" s="1"/>
  <c r="V1526" i="1"/>
  <c r="W1526" i="1" s="1"/>
  <c r="V1571" i="1"/>
  <c r="W1571" i="1" s="1"/>
  <c r="V1603" i="1"/>
  <c r="W1603" i="1" s="1"/>
  <c r="V1625" i="1"/>
  <c r="W1625" i="1" s="1"/>
  <c r="V1706" i="1"/>
  <c r="W1706" i="1" s="1"/>
  <c r="V1729" i="1"/>
  <c r="W1729" i="1" s="1"/>
  <c r="V1751" i="1"/>
  <c r="W1751" i="1" s="1"/>
  <c r="V1779" i="1"/>
  <c r="W1779" i="1" s="1"/>
  <c r="V1802" i="1"/>
  <c r="W1802" i="1" s="1"/>
  <c r="V1831" i="1"/>
  <c r="W1831" i="1" s="1"/>
  <c r="V1859" i="1"/>
  <c r="W1859" i="1" s="1"/>
  <c r="V1880" i="1"/>
  <c r="W1880" i="1" s="1"/>
  <c r="V1904" i="1"/>
  <c r="W1904" i="1" s="1"/>
  <c r="V1927" i="1"/>
  <c r="W1927" i="1" s="1"/>
  <c r="V2099" i="1"/>
  <c r="W2099" i="1" s="1"/>
  <c r="V2129" i="1"/>
  <c r="W2129" i="1" s="1"/>
  <c r="V2153" i="1"/>
  <c r="W2153" i="1" s="1"/>
  <c r="V2181" i="1"/>
  <c r="W2181" i="1" s="1"/>
  <c r="V2212" i="1"/>
  <c r="W2212" i="1" s="1"/>
  <c r="V2241" i="1"/>
  <c r="W2241" i="1" s="1"/>
  <c r="V2269" i="1"/>
  <c r="W2269" i="1" s="1"/>
  <c r="V2291" i="1"/>
  <c r="W2291" i="1" s="1"/>
  <c r="V2319" i="1"/>
  <c r="W2319" i="1" s="1"/>
  <c r="V2344" i="1"/>
  <c r="W2344" i="1" s="1"/>
  <c r="V2368" i="1"/>
  <c r="W2368" i="1" s="1"/>
  <c r="V2387" i="1"/>
  <c r="W2387" i="1" s="1"/>
  <c r="V2407" i="1"/>
  <c r="W2407" i="1" s="1"/>
  <c r="V2425" i="1"/>
  <c r="W2425" i="1" s="1"/>
  <c r="V1531" i="1"/>
  <c r="W1531" i="1" s="1"/>
  <c r="V1578" i="1"/>
  <c r="W1578" i="1" s="1"/>
  <c r="V1605" i="1"/>
  <c r="W1605" i="1" s="1"/>
  <c r="V1626" i="1"/>
  <c r="W1626" i="1" s="1"/>
  <c r="V1707" i="1"/>
  <c r="W1707" i="1" s="1"/>
  <c r="V1731" i="1"/>
  <c r="W1731" i="1" s="1"/>
  <c r="V1752" i="1"/>
  <c r="W1752" i="1" s="1"/>
  <c r="V1780" i="1"/>
  <c r="W1780" i="1" s="1"/>
  <c r="V1804" i="1"/>
  <c r="W1804" i="1" s="1"/>
  <c r="V1832" i="1"/>
  <c r="W1832" i="1" s="1"/>
  <c r="V1860" i="1"/>
  <c r="W1860" i="1" s="1"/>
  <c r="V1882" i="1"/>
  <c r="W1882" i="1" s="1"/>
  <c r="V1905" i="1"/>
  <c r="W1905" i="1" s="1"/>
  <c r="V1928" i="1"/>
  <c r="W1928" i="1" s="1"/>
  <c r="V2101" i="1"/>
  <c r="W2101" i="1" s="1"/>
  <c r="V2130" i="1"/>
  <c r="W2130" i="1" s="1"/>
  <c r="V2154" i="1"/>
  <c r="W2154" i="1" s="1"/>
  <c r="V2183" i="1"/>
  <c r="W2183" i="1" s="1"/>
  <c r="V2213" i="1"/>
  <c r="W2213" i="1" s="1"/>
  <c r="V2242" i="1"/>
  <c r="W2242" i="1" s="1"/>
  <c r="V2271" i="1"/>
  <c r="W2271" i="1" s="1"/>
  <c r="V2292" i="1"/>
  <c r="W2292" i="1" s="1"/>
  <c r="V2320" i="1"/>
  <c r="W2320" i="1" s="1"/>
  <c r="V2345" i="1"/>
  <c r="W2345" i="1" s="1"/>
  <c r="V2369" i="1"/>
  <c r="W2369" i="1" s="1"/>
  <c r="V2390" i="1"/>
  <c r="W2390" i="1" s="1"/>
  <c r="V2408" i="1"/>
  <c r="W2408" i="1" s="1"/>
  <c r="V2426" i="1"/>
  <c r="W2426" i="1" s="1"/>
  <c r="V1537" i="1"/>
  <c r="W1537" i="1" s="1"/>
  <c r="V1583" i="1"/>
  <c r="W1583" i="1" s="1"/>
  <c r="V1609" i="1"/>
  <c r="W1609" i="1" s="1"/>
  <c r="V1630" i="1"/>
  <c r="W1630" i="1" s="1"/>
  <c r="V1711" i="1"/>
  <c r="W1711" i="1" s="1"/>
  <c r="V1735" i="1"/>
  <c r="W1735" i="1" s="1"/>
  <c r="V1758" i="1"/>
  <c r="W1758" i="1" s="1"/>
  <c r="V1784" i="1"/>
  <c r="W1784" i="1" s="1"/>
  <c r="V1808" i="1"/>
  <c r="W1808" i="1" s="1"/>
  <c r="V1839" i="1"/>
  <c r="W1839" i="1" s="1"/>
  <c r="V1864" i="1"/>
  <c r="W1864" i="1" s="1"/>
  <c r="V1886" i="1"/>
  <c r="W1886" i="1" s="1"/>
  <c r="V1909" i="1"/>
  <c r="W1909" i="1" s="1"/>
  <c r="V1937" i="1"/>
  <c r="W1937" i="1" s="1"/>
  <c r="V2105" i="1"/>
  <c r="W2105" i="1" s="1"/>
  <c r="V2134" i="1"/>
  <c r="W2134" i="1" s="1"/>
  <c r="V2162" i="1"/>
  <c r="W2162" i="1" s="1"/>
  <c r="V2220" i="1"/>
  <c r="W2220" i="1" s="1"/>
  <c r="V2246" i="1"/>
  <c r="W2246" i="1" s="1"/>
  <c r="V2275" i="1"/>
  <c r="W2275" i="1" s="1"/>
  <c r="V2323" i="1"/>
  <c r="W2323" i="1" s="1"/>
  <c r="V2353" i="1"/>
  <c r="W2353" i="1" s="1"/>
  <c r="V2373" i="1"/>
  <c r="W2373" i="1" s="1"/>
  <c r="V2411" i="1"/>
  <c r="W2411" i="1" s="1"/>
  <c r="V2403" i="1"/>
  <c r="W2403" i="1" s="1"/>
  <c r="V2298" i="1"/>
  <c r="W2298" i="1" s="1"/>
  <c r="V2393" i="1"/>
  <c r="W2393" i="1" s="1"/>
  <c r="V2429" i="1"/>
  <c r="W2429" i="1" s="1"/>
  <c r="V2187" i="1"/>
  <c r="W2187" i="1" s="1"/>
  <c r="V1542" i="1"/>
  <c r="W1542" i="1" s="1"/>
  <c r="V1587" i="1"/>
  <c r="W1587" i="1" s="1"/>
  <c r="V1610" i="1"/>
  <c r="W1610" i="1" s="1"/>
  <c r="V1631" i="1"/>
  <c r="W1631" i="1" s="1"/>
  <c r="V1713" i="1"/>
  <c r="W1713" i="1" s="1"/>
  <c r="V1736" i="1"/>
  <c r="W1736" i="1" s="1"/>
  <c r="V1759" i="1"/>
  <c r="W1759" i="1" s="1"/>
  <c r="V1786" i="1"/>
  <c r="W1786" i="1" s="1"/>
  <c r="V1809" i="1"/>
  <c r="W1809" i="1" s="1"/>
  <c r="V1840" i="1"/>
  <c r="W1840" i="1" s="1"/>
  <c r="V1866" i="1"/>
  <c r="W1866" i="1" s="1"/>
  <c r="V1887" i="1"/>
  <c r="W1887" i="1" s="1"/>
  <c r="V1910" i="1"/>
  <c r="W1910" i="1" s="1"/>
  <c r="V1939" i="1"/>
  <c r="W1939" i="1" s="1"/>
  <c r="V2107" i="1"/>
  <c r="W2107" i="1" s="1"/>
  <c r="V2135" i="1"/>
  <c r="W2135" i="1" s="1"/>
  <c r="V2164" i="1"/>
  <c r="W2164" i="1" s="1"/>
  <c r="V2188" i="1"/>
  <c r="W2188" i="1" s="1"/>
  <c r="V2222" i="1"/>
  <c r="W2222" i="1" s="1"/>
  <c r="V2252" i="1"/>
  <c r="W2252" i="1" s="1"/>
  <c r="V2276" i="1"/>
  <c r="W2276" i="1" s="1"/>
  <c r="V2299" i="1"/>
  <c r="W2299" i="1" s="1"/>
  <c r="V2324" i="1"/>
  <c r="W2324" i="1" s="1"/>
  <c r="V2354" i="1"/>
  <c r="W2354" i="1" s="1"/>
  <c r="V2374" i="1"/>
  <c r="W2374" i="1" s="1"/>
  <c r="V2394" i="1"/>
  <c r="W2394" i="1" s="1"/>
  <c r="V2412" i="1"/>
  <c r="W2412" i="1" s="1"/>
  <c r="V1485" i="1"/>
  <c r="W1485" i="1" s="1"/>
  <c r="V1547" i="1"/>
  <c r="W1547" i="1" s="1"/>
  <c r="V1589" i="1"/>
  <c r="W1589" i="1" s="1"/>
  <c r="V1614" i="1"/>
  <c r="W1614" i="1" s="1"/>
  <c r="V1635" i="1"/>
  <c r="W1635" i="1" s="1"/>
  <c r="V1719" i="1"/>
  <c r="W1719" i="1" s="1"/>
  <c r="V1740" i="1"/>
  <c r="W1740" i="1" s="1"/>
  <c r="V1763" i="1"/>
  <c r="W1763" i="1" s="1"/>
  <c r="V1790" i="1"/>
  <c r="W1790" i="1" s="1"/>
  <c r="V1813" i="1"/>
  <c r="W1813" i="1" s="1"/>
  <c r="V1844" i="1"/>
  <c r="W1844" i="1" s="1"/>
  <c r="V1870" i="1"/>
  <c r="W1870" i="1" s="1"/>
  <c r="V1891" i="1"/>
  <c r="W1891" i="1" s="1"/>
  <c r="V1916" i="1"/>
  <c r="W1916" i="1" s="1"/>
  <c r="V1943" i="1"/>
  <c r="W1943" i="1" s="1"/>
  <c r="V2112" i="1"/>
  <c r="W2112" i="1" s="1"/>
  <c r="V2142" i="1"/>
  <c r="W2142" i="1" s="1"/>
  <c r="V2168" i="1"/>
  <c r="W2168" i="1" s="1"/>
  <c r="V2198" i="1"/>
  <c r="W2198" i="1" s="1"/>
  <c r="V2227" i="1"/>
  <c r="W2227" i="1" s="1"/>
  <c r="V2257" i="1"/>
  <c r="W2257" i="1" s="1"/>
  <c r="V2280" i="1"/>
  <c r="W2280" i="1" s="1"/>
  <c r="V2306" i="1"/>
  <c r="W2306" i="1" s="1"/>
  <c r="V2330" i="1"/>
  <c r="W2330" i="1" s="1"/>
  <c r="V2357" i="1"/>
  <c r="W2357" i="1" s="1"/>
  <c r="V2379" i="1"/>
  <c r="W2379" i="1" s="1"/>
  <c r="V2397" i="1"/>
  <c r="W2397" i="1" s="1"/>
  <c r="V2415" i="1"/>
  <c r="W2415" i="1" s="1"/>
  <c r="V1495" i="1"/>
  <c r="W1495" i="1" s="1"/>
  <c r="V1553" i="1"/>
  <c r="W1553" i="1" s="1"/>
  <c r="V1594" i="1"/>
  <c r="W1594" i="1" s="1"/>
  <c r="V1615" i="1"/>
  <c r="W1615" i="1" s="1"/>
  <c r="V1637" i="1"/>
  <c r="W1637" i="1" s="1"/>
  <c r="V1720" i="1"/>
  <c r="W1720" i="1" s="1"/>
  <c r="V1741" i="1"/>
  <c r="W1741" i="1" s="1"/>
  <c r="V1765" i="1"/>
  <c r="W1765" i="1" s="1"/>
  <c r="V1791" i="1"/>
  <c r="W1791" i="1" s="1"/>
  <c r="V1816" i="1"/>
  <c r="W1816" i="1" s="1"/>
  <c r="V1846" i="1"/>
  <c r="W1846" i="1" s="1"/>
  <c r="V1871" i="1"/>
  <c r="W1871" i="1" s="1"/>
  <c r="V1894" i="1"/>
  <c r="W1894" i="1" s="1"/>
  <c r="V1918" i="1"/>
  <c r="W1918" i="1" s="1"/>
  <c r="V2088" i="1"/>
  <c r="W2088" i="1" s="1"/>
  <c r="V2113" i="1"/>
  <c r="W2113" i="1" s="1"/>
  <c r="V2144" i="1"/>
  <c r="W2144" i="1" s="1"/>
  <c r="V2169" i="1"/>
  <c r="W2169" i="1" s="1"/>
  <c r="V2199" i="1"/>
  <c r="W2199" i="1" s="1"/>
  <c r="V2229" i="1"/>
  <c r="W2229" i="1" s="1"/>
  <c r="V2258" i="1"/>
  <c r="W2258" i="1" s="1"/>
  <c r="V2281" i="1"/>
  <c r="W2281" i="1" s="1"/>
  <c r="V2308" i="1"/>
  <c r="W2308" i="1" s="1"/>
  <c r="V2331" i="1"/>
  <c r="W2331" i="1" s="1"/>
  <c r="V2358" i="1"/>
  <c r="W2358" i="1" s="1"/>
  <c r="V2380" i="1"/>
  <c r="W2380" i="1" s="1"/>
  <c r="V2398" i="1"/>
  <c r="W2398" i="1" s="1"/>
  <c r="V2416" i="1"/>
  <c r="W2416" i="1" s="1"/>
  <c r="V1506" i="1"/>
  <c r="W1506" i="1" s="1"/>
  <c r="V1558" i="1"/>
  <c r="W1558" i="1" s="1"/>
  <c r="V1598" i="1"/>
  <c r="W1598" i="1" s="1"/>
  <c r="V1619" i="1"/>
  <c r="W1619" i="1" s="1"/>
  <c r="V1643" i="1"/>
  <c r="W1643" i="1" s="1"/>
  <c r="V1724" i="1"/>
  <c r="W1724" i="1" s="1"/>
  <c r="V1745" i="1"/>
  <c r="W1745" i="1" s="1"/>
  <c r="V1769" i="1"/>
  <c r="W1769" i="1" s="1"/>
  <c r="V1797" i="1"/>
  <c r="W1797" i="1" s="1"/>
  <c r="V1820" i="1"/>
  <c r="W1820" i="1" s="1"/>
  <c r="V1854" i="1"/>
  <c r="W1854" i="1" s="1"/>
  <c r="V1898" i="1"/>
  <c r="W1898" i="1" s="1"/>
  <c r="V1922" i="1"/>
  <c r="W1922" i="1" s="1"/>
  <c r="V2120" i="1"/>
  <c r="W2120" i="1" s="1"/>
  <c r="V2148" i="1"/>
  <c r="W2148" i="1" s="1"/>
  <c r="V2176" i="1"/>
  <c r="W2176" i="1" s="1"/>
  <c r="V2206" i="1"/>
  <c r="W2206" i="1" s="1"/>
  <c r="V2262" i="1"/>
  <c r="W2262" i="1" s="1"/>
  <c r="V2285" i="1"/>
  <c r="W2285" i="1" s="1"/>
  <c r="V2362" i="1"/>
  <c r="W2362" i="1" s="1"/>
  <c r="F13" i="1"/>
  <c r="K13" i="1" s="1"/>
  <c r="F15" i="1"/>
  <c r="K15" i="1" s="1"/>
  <c r="F17" i="1"/>
  <c r="K17" i="1" s="1"/>
  <c r="F19" i="1"/>
  <c r="K19" i="1" s="1"/>
  <c r="F20" i="1"/>
  <c r="K20" i="1" s="1"/>
  <c r="F21" i="1"/>
  <c r="K21" i="1" s="1"/>
  <c r="F22" i="1"/>
  <c r="K22" i="1" s="1"/>
  <c r="F23" i="1"/>
  <c r="K23" i="1" s="1"/>
  <c r="F24" i="1"/>
  <c r="K24" i="1" s="1"/>
  <c r="F25" i="1"/>
  <c r="K25" i="1" s="1"/>
  <c r="F26" i="1"/>
  <c r="K26" i="1" s="1"/>
  <c r="F27" i="1"/>
  <c r="K27" i="1" s="1"/>
  <c r="F28" i="1"/>
  <c r="K28" i="1" s="1"/>
  <c r="F29" i="1"/>
  <c r="K29" i="1" s="1"/>
  <c r="F30" i="1"/>
  <c r="K30" i="1" s="1"/>
  <c r="F31" i="1"/>
  <c r="K31" i="1" s="1"/>
  <c r="F32" i="1"/>
  <c r="K32" i="1" s="1"/>
  <c r="F33" i="1"/>
  <c r="K33" i="1" s="1"/>
  <c r="F34" i="1"/>
  <c r="K34" i="1" s="1"/>
  <c r="F35" i="1"/>
  <c r="K35" i="1" s="1"/>
  <c r="F37" i="1"/>
  <c r="K37" i="1" s="1"/>
  <c r="F38" i="1"/>
  <c r="K38" i="1" s="1"/>
  <c r="F39" i="1"/>
  <c r="K39" i="1" s="1"/>
  <c r="F40" i="1"/>
  <c r="F41" i="1"/>
  <c r="F45" i="1"/>
  <c r="K45" i="1" s="1"/>
  <c r="F47" i="1"/>
  <c r="K47" i="1" s="1"/>
  <c r="F48" i="1"/>
  <c r="K48" i="1" s="1"/>
  <c r="F50" i="1"/>
  <c r="K50" i="1" s="1"/>
  <c r="F51" i="1"/>
  <c r="K51" i="1" s="1"/>
  <c r="F52" i="1"/>
  <c r="K52" i="1" s="1"/>
  <c r="F53" i="1"/>
  <c r="K53" i="1" s="1"/>
  <c r="F54" i="1"/>
  <c r="K54" i="1" s="1"/>
  <c r="F55" i="1"/>
  <c r="K55" i="1" s="1"/>
  <c r="F56" i="1"/>
  <c r="K56" i="1" s="1"/>
  <c r="F57" i="1"/>
  <c r="K57" i="1" s="1"/>
  <c r="F58" i="1"/>
  <c r="K58" i="1" s="1"/>
  <c r="F59" i="1"/>
  <c r="K59" i="1" s="1"/>
  <c r="F60" i="1"/>
  <c r="K60" i="1" s="1"/>
  <c r="F61" i="1"/>
  <c r="K61" i="1" s="1"/>
  <c r="F62" i="1"/>
  <c r="K62" i="1" s="1"/>
  <c r="F63" i="1"/>
  <c r="K63" i="1" s="1"/>
  <c r="F64" i="1"/>
  <c r="K64" i="1" s="1"/>
  <c r="F65" i="1"/>
  <c r="K65" i="1" s="1"/>
  <c r="F66" i="1"/>
  <c r="K66" i="1" s="1"/>
  <c r="F67" i="1"/>
  <c r="K67" i="1" s="1"/>
  <c r="F68" i="1"/>
  <c r="K68" i="1" s="1"/>
  <c r="F69" i="1"/>
  <c r="K69" i="1" s="1"/>
  <c r="F70" i="1"/>
  <c r="K70" i="1" s="1"/>
  <c r="F71" i="1"/>
  <c r="K71" i="1" s="1"/>
  <c r="F72" i="1"/>
  <c r="K72" i="1" s="1"/>
  <c r="F74" i="1"/>
  <c r="K74" i="1" s="1"/>
  <c r="F75" i="1"/>
  <c r="K75" i="1" s="1"/>
  <c r="F76" i="1"/>
  <c r="K76" i="1" s="1"/>
  <c r="F78" i="1"/>
  <c r="K78" i="1" s="1"/>
  <c r="F79" i="1"/>
  <c r="K79" i="1" s="1"/>
  <c r="F80" i="1"/>
  <c r="K80" i="1" s="1"/>
  <c r="F81" i="1"/>
  <c r="K81" i="1" s="1"/>
  <c r="F82" i="1"/>
  <c r="K82" i="1" s="1"/>
  <c r="F83" i="1"/>
  <c r="K83" i="1" s="1"/>
  <c r="F84" i="1"/>
  <c r="K84" i="1" s="1"/>
  <c r="F85" i="1"/>
  <c r="K85" i="1" s="1"/>
  <c r="F86" i="1"/>
  <c r="K86" i="1" s="1"/>
  <c r="F87" i="1"/>
  <c r="K87" i="1" s="1"/>
  <c r="F88" i="1"/>
  <c r="K88" i="1" s="1"/>
  <c r="F89" i="1"/>
  <c r="K89" i="1" s="1"/>
  <c r="F92" i="1"/>
  <c r="K92" i="1" s="1"/>
  <c r="F93" i="1"/>
  <c r="K93" i="1" s="1"/>
  <c r="F94" i="1"/>
  <c r="K94" i="1" s="1"/>
  <c r="F95" i="1"/>
  <c r="K95" i="1" s="1"/>
  <c r="F96" i="1"/>
  <c r="K96" i="1" s="1"/>
  <c r="F97" i="1"/>
  <c r="K97" i="1" s="1"/>
  <c r="F98" i="1"/>
  <c r="K98" i="1" s="1"/>
  <c r="F99" i="1"/>
  <c r="K99" i="1" s="1"/>
  <c r="F100" i="1"/>
  <c r="K100" i="1" s="1"/>
  <c r="F101" i="1"/>
  <c r="K101" i="1" s="1"/>
  <c r="F103" i="1"/>
  <c r="K103" i="1" s="1"/>
  <c r="F104" i="1"/>
  <c r="K104" i="1" s="1"/>
  <c r="F105" i="1"/>
  <c r="K105" i="1" s="1"/>
  <c r="F107" i="1"/>
  <c r="K107" i="1" s="1"/>
  <c r="F108" i="1"/>
  <c r="K108" i="1" s="1"/>
  <c r="F115" i="1"/>
  <c r="K115" i="1" s="1"/>
  <c r="F116" i="1"/>
  <c r="K116" i="1" s="1"/>
  <c r="F117" i="1"/>
  <c r="K117" i="1" s="1"/>
  <c r="F118" i="1"/>
  <c r="K118" i="1" s="1"/>
  <c r="F119" i="1"/>
  <c r="K119" i="1" s="1"/>
  <c r="F120" i="1"/>
  <c r="K120" i="1" s="1"/>
  <c r="F121" i="1"/>
  <c r="K121" i="1" s="1"/>
  <c r="F122" i="1"/>
  <c r="K122" i="1" s="1"/>
  <c r="F123" i="1"/>
  <c r="K123" i="1" s="1"/>
  <c r="F124" i="1"/>
  <c r="K124" i="1" s="1"/>
  <c r="F125" i="1"/>
  <c r="K125" i="1" s="1"/>
  <c r="F127" i="1"/>
  <c r="K127" i="1" s="1"/>
  <c r="F128" i="1"/>
  <c r="K128" i="1" s="1"/>
  <c r="F129" i="1"/>
  <c r="K129" i="1" s="1"/>
  <c r="F130" i="1"/>
  <c r="K130" i="1" s="1"/>
  <c r="F131" i="1"/>
  <c r="K131" i="1" s="1"/>
  <c r="F132" i="1"/>
  <c r="K132" i="1" s="1"/>
  <c r="F133" i="1"/>
  <c r="K133" i="1" s="1"/>
  <c r="F134" i="1"/>
  <c r="K134" i="1" s="1"/>
  <c r="F135" i="1"/>
  <c r="K135" i="1" s="1"/>
  <c r="F136" i="1"/>
  <c r="K136" i="1" s="1"/>
  <c r="F138" i="1"/>
  <c r="K138" i="1" s="1"/>
  <c r="F139" i="1"/>
  <c r="K139" i="1" s="1"/>
  <c r="F140" i="1"/>
  <c r="K140" i="1" s="1"/>
  <c r="F141" i="1"/>
  <c r="K141" i="1" s="1"/>
  <c r="F142" i="1"/>
  <c r="K142" i="1" s="1"/>
  <c r="F143" i="1"/>
  <c r="K143" i="1" s="1"/>
  <c r="F144" i="1"/>
  <c r="K144" i="1" s="1"/>
  <c r="F145" i="1"/>
  <c r="K145" i="1" s="1"/>
  <c r="F146" i="1"/>
  <c r="K146" i="1" s="1"/>
  <c r="F149" i="1"/>
  <c r="K149" i="1" s="1"/>
  <c r="F150" i="1"/>
  <c r="K150" i="1" s="1"/>
  <c r="F151" i="1"/>
  <c r="K151" i="1" s="1"/>
  <c r="F152" i="1"/>
  <c r="K152" i="1" s="1"/>
  <c r="F153" i="1"/>
  <c r="K153" i="1" s="1"/>
  <c r="F161" i="1"/>
  <c r="K161" i="1" s="1"/>
  <c r="F162" i="1"/>
  <c r="K162" i="1" s="1"/>
  <c r="F163" i="1"/>
  <c r="K163" i="1" s="1"/>
  <c r="F164" i="1"/>
  <c r="K164" i="1" s="1"/>
  <c r="F170" i="1"/>
  <c r="K170" i="1" s="1"/>
  <c r="F171" i="1"/>
  <c r="K171" i="1" s="1"/>
  <c r="F173" i="1"/>
  <c r="K173" i="1" s="1"/>
  <c r="F174" i="1"/>
  <c r="K174" i="1" s="1"/>
  <c r="F175" i="1"/>
  <c r="K175" i="1" s="1"/>
  <c r="F176" i="1"/>
  <c r="K176" i="1" s="1"/>
  <c r="F177" i="1"/>
  <c r="K177" i="1" s="1"/>
  <c r="F178" i="1"/>
  <c r="K178" i="1" s="1"/>
  <c r="F179" i="1"/>
  <c r="K179" i="1" s="1"/>
  <c r="F180" i="1"/>
  <c r="K180" i="1" s="1"/>
  <c r="F182" i="1"/>
  <c r="K182" i="1" s="1"/>
  <c r="F183" i="1"/>
  <c r="K183" i="1" s="1"/>
  <c r="F184" i="1"/>
  <c r="K184" i="1" s="1"/>
  <c r="F185" i="1"/>
  <c r="K185" i="1" s="1"/>
  <c r="F186" i="1"/>
  <c r="K186" i="1" s="1"/>
  <c r="F187" i="1"/>
  <c r="K187" i="1" s="1"/>
  <c r="F190" i="1"/>
  <c r="K190" i="1" s="1"/>
  <c r="F191" i="1"/>
  <c r="K191" i="1" s="1"/>
  <c r="F192" i="1"/>
  <c r="K192" i="1" s="1"/>
  <c r="F193" i="1"/>
  <c r="K193" i="1" s="1"/>
  <c r="F194" i="1"/>
  <c r="K194" i="1" s="1"/>
  <c r="F199" i="1"/>
  <c r="K199" i="1" s="1"/>
  <c r="F203" i="1"/>
  <c r="K203" i="1" s="1"/>
  <c r="F205" i="1"/>
  <c r="K205" i="1" s="1"/>
  <c r="F206" i="1"/>
  <c r="K206" i="1" s="1"/>
  <c r="F207" i="1"/>
  <c r="K207" i="1" s="1"/>
  <c r="F208" i="1"/>
  <c r="K208" i="1" s="1"/>
  <c r="F209" i="1"/>
  <c r="K209" i="1" s="1"/>
  <c r="F210" i="1"/>
  <c r="K210" i="1" s="1"/>
  <c r="F211" i="1"/>
  <c r="K211" i="1" s="1"/>
  <c r="F212" i="1"/>
  <c r="K212" i="1" s="1"/>
  <c r="F213" i="1"/>
  <c r="K213" i="1" s="1"/>
  <c r="F214" i="1"/>
  <c r="K214" i="1" s="1"/>
  <c r="F215" i="1"/>
  <c r="K215" i="1" s="1"/>
  <c r="F216" i="1"/>
  <c r="K216" i="1" s="1"/>
  <c r="F217" i="1"/>
  <c r="K217" i="1" s="1"/>
  <c r="F218" i="1"/>
  <c r="K218" i="1" s="1"/>
  <c r="F219" i="1"/>
  <c r="K219" i="1" s="1"/>
  <c r="F220" i="1"/>
  <c r="K220" i="1" s="1"/>
  <c r="F223" i="1"/>
  <c r="K223" i="1" s="1"/>
  <c r="F224" i="1"/>
  <c r="K224" i="1" s="1"/>
  <c r="F225" i="1"/>
  <c r="K225" i="1" s="1"/>
  <c r="F226" i="1"/>
  <c r="K226" i="1" s="1"/>
  <c r="F227" i="1"/>
  <c r="K227" i="1" s="1"/>
  <c r="F228" i="1"/>
  <c r="K228" i="1" s="1"/>
  <c r="F229" i="1"/>
  <c r="K229" i="1" s="1"/>
  <c r="F230" i="1"/>
  <c r="K230" i="1" s="1"/>
  <c r="F231" i="1"/>
  <c r="K231" i="1" s="1"/>
  <c r="F232" i="1"/>
  <c r="K232" i="1" s="1"/>
  <c r="F233" i="1"/>
  <c r="K233" i="1" s="1"/>
  <c r="F234" i="1"/>
  <c r="K234" i="1" s="1"/>
  <c r="F235" i="1"/>
  <c r="K235" i="1" s="1"/>
  <c r="F236" i="1"/>
  <c r="K236" i="1" s="1"/>
  <c r="F237" i="1"/>
  <c r="K237" i="1" s="1"/>
  <c r="F238" i="1"/>
  <c r="K238" i="1" s="1"/>
  <c r="F239" i="1"/>
  <c r="K239" i="1" s="1"/>
  <c r="F240" i="1"/>
  <c r="K240" i="1" s="1"/>
  <c r="F241" i="1"/>
  <c r="K241" i="1" s="1"/>
  <c r="F242" i="1"/>
  <c r="K242" i="1" s="1"/>
  <c r="F243" i="1"/>
  <c r="K243" i="1" s="1"/>
  <c r="F244" i="1"/>
  <c r="K244" i="1" s="1"/>
  <c r="F245" i="1"/>
  <c r="K245" i="1" s="1"/>
  <c r="F246" i="1"/>
  <c r="K246" i="1" s="1"/>
  <c r="F247" i="1"/>
  <c r="K247" i="1" s="1"/>
  <c r="F248" i="1"/>
  <c r="K248" i="1" s="1"/>
  <c r="F249" i="1"/>
  <c r="K249" i="1" s="1"/>
  <c r="F250" i="1"/>
  <c r="K250" i="1" s="1"/>
  <c r="F251" i="1"/>
  <c r="K251" i="1" s="1"/>
  <c r="F252" i="1"/>
  <c r="K252" i="1" s="1"/>
  <c r="F253" i="1"/>
  <c r="K253" i="1" s="1"/>
  <c r="F254" i="1"/>
  <c r="K254" i="1" s="1"/>
  <c r="F255" i="1"/>
  <c r="K255" i="1" s="1"/>
  <c r="F256" i="1"/>
  <c r="K256" i="1" s="1"/>
  <c r="F257" i="1"/>
  <c r="K257" i="1" s="1"/>
  <c r="F258" i="1"/>
  <c r="K258" i="1" s="1"/>
  <c r="F259" i="1"/>
  <c r="K259" i="1" s="1"/>
  <c r="F260" i="1"/>
  <c r="K260" i="1" s="1"/>
  <c r="F261" i="1"/>
  <c r="K261" i="1" s="1"/>
  <c r="F262" i="1"/>
  <c r="K262" i="1" s="1"/>
  <c r="F263" i="1"/>
  <c r="K263" i="1" s="1"/>
  <c r="F264" i="1"/>
  <c r="K264" i="1" s="1"/>
  <c r="F265" i="1"/>
  <c r="K265" i="1" s="1"/>
  <c r="F266" i="1"/>
  <c r="K266" i="1" s="1"/>
  <c r="F267" i="1"/>
  <c r="K267" i="1" s="1"/>
  <c r="F268" i="1"/>
  <c r="K268" i="1" s="1"/>
  <c r="F269" i="1"/>
  <c r="K269" i="1" s="1"/>
  <c r="F270" i="1"/>
  <c r="K270" i="1" s="1"/>
  <c r="F271" i="1"/>
  <c r="K271" i="1" s="1"/>
  <c r="F272" i="1"/>
  <c r="K272" i="1" s="1"/>
  <c r="F273" i="1"/>
  <c r="K273" i="1" s="1"/>
  <c r="F274" i="1"/>
  <c r="K274" i="1" s="1"/>
  <c r="F275" i="1"/>
  <c r="K275" i="1" s="1"/>
  <c r="F276" i="1"/>
  <c r="K276" i="1" s="1"/>
  <c r="F277" i="1"/>
  <c r="K277" i="1" s="1"/>
  <c r="F278" i="1"/>
  <c r="K278" i="1" s="1"/>
  <c r="F279" i="1"/>
  <c r="K279" i="1" s="1"/>
  <c r="F280" i="1"/>
  <c r="K280" i="1" s="1"/>
  <c r="F281" i="1"/>
  <c r="K281" i="1" s="1"/>
  <c r="F282" i="1"/>
  <c r="K282" i="1" s="1"/>
  <c r="F283" i="1"/>
  <c r="K283" i="1" s="1"/>
  <c r="F284" i="1"/>
  <c r="K284" i="1" s="1"/>
  <c r="F285" i="1"/>
  <c r="K285" i="1" s="1"/>
  <c r="F286" i="1"/>
  <c r="K286" i="1" s="1"/>
  <c r="F287" i="1"/>
  <c r="K287" i="1" s="1"/>
  <c r="F288" i="1"/>
  <c r="K288" i="1" s="1"/>
  <c r="F289" i="1"/>
  <c r="K289" i="1" s="1"/>
  <c r="F290" i="1"/>
  <c r="K290" i="1" s="1"/>
  <c r="F291" i="1"/>
  <c r="K291" i="1" s="1"/>
  <c r="F292" i="1"/>
  <c r="K292" i="1" s="1"/>
  <c r="F293" i="1"/>
  <c r="K293" i="1" s="1"/>
  <c r="F294" i="1"/>
  <c r="K294" i="1" s="1"/>
  <c r="F295" i="1"/>
  <c r="K295" i="1" s="1"/>
  <c r="F303" i="1"/>
  <c r="K303" i="1" s="1"/>
  <c r="F304" i="1"/>
  <c r="K304" i="1" s="1"/>
  <c r="F305" i="1"/>
  <c r="K305" i="1" s="1"/>
  <c r="F306" i="1"/>
  <c r="K306" i="1" s="1"/>
  <c r="F307" i="1"/>
  <c r="K307" i="1" s="1"/>
  <c r="F308" i="1"/>
  <c r="K308" i="1" s="1"/>
  <c r="F309" i="1"/>
  <c r="K309" i="1" s="1"/>
  <c r="F310" i="1"/>
  <c r="K310" i="1" s="1"/>
  <c r="F311" i="1"/>
  <c r="K311" i="1" s="1"/>
  <c r="F314" i="1"/>
  <c r="K314" i="1" s="1"/>
  <c r="F315" i="1"/>
  <c r="K315" i="1" s="1"/>
  <c r="F316" i="1"/>
  <c r="K316" i="1" s="1"/>
  <c r="F317" i="1"/>
  <c r="K317" i="1" s="1"/>
  <c r="F318" i="1"/>
  <c r="K318" i="1" s="1"/>
  <c r="F319" i="1"/>
  <c r="K319" i="1" s="1"/>
  <c r="F320" i="1"/>
  <c r="K320" i="1" s="1"/>
  <c r="F321" i="1"/>
  <c r="K321" i="1" s="1"/>
  <c r="F322" i="1"/>
  <c r="K322" i="1" s="1"/>
  <c r="F323" i="1"/>
  <c r="K323" i="1" s="1"/>
  <c r="F324" i="1"/>
  <c r="K324" i="1" s="1"/>
  <c r="F325" i="1"/>
  <c r="K325" i="1" s="1"/>
  <c r="F326" i="1"/>
  <c r="K326" i="1" s="1"/>
  <c r="F327" i="1"/>
  <c r="K327" i="1" s="1"/>
  <c r="F328" i="1"/>
  <c r="K328" i="1" s="1"/>
  <c r="F329" i="1"/>
  <c r="K329" i="1" s="1"/>
  <c r="F330" i="1"/>
  <c r="K330" i="1" s="1"/>
  <c r="F331" i="1"/>
  <c r="K331" i="1" s="1"/>
  <c r="F332" i="1"/>
  <c r="K332" i="1" s="1"/>
  <c r="F333" i="1"/>
  <c r="K333" i="1" s="1"/>
  <c r="F334" i="1"/>
  <c r="K334" i="1" s="1"/>
  <c r="F335" i="1"/>
  <c r="K335" i="1" s="1"/>
  <c r="F336" i="1"/>
  <c r="K336" i="1" s="1"/>
  <c r="F337" i="1"/>
  <c r="K337" i="1" s="1"/>
  <c r="F338" i="1"/>
  <c r="K338" i="1" s="1"/>
  <c r="F339" i="1"/>
  <c r="K339" i="1" s="1"/>
  <c r="F340" i="1"/>
  <c r="K340" i="1" s="1"/>
  <c r="F341" i="1"/>
  <c r="K341" i="1" s="1"/>
  <c r="F342" i="1"/>
  <c r="K342" i="1" s="1"/>
  <c r="F343" i="1"/>
  <c r="K343" i="1" s="1"/>
  <c r="F346" i="1"/>
  <c r="K346" i="1" s="1"/>
  <c r="F347" i="1"/>
  <c r="K347" i="1" s="1"/>
  <c r="F348" i="1"/>
  <c r="K348" i="1" s="1"/>
  <c r="F349" i="1"/>
  <c r="K349" i="1" s="1"/>
  <c r="F350" i="1"/>
  <c r="K350" i="1" s="1"/>
  <c r="F351" i="1"/>
  <c r="K351" i="1" s="1"/>
  <c r="F352" i="1"/>
  <c r="K352" i="1" s="1"/>
  <c r="F353" i="1"/>
  <c r="K353" i="1" s="1"/>
  <c r="F354" i="1"/>
  <c r="K354" i="1" s="1"/>
  <c r="F355" i="1"/>
  <c r="K355" i="1" s="1"/>
  <c r="F356" i="1"/>
  <c r="K356" i="1" s="1"/>
  <c r="F357" i="1"/>
  <c r="K357" i="1" s="1"/>
  <c r="F358" i="1"/>
  <c r="K358" i="1" s="1"/>
  <c r="F359" i="1"/>
  <c r="K359" i="1" s="1"/>
  <c r="F360" i="1"/>
  <c r="K360" i="1" s="1"/>
  <c r="F361" i="1"/>
  <c r="K361" i="1" s="1"/>
  <c r="F362" i="1"/>
  <c r="K362" i="1" s="1"/>
  <c r="F363" i="1"/>
  <c r="K363" i="1" s="1"/>
  <c r="F364" i="1"/>
  <c r="K364" i="1" s="1"/>
  <c r="F365" i="1"/>
  <c r="K365" i="1" s="1"/>
  <c r="F366" i="1"/>
  <c r="K366" i="1" s="1"/>
  <c r="F367" i="1"/>
  <c r="K367" i="1" s="1"/>
  <c r="F368" i="1"/>
  <c r="K368" i="1" s="1"/>
  <c r="F369" i="1"/>
  <c r="K369" i="1" s="1"/>
  <c r="F370" i="1"/>
  <c r="K370" i="1" s="1"/>
  <c r="F371" i="1"/>
  <c r="K371" i="1" s="1"/>
  <c r="F372" i="1"/>
  <c r="K372" i="1" s="1"/>
  <c r="F373" i="1"/>
  <c r="K373" i="1" s="1"/>
  <c r="F374" i="1"/>
  <c r="K374" i="1" s="1"/>
  <c r="F375" i="1"/>
  <c r="K375" i="1" s="1"/>
  <c r="F376" i="1"/>
  <c r="K376" i="1" s="1"/>
  <c r="F377" i="1"/>
  <c r="K377" i="1" s="1"/>
  <c r="F378" i="1"/>
  <c r="K378" i="1" s="1"/>
  <c r="F379" i="1"/>
  <c r="K379" i="1" s="1"/>
  <c r="F380" i="1"/>
  <c r="K380" i="1" s="1"/>
  <c r="F381" i="1"/>
  <c r="K381" i="1" s="1"/>
  <c r="F382" i="1"/>
  <c r="K382" i="1" s="1"/>
  <c r="F383" i="1"/>
  <c r="K383" i="1" s="1"/>
  <c r="F384" i="1"/>
  <c r="K384" i="1" s="1"/>
  <c r="F385" i="1"/>
  <c r="K385" i="1" s="1"/>
  <c r="F386" i="1"/>
  <c r="K386" i="1" s="1"/>
  <c r="F387" i="1"/>
  <c r="K387" i="1" s="1"/>
  <c r="F388" i="1"/>
  <c r="K388" i="1" s="1"/>
  <c r="F389" i="1"/>
  <c r="K389" i="1" s="1"/>
  <c r="F390" i="1"/>
  <c r="K390" i="1" s="1"/>
  <c r="F391" i="1"/>
  <c r="K391" i="1" s="1"/>
  <c r="F392" i="1"/>
  <c r="K392" i="1" s="1"/>
  <c r="F393" i="1"/>
  <c r="K393" i="1" s="1"/>
  <c r="F394" i="1"/>
  <c r="K394" i="1" s="1"/>
  <c r="F395" i="1"/>
  <c r="K395" i="1" s="1"/>
  <c r="F396" i="1"/>
  <c r="K396" i="1" s="1"/>
  <c r="F397" i="1"/>
  <c r="K397" i="1" s="1"/>
  <c r="F398" i="1"/>
  <c r="K398" i="1" s="1"/>
  <c r="F399" i="1"/>
  <c r="K399" i="1" s="1"/>
  <c r="F400" i="1"/>
  <c r="K400" i="1" s="1"/>
  <c r="F401" i="1"/>
  <c r="K401" i="1" s="1"/>
  <c r="F402" i="1"/>
  <c r="K402" i="1" s="1"/>
  <c r="F403" i="1"/>
  <c r="K403" i="1" s="1"/>
  <c r="F404" i="1"/>
  <c r="K404" i="1" s="1"/>
  <c r="F405" i="1"/>
  <c r="K405" i="1" s="1"/>
  <c r="F406" i="1"/>
  <c r="K406" i="1" s="1"/>
  <c r="F407" i="1"/>
  <c r="K407" i="1" s="1"/>
  <c r="F408" i="1"/>
  <c r="K408" i="1" s="1"/>
  <c r="F409" i="1"/>
  <c r="K409" i="1" s="1"/>
  <c r="F410" i="1"/>
  <c r="K410" i="1" s="1"/>
  <c r="F411" i="1"/>
  <c r="K411" i="1" s="1"/>
  <c r="F412" i="1"/>
  <c r="K412" i="1" s="1"/>
  <c r="F413" i="1"/>
  <c r="K413" i="1" s="1"/>
  <c r="F414" i="1"/>
  <c r="K414" i="1" s="1"/>
  <c r="F415" i="1"/>
  <c r="K415" i="1" s="1"/>
  <c r="F416" i="1"/>
  <c r="K416" i="1" s="1"/>
  <c r="F417" i="1"/>
  <c r="K417" i="1" s="1"/>
  <c r="F418" i="1"/>
  <c r="K418" i="1" s="1"/>
  <c r="F419" i="1"/>
  <c r="K419" i="1" s="1"/>
  <c r="F420" i="1"/>
  <c r="K420" i="1" s="1"/>
  <c r="F421" i="1"/>
  <c r="K421" i="1" s="1"/>
  <c r="F422" i="1"/>
  <c r="K422" i="1" s="1"/>
  <c r="F423" i="1"/>
  <c r="K423" i="1" s="1"/>
  <c r="F424" i="1"/>
  <c r="K424" i="1" s="1"/>
  <c r="F425" i="1"/>
  <c r="K425" i="1" s="1"/>
  <c r="F426" i="1"/>
  <c r="K426" i="1" s="1"/>
  <c r="F427" i="1"/>
  <c r="K427" i="1" s="1"/>
  <c r="F428" i="1"/>
  <c r="K428" i="1" s="1"/>
  <c r="F429" i="1"/>
  <c r="K429" i="1" s="1"/>
  <c r="F432" i="1"/>
  <c r="K432" i="1" s="1"/>
  <c r="F433" i="1"/>
  <c r="K433" i="1" s="1"/>
  <c r="F434" i="1"/>
  <c r="K434" i="1" s="1"/>
  <c r="F435" i="1"/>
  <c r="K435" i="1" s="1"/>
  <c r="F436" i="1"/>
  <c r="K436" i="1" s="1"/>
  <c r="F437" i="1"/>
  <c r="K437" i="1" s="1"/>
  <c r="F438" i="1"/>
  <c r="K438" i="1" s="1"/>
  <c r="F439" i="1"/>
  <c r="K439" i="1" s="1"/>
  <c r="F440" i="1"/>
  <c r="K440" i="1" s="1"/>
  <c r="F441" i="1"/>
  <c r="K441" i="1" s="1"/>
  <c r="F442" i="1"/>
  <c r="K442" i="1" s="1"/>
  <c r="F443" i="1"/>
  <c r="K443" i="1" s="1"/>
  <c r="F444" i="1"/>
  <c r="K444" i="1" s="1"/>
  <c r="F445" i="1"/>
  <c r="K445" i="1" s="1"/>
  <c r="F446" i="1"/>
  <c r="K446" i="1" s="1"/>
  <c r="F447" i="1"/>
  <c r="K447" i="1" s="1"/>
  <c r="F448" i="1"/>
  <c r="K448" i="1" s="1"/>
  <c r="F449" i="1"/>
  <c r="K449" i="1" s="1"/>
  <c r="F450" i="1"/>
  <c r="K450" i="1" s="1"/>
  <c r="F451" i="1"/>
  <c r="K451" i="1" s="1"/>
  <c r="F452" i="1"/>
  <c r="K452" i="1" s="1"/>
  <c r="F453" i="1"/>
  <c r="K453" i="1" s="1"/>
  <c r="F454" i="1"/>
  <c r="K454" i="1" s="1"/>
  <c r="F455" i="1"/>
  <c r="K455" i="1" s="1"/>
  <c r="F456" i="1"/>
  <c r="K456" i="1" s="1"/>
  <c r="F457" i="1"/>
  <c r="K457" i="1" s="1"/>
  <c r="F458" i="1"/>
  <c r="K458" i="1" s="1"/>
  <c r="F459" i="1"/>
  <c r="K459" i="1" s="1"/>
  <c r="F460" i="1"/>
  <c r="K460" i="1" s="1"/>
  <c r="F461" i="1"/>
  <c r="K461" i="1" s="1"/>
  <c r="F462" i="1"/>
  <c r="K462" i="1" s="1"/>
  <c r="F463" i="1"/>
  <c r="K463" i="1" s="1"/>
  <c r="F464" i="1"/>
  <c r="K464" i="1" s="1"/>
  <c r="F467" i="1"/>
  <c r="K467" i="1" s="1"/>
  <c r="F468" i="1"/>
  <c r="K468" i="1" s="1"/>
  <c r="F469" i="1"/>
  <c r="K469" i="1" s="1"/>
  <c r="F470" i="1"/>
  <c r="K470" i="1" s="1"/>
  <c r="F471" i="1"/>
  <c r="K471" i="1" s="1"/>
  <c r="F472" i="1"/>
  <c r="K472" i="1" s="1"/>
  <c r="F473" i="1"/>
  <c r="K473" i="1" s="1"/>
  <c r="F474" i="1"/>
  <c r="K474" i="1" s="1"/>
  <c r="F475" i="1"/>
  <c r="K475" i="1" s="1"/>
  <c r="F476" i="1"/>
  <c r="K476" i="1" s="1"/>
  <c r="F477" i="1"/>
  <c r="K477" i="1" s="1"/>
  <c r="F478" i="1"/>
  <c r="K478" i="1" s="1"/>
  <c r="F479" i="1"/>
  <c r="K479" i="1" s="1"/>
  <c r="F480" i="1"/>
  <c r="K480" i="1" s="1"/>
  <c r="F481" i="1"/>
  <c r="K481" i="1" s="1"/>
  <c r="F482" i="1"/>
  <c r="K482" i="1" s="1"/>
  <c r="F483" i="1"/>
  <c r="K483" i="1" s="1"/>
  <c r="F484" i="1"/>
  <c r="K484" i="1" s="1"/>
  <c r="F485" i="1"/>
  <c r="K485" i="1" s="1"/>
  <c r="F486" i="1"/>
  <c r="K486" i="1" s="1"/>
  <c r="F487" i="1"/>
  <c r="K487" i="1" s="1"/>
  <c r="F488" i="1"/>
  <c r="K488" i="1" s="1"/>
  <c r="F489" i="1"/>
  <c r="K489" i="1" s="1"/>
  <c r="F490" i="1"/>
  <c r="K490" i="1" s="1"/>
  <c r="F491" i="1"/>
  <c r="K491" i="1" s="1"/>
  <c r="F492" i="1"/>
  <c r="K492" i="1" s="1"/>
  <c r="F493" i="1"/>
  <c r="K493" i="1" s="1"/>
  <c r="F494" i="1"/>
  <c r="K494" i="1" s="1"/>
  <c r="F495" i="1"/>
  <c r="K495" i="1" s="1"/>
  <c r="F496" i="1"/>
  <c r="K496" i="1" s="1"/>
  <c r="F497" i="1"/>
  <c r="K497" i="1" s="1"/>
  <c r="F498" i="1"/>
  <c r="K498" i="1" s="1"/>
  <c r="F503" i="1"/>
  <c r="K503" i="1" s="1"/>
  <c r="F504" i="1"/>
  <c r="K504" i="1" s="1"/>
  <c r="F505" i="1"/>
  <c r="K505" i="1" s="1"/>
  <c r="F506" i="1"/>
  <c r="K506" i="1" s="1"/>
  <c r="F507" i="1"/>
  <c r="K507" i="1" s="1"/>
  <c r="F508" i="1"/>
  <c r="K508" i="1" s="1"/>
  <c r="F509" i="1"/>
  <c r="K509" i="1" s="1"/>
  <c r="F510" i="1"/>
  <c r="K510" i="1" s="1"/>
  <c r="F511" i="1"/>
  <c r="K511" i="1" s="1"/>
  <c r="F512" i="1"/>
  <c r="K512" i="1" s="1"/>
  <c r="F513" i="1"/>
  <c r="K513" i="1" s="1"/>
  <c r="F514" i="1"/>
  <c r="K514" i="1" s="1"/>
  <c r="F515" i="1"/>
  <c r="K515" i="1" s="1"/>
  <c r="F516" i="1"/>
  <c r="K516" i="1" s="1"/>
  <c r="F517" i="1"/>
  <c r="K517" i="1" s="1"/>
  <c r="F518" i="1"/>
  <c r="K518" i="1" s="1"/>
  <c r="F519" i="1"/>
  <c r="K519" i="1" s="1"/>
  <c r="F524" i="1"/>
  <c r="K524" i="1" s="1"/>
  <c r="F525" i="1"/>
  <c r="K525" i="1" s="1"/>
  <c r="F526" i="1"/>
  <c r="K526" i="1" s="1"/>
  <c r="F527" i="1"/>
  <c r="K527" i="1" s="1"/>
  <c r="F528" i="1"/>
  <c r="K528" i="1" s="1"/>
  <c r="F529" i="1"/>
  <c r="K529" i="1" s="1"/>
  <c r="F530" i="1"/>
  <c r="K530" i="1" s="1"/>
  <c r="F531" i="1"/>
  <c r="K531" i="1" s="1"/>
  <c r="F532" i="1"/>
  <c r="K532" i="1" s="1"/>
  <c r="F533" i="1"/>
  <c r="K533" i="1" s="1"/>
  <c r="F534" i="1"/>
  <c r="K534" i="1" s="1"/>
  <c r="F535" i="1"/>
  <c r="K535" i="1" s="1"/>
  <c r="F536" i="1"/>
  <c r="K536" i="1" s="1"/>
  <c r="F537" i="1"/>
  <c r="K537" i="1" s="1"/>
  <c r="F538" i="1"/>
  <c r="K538" i="1" s="1"/>
  <c r="F539" i="1"/>
  <c r="K539" i="1" s="1"/>
  <c r="F540" i="1"/>
  <c r="K540" i="1" s="1"/>
  <c r="F541" i="1"/>
  <c r="K541" i="1" s="1"/>
  <c r="F542" i="1"/>
  <c r="K542" i="1" s="1"/>
  <c r="F543" i="1"/>
  <c r="K543" i="1" s="1"/>
  <c r="F544" i="1"/>
  <c r="K544" i="1" s="1"/>
  <c r="F545" i="1"/>
  <c r="K545" i="1" s="1"/>
  <c r="F546" i="1"/>
  <c r="K546" i="1" s="1"/>
  <c r="F547" i="1"/>
  <c r="K547" i="1" s="1"/>
  <c r="F548" i="1"/>
  <c r="K548" i="1" s="1"/>
  <c r="F549" i="1"/>
  <c r="K549" i="1" s="1"/>
  <c r="F550" i="1"/>
  <c r="K550" i="1" s="1"/>
  <c r="F551" i="1"/>
  <c r="K551" i="1" s="1"/>
  <c r="F552" i="1"/>
  <c r="K552" i="1" s="1"/>
  <c r="F553" i="1"/>
  <c r="K553" i="1" s="1"/>
  <c r="F554" i="1"/>
  <c r="K554" i="1" s="1"/>
  <c r="F555" i="1"/>
  <c r="K555" i="1" s="1"/>
  <c r="F556" i="1"/>
  <c r="K556" i="1" s="1"/>
  <c r="F557" i="1"/>
  <c r="K557" i="1" s="1"/>
  <c r="F558" i="1"/>
  <c r="K558" i="1" s="1"/>
  <c r="F559" i="1"/>
  <c r="K559" i="1" s="1"/>
  <c r="F560" i="1"/>
  <c r="K560" i="1" s="1"/>
  <c r="F561" i="1"/>
  <c r="K561" i="1" s="1"/>
  <c r="F562" i="1"/>
  <c r="K562" i="1" s="1"/>
  <c r="F563" i="1"/>
  <c r="K563" i="1" s="1"/>
  <c r="F564" i="1"/>
  <c r="K564" i="1" s="1"/>
  <c r="F565" i="1"/>
  <c r="K565" i="1" s="1"/>
  <c r="F566" i="1"/>
  <c r="K566" i="1" s="1"/>
  <c r="F567" i="1"/>
  <c r="K567" i="1" s="1"/>
  <c r="F568" i="1"/>
  <c r="K568" i="1" s="1"/>
  <c r="F569" i="1"/>
  <c r="K569" i="1" s="1"/>
  <c r="F570" i="1"/>
  <c r="K570" i="1" s="1"/>
  <c r="F571" i="1"/>
  <c r="K571" i="1" s="1"/>
  <c r="F572" i="1"/>
  <c r="K572" i="1" s="1"/>
  <c r="F573" i="1"/>
  <c r="K573" i="1" s="1"/>
  <c r="F574" i="1"/>
  <c r="K574" i="1" s="1"/>
  <c r="F575" i="1"/>
  <c r="K575" i="1" s="1"/>
  <c r="F576" i="1"/>
  <c r="K576" i="1" s="1"/>
  <c r="F577" i="1"/>
  <c r="K577" i="1" s="1"/>
  <c r="F578" i="1"/>
  <c r="K578" i="1" s="1"/>
  <c r="F579" i="1"/>
  <c r="K579" i="1" s="1"/>
  <c r="F585" i="1"/>
  <c r="K585" i="1" s="1"/>
  <c r="F586" i="1"/>
  <c r="K586" i="1" s="1"/>
  <c r="F587" i="1"/>
  <c r="K587" i="1" s="1"/>
  <c r="F588" i="1"/>
  <c r="K588" i="1" s="1"/>
  <c r="F589" i="1"/>
  <c r="K589" i="1" s="1"/>
  <c r="F590" i="1"/>
  <c r="K590" i="1" s="1"/>
  <c r="F591" i="1"/>
  <c r="K591" i="1" s="1"/>
  <c r="F592" i="1"/>
  <c r="K592" i="1" s="1"/>
  <c r="F593" i="1"/>
  <c r="K593" i="1" s="1"/>
  <c r="F594" i="1"/>
  <c r="K594" i="1" s="1"/>
  <c r="F595" i="1"/>
  <c r="K595" i="1" s="1"/>
  <c r="F596" i="1"/>
  <c r="K596" i="1" s="1"/>
  <c r="F597" i="1"/>
  <c r="K597" i="1" s="1"/>
  <c r="F598" i="1"/>
  <c r="K598" i="1" s="1"/>
  <c r="F599" i="1"/>
  <c r="K599" i="1" s="1"/>
  <c r="F600" i="1"/>
  <c r="K600" i="1" s="1"/>
  <c r="F601" i="1"/>
  <c r="K601" i="1" s="1"/>
  <c r="F602" i="1"/>
  <c r="K602" i="1" s="1"/>
  <c r="F603" i="1"/>
  <c r="K603" i="1" s="1"/>
  <c r="F604" i="1"/>
  <c r="K604" i="1" s="1"/>
  <c r="F605" i="1"/>
  <c r="K605" i="1" s="1"/>
  <c r="F606" i="1"/>
  <c r="K606" i="1" s="1"/>
  <c r="F607" i="1"/>
  <c r="K607" i="1" s="1"/>
  <c r="F608" i="1"/>
  <c r="K608" i="1" s="1"/>
  <c r="F609" i="1"/>
  <c r="K609" i="1" s="1"/>
  <c r="F610" i="1"/>
  <c r="K610" i="1" s="1"/>
  <c r="F611" i="1"/>
  <c r="K611" i="1" s="1"/>
  <c r="F612" i="1"/>
  <c r="K612" i="1" s="1"/>
  <c r="F613" i="1"/>
  <c r="K613" i="1" s="1"/>
  <c r="F614" i="1"/>
  <c r="K614" i="1" s="1"/>
  <c r="F615" i="1"/>
  <c r="K615" i="1" s="1"/>
  <c r="F616" i="1"/>
  <c r="K616" i="1" s="1"/>
  <c r="F617" i="1"/>
  <c r="K617" i="1" s="1"/>
  <c r="F618" i="1"/>
  <c r="K618" i="1" s="1"/>
  <c r="F619" i="1"/>
  <c r="K619" i="1" s="1"/>
  <c r="F620" i="1"/>
  <c r="K620" i="1" s="1"/>
  <c r="F621" i="1"/>
  <c r="K621" i="1" s="1"/>
  <c r="F622" i="1"/>
  <c r="K622" i="1" s="1"/>
  <c r="F623" i="1"/>
  <c r="K623" i="1" s="1"/>
  <c r="F624" i="1"/>
  <c r="K624" i="1" s="1"/>
  <c r="F625" i="1"/>
  <c r="K625" i="1" s="1"/>
  <c r="F626" i="1"/>
  <c r="K626" i="1" s="1"/>
  <c r="F627" i="1"/>
  <c r="K627" i="1" s="1"/>
  <c r="F628" i="1"/>
  <c r="K628" i="1" s="1"/>
  <c r="F629" i="1"/>
  <c r="K629" i="1" s="1"/>
  <c r="F630" i="1"/>
  <c r="K630" i="1" s="1"/>
  <c r="F631" i="1"/>
  <c r="K631" i="1" s="1"/>
  <c r="F632" i="1"/>
  <c r="K632" i="1" s="1"/>
  <c r="F633" i="1"/>
  <c r="K633" i="1" s="1"/>
  <c r="F634" i="1"/>
  <c r="K634" i="1" s="1"/>
  <c r="F635" i="1"/>
  <c r="K635" i="1" s="1"/>
  <c r="F636" i="1"/>
  <c r="K636" i="1" s="1"/>
  <c r="F637" i="1"/>
  <c r="K637" i="1" s="1"/>
  <c r="F638" i="1"/>
  <c r="K638" i="1" s="1"/>
  <c r="F639" i="1"/>
  <c r="K639" i="1" s="1"/>
  <c r="F640" i="1"/>
  <c r="K640" i="1" s="1"/>
  <c r="F641" i="1"/>
  <c r="K641" i="1" s="1"/>
  <c r="F642" i="1"/>
  <c r="K642" i="1" s="1"/>
  <c r="F643" i="1"/>
  <c r="K643" i="1" s="1"/>
  <c r="F644" i="1"/>
  <c r="K644" i="1" s="1"/>
  <c r="F645" i="1"/>
  <c r="K645" i="1" s="1"/>
  <c r="F646" i="1"/>
  <c r="K646" i="1" s="1"/>
  <c r="F653" i="1"/>
  <c r="K653" i="1" s="1"/>
  <c r="F654" i="1"/>
  <c r="K654" i="1" s="1"/>
  <c r="F655" i="1"/>
  <c r="K655" i="1" s="1"/>
  <c r="F656" i="1"/>
  <c r="K656" i="1" s="1"/>
  <c r="F657" i="1"/>
  <c r="K657" i="1" s="1"/>
  <c r="F658" i="1"/>
  <c r="K658" i="1" s="1"/>
  <c r="F659" i="1"/>
  <c r="K659" i="1" s="1"/>
  <c r="F660" i="1"/>
  <c r="K660" i="1" s="1"/>
  <c r="F661" i="1"/>
  <c r="K661" i="1" s="1"/>
  <c r="F662" i="1"/>
  <c r="K662" i="1" s="1"/>
  <c r="F663" i="1"/>
  <c r="K663" i="1" s="1"/>
  <c r="F664" i="1"/>
  <c r="K664" i="1" s="1"/>
  <c r="F665" i="1"/>
  <c r="K665" i="1" s="1"/>
  <c r="F666" i="1"/>
  <c r="K666" i="1" s="1"/>
  <c r="F667" i="1"/>
  <c r="K667" i="1" s="1"/>
  <c r="F668" i="1"/>
  <c r="K668" i="1" s="1"/>
  <c r="F669" i="1"/>
  <c r="K669" i="1" s="1"/>
  <c r="F670" i="1"/>
  <c r="K670" i="1" s="1"/>
  <c r="F671" i="1"/>
  <c r="K671" i="1" s="1"/>
  <c r="F672" i="1"/>
  <c r="K672" i="1" s="1"/>
  <c r="F673" i="1"/>
  <c r="K673" i="1" s="1"/>
  <c r="F674" i="1"/>
  <c r="K674" i="1" s="1"/>
  <c r="F675" i="1"/>
  <c r="K675" i="1" s="1"/>
  <c r="F676" i="1"/>
  <c r="K676" i="1" s="1"/>
  <c r="F677" i="1"/>
  <c r="K677" i="1" s="1"/>
  <c r="F678" i="1"/>
  <c r="K678" i="1" s="1"/>
  <c r="F716" i="1"/>
  <c r="K716" i="1" s="1"/>
  <c r="F717" i="1"/>
  <c r="K717" i="1" s="1"/>
  <c r="F718" i="1"/>
  <c r="K718" i="1" s="1"/>
  <c r="F719" i="1"/>
  <c r="K719" i="1" s="1"/>
  <c r="F720" i="1"/>
  <c r="K720" i="1" s="1"/>
  <c r="F721" i="1"/>
  <c r="K721" i="1" s="1"/>
  <c r="F722" i="1"/>
  <c r="K722" i="1" s="1"/>
  <c r="F723" i="1"/>
  <c r="K723" i="1" s="1"/>
  <c r="F724" i="1"/>
  <c r="K724" i="1" s="1"/>
  <c r="F725" i="1"/>
  <c r="K725" i="1" s="1"/>
  <c r="F726" i="1"/>
  <c r="K726" i="1" s="1"/>
  <c r="F727" i="1"/>
  <c r="K727" i="1" s="1"/>
  <c r="F728" i="1"/>
  <c r="K728" i="1" s="1"/>
  <c r="F729" i="1"/>
  <c r="K729" i="1" s="1"/>
  <c r="F730" i="1"/>
  <c r="K730" i="1" s="1"/>
  <c r="F731" i="1"/>
  <c r="K731" i="1" s="1"/>
  <c r="F732" i="1"/>
  <c r="K732" i="1" s="1"/>
  <c r="F780" i="1"/>
  <c r="K780" i="1" s="1"/>
  <c r="F781" i="1"/>
  <c r="K781" i="1" s="1"/>
  <c r="F782" i="1"/>
  <c r="K782" i="1" s="1"/>
  <c r="F783" i="1"/>
  <c r="K783" i="1" s="1"/>
  <c r="F784" i="1"/>
  <c r="K784" i="1" s="1"/>
  <c r="F785" i="1"/>
  <c r="K785" i="1" s="1"/>
  <c r="F786" i="1"/>
  <c r="K786" i="1" s="1"/>
  <c r="F787" i="1"/>
  <c r="K787" i="1" s="1"/>
  <c r="F798" i="1"/>
  <c r="K798" i="1" s="1"/>
  <c r="F799" i="1"/>
  <c r="K799" i="1" s="1"/>
  <c r="F800" i="1"/>
  <c r="K800" i="1" s="1"/>
  <c r="F801" i="1"/>
  <c r="K801" i="1" s="1"/>
  <c r="F802" i="1"/>
  <c r="K802" i="1" s="1"/>
  <c r="F803" i="1"/>
  <c r="K803" i="1" s="1"/>
  <c r="F804" i="1"/>
  <c r="K804" i="1" s="1"/>
  <c r="F805" i="1"/>
  <c r="K805" i="1" s="1"/>
  <c r="F806" i="1"/>
  <c r="K806" i="1" s="1"/>
  <c r="F807" i="1"/>
  <c r="K807" i="1" s="1"/>
  <c r="F808" i="1"/>
  <c r="K808" i="1" s="1"/>
  <c r="F809" i="1"/>
  <c r="K809" i="1" s="1"/>
  <c r="F810" i="1"/>
  <c r="K810" i="1" s="1"/>
  <c r="F811" i="1"/>
  <c r="K811" i="1" s="1"/>
  <c r="F812" i="1"/>
  <c r="K812" i="1" s="1"/>
  <c r="F813" i="1"/>
  <c r="K813" i="1" s="1"/>
  <c r="F814" i="1"/>
  <c r="K814" i="1" s="1"/>
  <c r="F815" i="1"/>
  <c r="K815" i="1" s="1"/>
  <c r="F816" i="1"/>
  <c r="K816" i="1" s="1"/>
  <c r="F823" i="1"/>
  <c r="K823" i="1" s="1"/>
  <c r="F824" i="1"/>
  <c r="K824" i="1" s="1"/>
  <c r="F825" i="1"/>
  <c r="K825" i="1" s="1"/>
  <c r="F826" i="1"/>
  <c r="K826" i="1" s="1"/>
  <c r="F827" i="1"/>
  <c r="K827" i="1" s="1"/>
  <c r="F828" i="1"/>
  <c r="K828" i="1" s="1"/>
  <c r="F829" i="1"/>
  <c r="K829" i="1" s="1"/>
  <c r="F830" i="1"/>
  <c r="K830" i="1" s="1"/>
  <c r="F831" i="1"/>
  <c r="K831" i="1" s="1"/>
  <c r="F832" i="1"/>
  <c r="K832" i="1" s="1"/>
  <c r="F833" i="1"/>
  <c r="K833" i="1" s="1"/>
  <c r="F834" i="1"/>
  <c r="K834" i="1" s="1"/>
  <c r="F835" i="1"/>
  <c r="K835" i="1" s="1"/>
  <c r="F836" i="1"/>
  <c r="K836" i="1" s="1"/>
  <c r="F837" i="1"/>
  <c r="K837" i="1" s="1"/>
  <c r="F838" i="1"/>
  <c r="K838" i="1" s="1"/>
  <c r="F839" i="1"/>
  <c r="K839" i="1" s="1"/>
  <c r="F840" i="1"/>
  <c r="K840" i="1" s="1"/>
  <c r="F841" i="1"/>
  <c r="K841" i="1" s="1"/>
  <c r="F842" i="1"/>
  <c r="K842" i="1" s="1"/>
  <c r="F843" i="1"/>
  <c r="K843" i="1" s="1"/>
  <c r="F844" i="1"/>
  <c r="K844" i="1" s="1"/>
  <c r="F845" i="1"/>
  <c r="K845" i="1" s="1"/>
  <c r="F846" i="1"/>
  <c r="K846" i="1" s="1"/>
  <c r="F847" i="1"/>
  <c r="K847" i="1" s="1"/>
  <c r="F848" i="1"/>
  <c r="K848" i="1" s="1"/>
  <c r="F849" i="1"/>
  <c r="K849" i="1" s="1"/>
  <c r="F850" i="1"/>
  <c r="K850" i="1" s="1"/>
  <c r="F851" i="1"/>
  <c r="K851" i="1" s="1"/>
  <c r="F852" i="1"/>
  <c r="K852" i="1" s="1"/>
  <c r="F853" i="1"/>
  <c r="K853" i="1" s="1"/>
  <c r="F854" i="1"/>
  <c r="K854" i="1" s="1"/>
  <c r="F855" i="1"/>
  <c r="K855" i="1" s="1"/>
  <c r="F856" i="1"/>
  <c r="K856" i="1" s="1"/>
  <c r="F857" i="1"/>
  <c r="K857" i="1" s="1"/>
  <c r="F858" i="1"/>
  <c r="K858" i="1" s="1"/>
  <c r="F859" i="1"/>
  <c r="K859" i="1" s="1"/>
  <c r="F860" i="1"/>
  <c r="K860" i="1" s="1"/>
  <c r="F861" i="1"/>
  <c r="K861" i="1" s="1"/>
  <c r="F867" i="1"/>
  <c r="K867" i="1" s="1"/>
  <c r="F868" i="1"/>
  <c r="K868" i="1" s="1"/>
  <c r="F869" i="1"/>
  <c r="K869" i="1" s="1"/>
  <c r="F870" i="1"/>
  <c r="K870" i="1" s="1"/>
  <c r="F871" i="1"/>
  <c r="K871" i="1" s="1"/>
  <c r="F872" i="1"/>
  <c r="K872" i="1" s="1"/>
  <c r="F873" i="1"/>
  <c r="K873" i="1" s="1"/>
  <c r="F874" i="1"/>
  <c r="K874" i="1" s="1"/>
  <c r="F875" i="1"/>
  <c r="K875" i="1" s="1"/>
  <c r="F881" i="1"/>
  <c r="K881" i="1" s="1"/>
  <c r="F882" i="1"/>
  <c r="K882" i="1" s="1"/>
  <c r="F883" i="1"/>
  <c r="K883" i="1" s="1"/>
  <c r="F884" i="1"/>
  <c r="K884" i="1" s="1"/>
  <c r="F885" i="1"/>
  <c r="K885" i="1" s="1"/>
  <c r="F886" i="1"/>
  <c r="K886" i="1" s="1"/>
  <c r="F887" i="1"/>
  <c r="K887" i="1" s="1"/>
  <c r="F893" i="1"/>
  <c r="K893" i="1" s="1"/>
  <c r="F894" i="1"/>
  <c r="K894" i="1" s="1"/>
  <c r="F895" i="1"/>
  <c r="K895" i="1" s="1"/>
  <c r="F896" i="1"/>
  <c r="K896" i="1" s="1"/>
  <c r="F897" i="1"/>
  <c r="K897" i="1" s="1"/>
  <c r="F898" i="1"/>
  <c r="K898" i="1" s="1"/>
  <c r="F899" i="1"/>
  <c r="K899" i="1" s="1"/>
  <c r="F900" i="1"/>
  <c r="K900" i="1" s="1"/>
  <c r="F901" i="1"/>
  <c r="K901" i="1" s="1"/>
  <c r="F902" i="1"/>
  <c r="K902" i="1" s="1"/>
  <c r="F903" i="1"/>
  <c r="K903" i="1" s="1"/>
  <c r="F904" i="1"/>
  <c r="K904" i="1" s="1"/>
  <c r="F905" i="1"/>
  <c r="K905" i="1" s="1"/>
  <c r="F906" i="1"/>
  <c r="K906" i="1" s="1"/>
  <c r="F907" i="1"/>
  <c r="K907" i="1" s="1"/>
  <c r="F913" i="1"/>
  <c r="K913" i="1" s="1"/>
  <c r="F914" i="1"/>
  <c r="K914" i="1" s="1"/>
  <c r="F915" i="1"/>
  <c r="K915" i="1" s="1"/>
  <c r="F916" i="1"/>
  <c r="K916" i="1" s="1"/>
  <c r="F917" i="1"/>
  <c r="K917" i="1" s="1"/>
  <c r="F918" i="1"/>
  <c r="K918" i="1" s="1"/>
  <c r="F919" i="1"/>
  <c r="K919" i="1" s="1"/>
  <c r="F920" i="1"/>
  <c r="K920" i="1" s="1"/>
  <c r="F921" i="1"/>
  <c r="K921" i="1" s="1"/>
  <c r="F922" i="1"/>
  <c r="K922" i="1" s="1"/>
  <c r="F923" i="1"/>
  <c r="K923" i="1" s="1"/>
  <c r="F924" i="1"/>
  <c r="K924" i="1" s="1"/>
  <c r="F925" i="1"/>
  <c r="K925" i="1" s="1"/>
  <c r="F926" i="1"/>
  <c r="K926" i="1" s="1"/>
  <c r="F927" i="1"/>
  <c r="K927" i="1" s="1"/>
  <c r="F934" i="1"/>
  <c r="K934" i="1" s="1"/>
  <c r="F935" i="1"/>
  <c r="K935" i="1" s="1"/>
  <c r="F936" i="1"/>
  <c r="K936" i="1" s="1"/>
  <c r="F937" i="1"/>
  <c r="K937" i="1" s="1"/>
  <c r="F945" i="1"/>
  <c r="K945" i="1" s="1"/>
  <c r="F946" i="1"/>
  <c r="K946" i="1" s="1"/>
  <c r="F947" i="1"/>
  <c r="K947" i="1" s="1"/>
  <c r="F948" i="1"/>
  <c r="K948" i="1" s="1"/>
  <c r="F949" i="1"/>
  <c r="K949" i="1" s="1"/>
  <c r="F950" i="1"/>
  <c r="K950" i="1" s="1"/>
  <c r="F951" i="1"/>
  <c r="K951" i="1" s="1"/>
  <c r="F952" i="1"/>
  <c r="K952" i="1" s="1"/>
  <c r="F953" i="1"/>
  <c r="K953" i="1" s="1"/>
  <c r="F954" i="1"/>
  <c r="K954" i="1" s="1"/>
  <c r="F955" i="1"/>
  <c r="K955" i="1" s="1"/>
  <c r="F956" i="1"/>
  <c r="K956" i="1" s="1"/>
  <c r="F957" i="1"/>
  <c r="K957" i="1" s="1"/>
  <c r="F958" i="1"/>
  <c r="K958" i="1" s="1"/>
  <c r="F959" i="1"/>
  <c r="K959" i="1" s="1"/>
  <c r="F960" i="1"/>
  <c r="K960" i="1" s="1"/>
  <c r="F961" i="1"/>
  <c r="K961" i="1" s="1"/>
  <c r="F962" i="1"/>
  <c r="K962" i="1" s="1"/>
  <c r="F963" i="1"/>
  <c r="K963" i="1" s="1"/>
  <c r="F964" i="1"/>
  <c r="K964" i="1" s="1"/>
  <c r="F965" i="1"/>
  <c r="K965" i="1" s="1"/>
  <c r="F966" i="1"/>
  <c r="K966" i="1" s="1"/>
  <c r="F967" i="1"/>
  <c r="K967" i="1" s="1"/>
  <c r="F968" i="1"/>
  <c r="K968" i="1" s="1"/>
  <c r="F969" i="1"/>
  <c r="K969" i="1" s="1"/>
  <c r="F970" i="1"/>
  <c r="K970" i="1" s="1"/>
  <c r="F971" i="1"/>
  <c r="K971" i="1" s="1"/>
  <c r="F972" i="1"/>
  <c r="K972" i="1" s="1"/>
  <c r="F973" i="1"/>
  <c r="K973" i="1" s="1"/>
  <c r="F974" i="1"/>
  <c r="K974" i="1" s="1"/>
  <c r="F975" i="1"/>
  <c r="K975" i="1" s="1"/>
  <c r="F976" i="1"/>
  <c r="K976" i="1" s="1"/>
  <c r="F977" i="1"/>
  <c r="K977" i="1" s="1"/>
  <c r="F984" i="1"/>
  <c r="K984" i="1" s="1"/>
  <c r="F985" i="1"/>
  <c r="K985" i="1" s="1"/>
  <c r="F986" i="1"/>
  <c r="K986" i="1" s="1"/>
  <c r="F987" i="1"/>
  <c r="K987" i="1" s="1"/>
  <c r="F988" i="1"/>
  <c r="K988" i="1" s="1"/>
  <c r="F989" i="1"/>
  <c r="K989" i="1" s="1"/>
  <c r="F996" i="1"/>
  <c r="K996" i="1" s="1"/>
  <c r="F997" i="1"/>
  <c r="K997" i="1" s="1"/>
  <c r="F998" i="1"/>
  <c r="K998" i="1" s="1"/>
  <c r="F999" i="1"/>
  <c r="K999" i="1" s="1"/>
  <c r="F1000" i="1"/>
  <c r="K1000" i="1" s="1"/>
  <c r="F1001" i="1"/>
  <c r="K1001" i="1" s="1"/>
  <c r="F1002" i="1"/>
  <c r="K1002" i="1" s="1"/>
  <c r="F1003" i="1"/>
  <c r="K1003" i="1" s="1"/>
  <c r="F1004" i="1"/>
  <c r="K1004" i="1" s="1"/>
  <c r="F1005" i="1"/>
  <c r="K1005" i="1" s="1"/>
  <c r="F1006" i="1"/>
  <c r="K1006" i="1" s="1"/>
  <c r="F1007" i="1"/>
  <c r="K1007" i="1" s="1"/>
  <c r="F1008" i="1"/>
  <c r="K1008" i="1" s="1"/>
  <c r="F1009" i="1"/>
  <c r="K1009" i="1" s="1"/>
  <c r="F1010" i="1"/>
  <c r="K1010" i="1" s="1"/>
  <c r="F1011" i="1"/>
  <c r="K1011" i="1" s="1"/>
  <c r="F1012" i="1"/>
  <c r="K1012" i="1" s="1"/>
  <c r="F1013" i="1"/>
  <c r="K1013" i="1" s="1"/>
  <c r="F1014" i="1"/>
  <c r="K1014" i="1" s="1"/>
  <c r="F1015" i="1"/>
  <c r="K1015" i="1" s="1"/>
  <c r="F1016" i="1"/>
  <c r="K1016" i="1" s="1"/>
  <c r="F1017" i="1"/>
  <c r="K1017" i="1" s="1"/>
  <c r="F1018" i="1"/>
  <c r="K1018" i="1" s="1"/>
  <c r="F1019" i="1"/>
  <c r="K1019" i="1" s="1"/>
  <c r="F1022" i="1"/>
  <c r="K1022" i="1" s="1"/>
  <c r="F1023" i="1"/>
  <c r="K1023" i="1" s="1"/>
  <c r="F1024" i="1"/>
  <c r="K1024" i="1" s="1"/>
  <c r="F1025" i="1"/>
  <c r="K1025" i="1" s="1"/>
  <c r="F1026" i="1"/>
  <c r="K1026" i="1" s="1"/>
  <c r="F1027" i="1"/>
  <c r="K1027" i="1" s="1"/>
  <c r="F1028" i="1"/>
  <c r="K1028" i="1" s="1"/>
  <c r="F1029" i="1"/>
  <c r="K1029" i="1" s="1"/>
  <c r="F1030" i="1"/>
  <c r="K1030" i="1" s="1"/>
  <c r="F1031" i="1"/>
  <c r="K1031" i="1" s="1"/>
  <c r="F1032" i="1"/>
  <c r="K1032" i="1" s="1"/>
  <c r="F1033" i="1"/>
  <c r="K1033" i="1" s="1"/>
  <c r="F1034" i="1"/>
  <c r="K1034" i="1" s="1"/>
  <c r="F1035" i="1"/>
  <c r="K1035" i="1" s="1"/>
  <c r="F1036" i="1"/>
  <c r="K1036" i="1" s="1"/>
  <c r="F1037" i="1"/>
  <c r="K1037" i="1" s="1"/>
  <c r="F1038" i="1"/>
  <c r="K1038" i="1" s="1"/>
  <c r="F1039" i="1"/>
  <c r="K1039" i="1" s="1"/>
  <c r="F1040" i="1"/>
  <c r="K1040" i="1" s="1"/>
  <c r="F1041" i="1"/>
  <c r="K1041" i="1" s="1"/>
  <c r="F1042" i="1"/>
  <c r="K1042" i="1" s="1"/>
  <c r="F1043" i="1"/>
  <c r="K1043" i="1" s="1"/>
  <c r="F1044" i="1"/>
  <c r="K1044" i="1" s="1"/>
  <c r="F1045" i="1"/>
  <c r="K1045" i="1" s="1"/>
  <c r="F1046" i="1"/>
  <c r="K1046" i="1" s="1"/>
  <c r="F1047" i="1"/>
  <c r="K1047" i="1" s="1"/>
  <c r="F1048" i="1"/>
  <c r="K1048" i="1" s="1"/>
  <c r="F1049" i="1"/>
  <c r="K1049" i="1" s="1"/>
  <c r="F1050" i="1"/>
  <c r="K1050" i="1" s="1"/>
  <c r="F1051" i="1"/>
  <c r="K1051" i="1" s="1"/>
  <c r="F1052" i="1"/>
  <c r="K1052" i="1" s="1"/>
  <c r="F1053" i="1"/>
  <c r="K1053" i="1" s="1"/>
  <c r="F1054" i="1"/>
  <c r="K1054" i="1" s="1"/>
  <c r="F1055" i="1"/>
  <c r="K1055" i="1" s="1"/>
  <c r="F1056" i="1"/>
  <c r="K1056" i="1" s="1"/>
  <c r="F1057" i="1"/>
  <c r="K1057" i="1" s="1"/>
  <c r="F1058" i="1"/>
  <c r="K1058" i="1" s="1"/>
  <c r="F1059" i="1"/>
  <c r="K1059" i="1" s="1"/>
  <c r="F1060" i="1"/>
  <c r="K1060" i="1" s="1"/>
  <c r="F1061" i="1"/>
  <c r="K1061" i="1" s="1"/>
  <c r="F1062" i="1"/>
  <c r="K1062" i="1" s="1"/>
  <c r="F1063" i="1"/>
  <c r="K1063" i="1" s="1"/>
  <c r="F1064" i="1"/>
  <c r="K1064" i="1" s="1"/>
  <c r="F1065" i="1"/>
  <c r="K1065" i="1" s="1"/>
  <c r="F1066" i="1"/>
  <c r="K1066" i="1" s="1"/>
  <c r="F1067" i="1"/>
  <c r="K1067" i="1" s="1"/>
  <c r="F1068" i="1"/>
  <c r="K1068" i="1" s="1"/>
  <c r="F1069" i="1"/>
  <c r="K1069" i="1" s="1"/>
  <c r="F1070" i="1"/>
  <c r="K1070" i="1" s="1"/>
  <c r="F1071" i="1"/>
  <c r="K1071" i="1" s="1"/>
  <c r="F1072" i="1"/>
  <c r="K1072" i="1" s="1"/>
  <c r="F1073" i="1"/>
  <c r="K1073" i="1" s="1"/>
  <c r="F1074" i="1"/>
  <c r="K1074" i="1" s="1"/>
  <c r="F1075" i="1"/>
  <c r="K1075" i="1" s="1"/>
  <c r="F1076" i="1"/>
  <c r="K1076" i="1" s="1"/>
  <c r="F1077" i="1"/>
  <c r="K1077" i="1" s="1"/>
  <c r="F1078" i="1"/>
  <c r="K1078" i="1" s="1"/>
  <c r="F1079" i="1"/>
  <c r="K1079" i="1" s="1"/>
  <c r="F1080" i="1"/>
  <c r="K1080" i="1" s="1"/>
  <c r="F1081" i="1"/>
  <c r="K1081" i="1" s="1"/>
  <c r="F1082" i="1"/>
  <c r="K1082" i="1" s="1"/>
  <c r="F1083" i="1"/>
  <c r="K1083" i="1" s="1"/>
  <c r="F1084" i="1"/>
  <c r="K1084" i="1" s="1"/>
  <c r="F1085" i="1"/>
  <c r="K1085" i="1" s="1"/>
  <c r="F1086" i="1"/>
  <c r="K1086" i="1" s="1"/>
  <c r="F1087" i="1"/>
  <c r="K1087" i="1" s="1"/>
  <c r="F1088" i="1"/>
  <c r="K1088" i="1" s="1"/>
  <c r="F1089" i="1"/>
  <c r="K1089" i="1" s="1"/>
  <c r="F1090" i="1"/>
  <c r="K1090" i="1" s="1"/>
  <c r="F1091" i="1"/>
  <c r="K1091" i="1" s="1"/>
  <c r="F1092" i="1"/>
  <c r="K1092" i="1" s="1"/>
  <c r="F1093" i="1"/>
  <c r="K1093" i="1" s="1"/>
  <c r="F1094" i="1"/>
  <c r="K1094" i="1" s="1"/>
  <c r="F1101" i="1"/>
  <c r="K1101" i="1" s="1"/>
  <c r="F1102" i="1"/>
  <c r="K1102" i="1" s="1"/>
  <c r="F1103" i="1"/>
  <c r="K1103" i="1" s="1"/>
  <c r="F1104" i="1"/>
  <c r="K1104" i="1" s="1"/>
  <c r="F1105" i="1"/>
  <c r="K1105" i="1" s="1"/>
  <c r="F1106" i="1"/>
  <c r="K1106" i="1" s="1"/>
  <c r="F1107" i="1"/>
  <c r="K1107" i="1" s="1"/>
  <c r="F1108" i="1"/>
  <c r="K1108" i="1" s="1"/>
  <c r="F1109" i="1"/>
  <c r="K1109" i="1" s="1"/>
  <c r="F1110" i="1"/>
  <c r="K1110" i="1" s="1"/>
  <c r="F1114" i="1"/>
  <c r="K1114" i="1" s="1"/>
  <c r="F1115" i="1"/>
  <c r="K1115" i="1" s="1"/>
  <c r="F1116" i="1"/>
  <c r="K1116" i="1" s="1"/>
  <c r="F1117" i="1"/>
  <c r="K1117" i="1" s="1"/>
  <c r="F1118" i="1"/>
  <c r="K1118" i="1" s="1"/>
  <c r="F1119" i="1"/>
  <c r="K1119" i="1" s="1"/>
  <c r="F1120" i="1"/>
  <c r="K1120" i="1" s="1"/>
  <c r="F1121" i="1"/>
  <c r="K1121" i="1" s="1"/>
  <c r="F1122" i="1"/>
  <c r="K1122" i="1" s="1"/>
  <c r="F1123" i="1"/>
  <c r="K1123" i="1" s="1"/>
  <c r="F1124" i="1"/>
  <c r="K1124" i="1" s="1"/>
  <c r="F1125" i="1"/>
  <c r="K1125" i="1" s="1"/>
  <c r="F1126" i="1"/>
  <c r="K1126" i="1" s="1"/>
  <c r="F1127" i="1"/>
  <c r="K1127" i="1" s="1"/>
  <c r="F1128" i="1"/>
  <c r="K1128" i="1" s="1"/>
  <c r="F1129" i="1"/>
  <c r="K1129" i="1" s="1"/>
  <c r="F1130" i="1"/>
  <c r="K1130" i="1" s="1"/>
  <c r="F1131" i="1"/>
  <c r="K1131" i="1" s="1"/>
  <c r="F1132" i="1"/>
  <c r="K1132" i="1" s="1"/>
  <c r="F1138" i="1"/>
  <c r="K1138" i="1" s="1"/>
  <c r="F1139" i="1"/>
  <c r="K1139" i="1" s="1"/>
  <c r="F1140" i="1"/>
  <c r="K1140" i="1" s="1"/>
  <c r="F1141" i="1"/>
  <c r="K1141" i="1" s="1"/>
  <c r="F1142" i="1"/>
  <c r="K1142" i="1" s="1"/>
  <c r="F1143" i="1"/>
  <c r="K1143" i="1" s="1"/>
  <c r="F1144" i="1"/>
  <c r="K1144" i="1" s="1"/>
  <c r="F1145" i="1"/>
  <c r="K1145" i="1" s="1"/>
  <c r="F1146" i="1"/>
  <c r="K1146" i="1" s="1"/>
  <c r="F1147" i="1"/>
  <c r="K1147" i="1" s="1"/>
  <c r="F1148" i="1"/>
  <c r="K1148" i="1" s="1"/>
  <c r="F1149" i="1"/>
  <c r="K1149" i="1" s="1"/>
  <c r="F1150" i="1"/>
  <c r="K1150" i="1" s="1"/>
  <c r="F1151" i="1"/>
  <c r="K1151" i="1" s="1"/>
  <c r="F1152" i="1"/>
  <c r="K1152" i="1" s="1"/>
  <c r="F1166" i="1"/>
  <c r="K1166" i="1" s="1"/>
  <c r="F1167" i="1"/>
  <c r="K1167" i="1" s="1"/>
  <c r="F1168" i="1"/>
  <c r="K1168" i="1" s="1"/>
  <c r="F1169" i="1"/>
  <c r="K1169" i="1" s="1"/>
  <c r="F1170" i="1"/>
  <c r="K1170" i="1" s="1"/>
  <c r="F1171" i="1"/>
  <c r="K1171" i="1" s="1"/>
  <c r="F1172" i="1"/>
  <c r="K1172" i="1" s="1"/>
  <c r="F1178" i="1"/>
  <c r="K1178" i="1" s="1"/>
  <c r="F1179" i="1"/>
  <c r="K1179" i="1" s="1"/>
  <c r="F1183" i="1"/>
  <c r="K1183" i="1" s="1"/>
  <c r="F1184" i="1"/>
  <c r="K1184" i="1" s="1"/>
  <c r="F1185" i="1"/>
  <c r="K1185" i="1" s="1"/>
  <c r="F1186" i="1"/>
  <c r="K1186" i="1" s="1"/>
  <c r="F1187" i="1"/>
  <c r="K1187" i="1" s="1"/>
  <c r="F1188" i="1"/>
  <c r="K1188" i="1" s="1"/>
  <c r="F1189" i="1"/>
  <c r="K1189" i="1" s="1"/>
  <c r="F1190" i="1"/>
  <c r="K1190" i="1" s="1"/>
  <c r="F1191" i="1"/>
  <c r="K1191" i="1" s="1"/>
  <c r="F1192" i="1"/>
  <c r="K1192" i="1" s="1"/>
  <c r="F1193" i="1"/>
  <c r="K1193" i="1" s="1"/>
  <c r="F1194" i="1"/>
  <c r="K1194" i="1" s="1"/>
  <c r="F1195" i="1"/>
  <c r="K1195" i="1" s="1"/>
  <c r="F1196" i="1"/>
  <c r="K1196" i="1" s="1"/>
  <c r="F1197" i="1"/>
  <c r="K1197" i="1" s="1"/>
  <c r="F1198" i="1"/>
  <c r="K1198" i="1" s="1"/>
  <c r="F1199" i="1"/>
  <c r="K1199" i="1" s="1"/>
  <c r="F1200" i="1"/>
  <c r="K1200" i="1" s="1"/>
  <c r="F1201" i="1"/>
  <c r="K1201" i="1" s="1"/>
  <c r="F1202" i="1"/>
  <c r="K1202" i="1" s="1"/>
  <c r="F1203" i="1"/>
  <c r="K1203" i="1" s="1"/>
  <c r="F1204" i="1"/>
  <c r="K1204" i="1" s="1"/>
  <c r="F1205" i="1"/>
  <c r="K1205" i="1" s="1"/>
  <c r="F1206" i="1"/>
  <c r="K1206" i="1" s="1"/>
  <c r="F1207" i="1"/>
  <c r="K1207" i="1" s="1"/>
  <c r="F1208" i="1"/>
  <c r="K1208" i="1" s="1"/>
  <c r="F1209" i="1"/>
  <c r="K1209" i="1" s="1"/>
  <c r="F1210" i="1"/>
  <c r="K1210" i="1" s="1"/>
  <c r="F1211" i="1"/>
  <c r="K1211" i="1" s="1"/>
  <c r="F1212" i="1"/>
  <c r="K1212" i="1" s="1"/>
  <c r="F1213" i="1"/>
  <c r="K1213" i="1" s="1"/>
  <c r="F1214" i="1"/>
  <c r="K1214" i="1" s="1"/>
  <c r="F1215" i="1"/>
  <c r="K1215" i="1" s="1"/>
  <c r="F1216" i="1"/>
  <c r="K1216" i="1" s="1"/>
  <c r="F1217" i="1"/>
  <c r="K1217" i="1" s="1"/>
  <c r="F1218" i="1"/>
  <c r="K1218" i="1" s="1"/>
  <c r="F1219" i="1"/>
  <c r="K1219" i="1" s="1"/>
  <c r="F1220" i="1"/>
  <c r="K1220" i="1" s="1"/>
  <c r="F1221" i="1"/>
  <c r="K1221" i="1" s="1"/>
  <c r="F1222" i="1"/>
  <c r="K1222" i="1" s="1"/>
  <c r="F1223" i="1"/>
  <c r="K1223" i="1" s="1"/>
  <c r="F1224" i="1"/>
  <c r="K1224" i="1" s="1"/>
  <c r="F1225" i="1"/>
  <c r="K1225" i="1" s="1"/>
  <c r="F1226" i="1"/>
  <c r="K1226" i="1" s="1"/>
  <c r="F1227" i="1"/>
  <c r="K1227" i="1" s="1"/>
  <c r="F1228" i="1"/>
  <c r="K1228" i="1" s="1"/>
  <c r="F1229" i="1"/>
  <c r="K1229" i="1" s="1"/>
  <c r="F1230" i="1"/>
  <c r="K1230" i="1" s="1"/>
  <c r="F1231" i="1"/>
  <c r="K1231" i="1" s="1"/>
  <c r="F1232" i="1"/>
  <c r="K1232" i="1" s="1"/>
  <c r="F1233" i="1"/>
  <c r="K1233" i="1" s="1"/>
  <c r="F1234" i="1"/>
  <c r="K1234" i="1" s="1"/>
  <c r="F1235" i="1"/>
  <c r="K1235" i="1" s="1"/>
  <c r="F1236" i="1"/>
  <c r="K1236" i="1" s="1"/>
  <c r="F1237" i="1"/>
  <c r="K1237" i="1" s="1"/>
  <c r="F1238" i="1"/>
  <c r="K1238" i="1" s="1"/>
  <c r="F1239" i="1"/>
  <c r="K1239" i="1" s="1"/>
  <c r="F1240" i="1"/>
  <c r="K1240" i="1" s="1"/>
  <c r="F1241" i="1"/>
  <c r="K1241" i="1" s="1"/>
  <c r="F1242" i="1"/>
  <c r="K1242" i="1" s="1"/>
  <c r="F1243" i="1"/>
  <c r="K1243" i="1" s="1"/>
  <c r="F1244" i="1"/>
  <c r="K1244" i="1" s="1"/>
  <c r="F1245" i="1"/>
  <c r="K1245" i="1" s="1"/>
  <c r="F1246" i="1"/>
  <c r="K1246" i="1" s="1"/>
  <c r="F1247" i="1"/>
  <c r="K1247" i="1" s="1"/>
  <c r="F1248" i="1"/>
  <c r="K1248" i="1" s="1"/>
  <c r="F1249" i="1"/>
  <c r="K1249" i="1" s="1"/>
  <c r="F1250" i="1"/>
  <c r="K1250" i="1" s="1"/>
  <c r="F1251" i="1"/>
  <c r="K1251" i="1" s="1"/>
  <c r="F1252" i="1"/>
  <c r="K1252" i="1" s="1"/>
  <c r="F1253" i="1"/>
  <c r="K1253" i="1" s="1"/>
  <c r="F1254" i="1"/>
  <c r="K1254" i="1" s="1"/>
  <c r="F1255" i="1"/>
  <c r="K1255" i="1" s="1"/>
  <c r="F1256" i="1"/>
  <c r="K1256" i="1" s="1"/>
  <c r="F1257" i="1"/>
  <c r="K1257" i="1" s="1"/>
  <c r="F1258" i="1"/>
  <c r="K1258" i="1" s="1"/>
  <c r="F1259" i="1"/>
  <c r="K1259" i="1" s="1"/>
  <c r="F1260" i="1"/>
  <c r="K1260" i="1" s="1"/>
  <c r="F1261" i="1"/>
  <c r="K1261" i="1" s="1"/>
  <c r="F1262" i="1"/>
  <c r="K1262" i="1" s="1"/>
  <c r="F1263" i="1"/>
  <c r="K1263" i="1" s="1"/>
  <c r="F1264" i="1"/>
  <c r="K1264" i="1" s="1"/>
  <c r="F1265" i="1"/>
  <c r="K1265" i="1" s="1"/>
  <c r="F1266" i="1"/>
  <c r="K1266" i="1" s="1"/>
  <c r="F1267" i="1"/>
  <c r="K1267" i="1" s="1"/>
  <c r="F1268" i="1"/>
  <c r="K1268" i="1" s="1"/>
  <c r="F1269" i="1"/>
  <c r="K1269" i="1" s="1"/>
  <c r="F1270" i="1"/>
  <c r="K1270" i="1" s="1"/>
  <c r="F1271" i="1"/>
  <c r="K1271" i="1" s="1"/>
  <c r="F1272" i="1"/>
  <c r="K1272" i="1" s="1"/>
  <c r="F1273" i="1"/>
  <c r="K1273" i="1" s="1"/>
  <c r="F1281" i="1"/>
  <c r="K1281" i="1" s="1"/>
  <c r="F1282" i="1"/>
  <c r="K1282" i="1" s="1"/>
  <c r="F1283" i="1"/>
  <c r="K1283" i="1" s="1"/>
  <c r="F1284" i="1"/>
  <c r="K1284" i="1" s="1"/>
  <c r="F1285" i="1"/>
  <c r="K1285" i="1" s="1"/>
  <c r="F1286" i="1"/>
  <c r="K1286" i="1" s="1"/>
  <c r="F1287" i="1"/>
  <c r="K1287" i="1" s="1"/>
  <c r="F1288" i="1"/>
  <c r="K1288" i="1" s="1"/>
  <c r="F1289" i="1"/>
  <c r="K1289" i="1" s="1"/>
  <c r="F1290" i="1"/>
  <c r="K1290" i="1" s="1"/>
  <c r="F1291" i="1"/>
  <c r="K1291" i="1" s="1"/>
  <c r="F1292" i="1"/>
  <c r="K1292" i="1" s="1"/>
  <c r="F1293" i="1"/>
  <c r="K1293" i="1" s="1"/>
  <c r="F1294" i="1"/>
  <c r="K1294" i="1" s="1"/>
  <c r="F1295" i="1"/>
  <c r="K1295" i="1" s="1"/>
  <c r="F1296" i="1"/>
  <c r="K1296" i="1" s="1"/>
  <c r="F1297" i="1"/>
  <c r="K1297" i="1" s="1"/>
  <c r="F1298" i="1"/>
  <c r="K1298" i="1" s="1"/>
  <c r="F1299" i="1"/>
  <c r="K1299" i="1" s="1"/>
  <c r="F1300" i="1"/>
  <c r="K1300" i="1" s="1"/>
  <c r="F1301" i="1"/>
  <c r="K1301" i="1" s="1"/>
  <c r="F1302" i="1"/>
  <c r="K1302" i="1" s="1"/>
  <c r="F1303" i="1"/>
  <c r="K1303" i="1" s="1"/>
  <c r="F1304" i="1"/>
  <c r="K1304" i="1" s="1"/>
  <c r="F1305" i="1"/>
  <c r="K1305" i="1" s="1"/>
  <c r="F1306" i="1"/>
  <c r="K1306" i="1" s="1"/>
  <c r="F1307" i="1"/>
  <c r="K1307" i="1" s="1"/>
  <c r="F1308" i="1"/>
  <c r="K1308" i="1" s="1"/>
  <c r="F1309" i="1"/>
  <c r="K1309" i="1" s="1"/>
  <c r="F1310" i="1"/>
  <c r="K1310" i="1" s="1"/>
  <c r="F1311" i="1"/>
  <c r="K1311" i="1" s="1"/>
  <c r="F1312" i="1"/>
  <c r="K1312" i="1" s="1"/>
  <c r="F1313" i="1"/>
  <c r="K1313" i="1" s="1"/>
  <c r="F1314" i="1"/>
  <c r="K1314" i="1" s="1"/>
  <c r="F1315" i="1"/>
  <c r="K1315" i="1" s="1"/>
  <c r="F1316" i="1"/>
  <c r="K1316" i="1" s="1"/>
  <c r="F1317" i="1"/>
  <c r="K1317" i="1" s="1"/>
  <c r="F1318" i="1"/>
  <c r="K1318" i="1" s="1"/>
  <c r="F1319" i="1"/>
  <c r="K1319" i="1" s="1"/>
  <c r="F1320" i="1"/>
  <c r="K1320" i="1" s="1"/>
  <c r="F1321" i="1"/>
  <c r="K1321" i="1" s="1"/>
  <c r="F1322" i="1"/>
  <c r="K1322" i="1" s="1"/>
  <c r="F1323" i="1"/>
  <c r="K1323" i="1" s="1"/>
  <c r="F1324" i="1"/>
  <c r="K1324" i="1" s="1"/>
  <c r="F1325" i="1"/>
  <c r="K1325" i="1" s="1"/>
  <c r="F1326" i="1"/>
  <c r="K1326" i="1" s="1"/>
  <c r="F1327" i="1"/>
  <c r="K1327" i="1" s="1"/>
  <c r="F1328" i="1"/>
  <c r="K1328" i="1" s="1"/>
  <c r="F1329" i="1"/>
  <c r="K1329" i="1" s="1"/>
  <c r="F1330" i="1"/>
  <c r="K1330" i="1" s="1"/>
  <c r="F1331" i="1"/>
  <c r="K1331" i="1" s="1"/>
  <c r="F1332" i="1"/>
  <c r="K1332" i="1" s="1"/>
  <c r="F1333" i="1"/>
  <c r="K1333" i="1" s="1"/>
  <c r="F1334" i="1"/>
  <c r="K1334" i="1" s="1"/>
  <c r="F1335" i="1"/>
  <c r="K1335" i="1" s="1"/>
  <c r="F1336" i="1"/>
  <c r="K1336" i="1" s="1"/>
  <c r="F1337" i="1"/>
  <c r="K1337" i="1" s="1"/>
  <c r="F1338" i="1"/>
  <c r="K1338" i="1" s="1"/>
  <c r="F1339" i="1"/>
  <c r="K1339" i="1" s="1"/>
  <c r="F1340" i="1"/>
  <c r="K1340" i="1" s="1"/>
  <c r="F1341" i="1"/>
  <c r="K1341" i="1" s="1"/>
  <c r="F1342" i="1"/>
  <c r="K1342" i="1" s="1"/>
  <c r="F1343" i="1"/>
  <c r="K1343" i="1" s="1"/>
  <c r="F1344" i="1"/>
  <c r="K1344" i="1" s="1"/>
  <c r="F1345" i="1"/>
  <c r="K1345" i="1" s="1"/>
  <c r="F1346" i="1"/>
  <c r="K1346" i="1" s="1"/>
  <c r="F1364" i="1"/>
  <c r="K1364" i="1" s="1"/>
  <c r="F1365" i="1"/>
  <c r="K1365" i="1" s="1"/>
  <c r="F1366" i="1"/>
  <c r="K1366" i="1" s="1"/>
  <c r="F1367" i="1"/>
  <c r="K1367" i="1" s="1"/>
  <c r="F1368" i="1"/>
  <c r="K1368" i="1" s="1"/>
  <c r="F1369" i="1"/>
  <c r="K1369" i="1" s="1"/>
  <c r="F1370" i="1"/>
  <c r="K1370" i="1" s="1"/>
  <c r="F1375" i="1"/>
  <c r="K1375" i="1" s="1"/>
  <c r="F1376" i="1"/>
  <c r="K1376" i="1" s="1"/>
  <c r="F1379" i="1"/>
  <c r="K1379" i="1" s="1"/>
  <c r="F1380" i="1"/>
  <c r="K1380" i="1" s="1"/>
  <c r="F1383" i="1"/>
  <c r="K1383" i="1" s="1"/>
  <c r="F1384" i="1"/>
  <c r="K1384" i="1" s="1"/>
  <c r="F1385" i="1"/>
  <c r="K1385" i="1" s="1"/>
  <c r="F1386" i="1"/>
  <c r="K1386" i="1" s="1"/>
  <c r="F1387" i="1"/>
  <c r="K1387" i="1" s="1"/>
  <c r="F1388" i="1"/>
  <c r="K1388" i="1" s="1"/>
  <c r="F1389" i="1"/>
  <c r="K1389" i="1" s="1"/>
  <c r="F1390" i="1"/>
  <c r="K1390" i="1" s="1"/>
  <c r="F1391" i="1"/>
  <c r="K1391" i="1" s="1"/>
  <c r="F1392" i="1"/>
  <c r="K1392" i="1" s="1"/>
  <c r="F1393" i="1"/>
  <c r="K1393" i="1" s="1"/>
  <c r="F1394" i="1"/>
  <c r="K1394" i="1" s="1"/>
  <c r="F1395" i="1"/>
  <c r="K1395" i="1" s="1"/>
  <c r="F1396" i="1"/>
  <c r="K1396" i="1" s="1"/>
  <c r="F1397" i="1"/>
  <c r="K1397" i="1" s="1"/>
  <c r="F1398" i="1"/>
  <c r="K1398" i="1" s="1"/>
  <c r="F1399" i="1"/>
  <c r="K1399" i="1" s="1"/>
  <c r="F1400" i="1"/>
  <c r="K1400" i="1" s="1"/>
  <c r="F1401" i="1"/>
  <c r="K1401" i="1" s="1"/>
  <c r="F1402" i="1"/>
  <c r="K1402" i="1" s="1"/>
  <c r="F1403" i="1"/>
  <c r="K1403" i="1" s="1"/>
  <c r="F1404" i="1"/>
  <c r="K1404" i="1" s="1"/>
  <c r="F1405" i="1"/>
  <c r="K1405" i="1" s="1"/>
  <c r="F1406" i="1"/>
  <c r="K1406" i="1" s="1"/>
  <c r="F1407" i="1"/>
  <c r="K1407" i="1" s="1"/>
  <c r="F1410" i="1"/>
  <c r="K1410" i="1" s="1"/>
  <c r="F1411" i="1"/>
  <c r="K1411" i="1" s="1"/>
  <c r="F1414" i="1"/>
  <c r="K1414" i="1" s="1"/>
  <c r="F1415" i="1"/>
  <c r="K1415" i="1" s="1"/>
  <c r="F1416" i="1"/>
  <c r="K1416" i="1" s="1"/>
  <c r="F1417" i="1"/>
  <c r="K1417" i="1" s="1"/>
  <c r="F1418" i="1"/>
  <c r="K1418" i="1" s="1"/>
  <c r="F1419" i="1"/>
  <c r="K1419" i="1" s="1"/>
  <c r="F1420" i="1"/>
  <c r="K1420" i="1" s="1"/>
  <c r="F1421" i="1"/>
  <c r="K1421" i="1" s="1"/>
  <c r="F1422" i="1"/>
  <c r="K1422" i="1" s="1"/>
  <c r="F1423" i="1"/>
  <c r="K1423" i="1" s="1"/>
  <c r="F1424" i="1"/>
  <c r="K1424" i="1" s="1"/>
  <c r="F1425" i="1"/>
  <c r="K1425" i="1" s="1"/>
  <c r="F1426" i="1"/>
  <c r="K1426" i="1" s="1"/>
  <c r="F1427" i="1"/>
  <c r="K1427" i="1" s="1"/>
  <c r="F1428" i="1"/>
  <c r="K1428" i="1" s="1"/>
  <c r="F1429" i="1"/>
  <c r="K1429" i="1" s="1"/>
  <c r="F1430" i="1"/>
  <c r="K1430" i="1" s="1"/>
  <c r="F1431" i="1"/>
  <c r="K1431" i="1" s="1"/>
  <c r="F1432" i="1"/>
  <c r="K1432" i="1" s="1"/>
  <c r="F1433" i="1"/>
  <c r="K1433" i="1" s="1"/>
  <c r="F1434" i="1"/>
  <c r="K1434" i="1" s="1"/>
  <c r="F1435" i="1"/>
  <c r="K1435" i="1" s="1"/>
  <c r="F1436" i="1"/>
  <c r="K1436" i="1" s="1"/>
  <c r="F1437" i="1"/>
  <c r="K1437" i="1" s="1"/>
  <c r="F1438" i="1"/>
  <c r="K1438" i="1" s="1"/>
  <c r="F1439" i="1"/>
  <c r="K1439" i="1" s="1"/>
  <c r="F1440" i="1"/>
  <c r="K1440" i="1" s="1"/>
  <c r="F1441" i="1"/>
  <c r="K1441" i="1" s="1"/>
  <c r="F1442" i="1"/>
  <c r="K1442" i="1" s="1"/>
  <c r="F1443" i="1"/>
  <c r="K1443" i="1" s="1"/>
  <c r="F1444" i="1"/>
  <c r="K1444" i="1" s="1"/>
  <c r="F1445" i="1"/>
  <c r="K1445" i="1" s="1"/>
  <c r="F1446" i="1"/>
  <c r="K1446" i="1" s="1"/>
  <c r="F1447" i="1"/>
  <c r="K1447" i="1" s="1"/>
  <c r="F1448" i="1"/>
  <c r="K1448" i="1" s="1"/>
  <c r="F1449" i="1"/>
  <c r="K1449" i="1" s="1"/>
  <c r="F1450" i="1"/>
  <c r="K1450" i="1" s="1"/>
  <c r="F1451" i="1"/>
  <c r="K1451" i="1" s="1"/>
  <c r="F1452" i="1"/>
  <c r="K1452" i="1" s="1"/>
  <c r="F1453" i="1"/>
  <c r="K1453" i="1" s="1"/>
  <c r="F1456" i="1"/>
  <c r="K1456" i="1" s="1"/>
  <c r="F1457" i="1"/>
  <c r="K1457" i="1" s="1"/>
  <c r="F1458" i="1"/>
  <c r="K1458" i="1" s="1"/>
  <c r="F1459" i="1"/>
  <c r="K1459" i="1" s="1"/>
  <c r="F1460" i="1"/>
  <c r="K1460" i="1" s="1"/>
  <c r="F1461" i="1"/>
  <c r="K1461" i="1" s="1"/>
  <c r="F1462" i="1"/>
  <c r="K1462" i="1" s="1"/>
  <c r="F1463" i="1"/>
  <c r="K1463" i="1" s="1"/>
  <c r="F1464" i="1"/>
  <c r="K1464" i="1" s="1"/>
  <c r="F1465" i="1"/>
  <c r="K1465" i="1" s="1"/>
  <c r="F1466" i="1"/>
  <c r="K1466" i="1" s="1"/>
  <c r="F1467" i="1"/>
  <c r="K1467" i="1" s="1"/>
  <c r="F1468" i="1"/>
  <c r="K1468" i="1" s="1"/>
  <c r="F1469" i="1"/>
  <c r="K1469" i="1" s="1"/>
  <c r="F1470" i="1"/>
  <c r="K1470" i="1" s="1"/>
  <c r="F1471" i="1"/>
  <c r="K1471" i="1" s="1"/>
  <c r="F1472" i="1"/>
  <c r="K1472" i="1" s="1"/>
  <c r="F1473" i="1"/>
  <c r="K1473" i="1" s="1"/>
  <c r="F1474" i="1"/>
  <c r="K1474" i="1" s="1"/>
  <c r="F1475" i="1"/>
  <c r="K1475" i="1" s="1"/>
  <c r="F1476" i="1"/>
  <c r="K1476" i="1" s="1"/>
  <c r="F1477" i="1"/>
  <c r="K1477" i="1" s="1"/>
  <c r="F1478" i="1"/>
  <c r="K1478" i="1" s="1"/>
  <c r="F1479" i="1"/>
  <c r="K1479" i="1" s="1"/>
  <c r="F1480" i="1"/>
  <c r="K1480" i="1" s="1"/>
  <c r="F1481" i="1"/>
  <c r="K1481" i="1" s="1"/>
  <c r="F1482" i="1"/>
  <c r="K1482" i="1" s="1"/>
  <c r="F1483" i="1"/>
  <c r="K1483" i="1" s="1"/>
  <c r="F1484" i="1"/>
  <c r="K1484" i="1" s="1"/>
  <c r="F1485" i="1"/>
  <c r="K1485" i="1" s="1"/>
  <c r="F1486" i="1"/>
  <c r="K1486" i="1" s="1"/>
  <c r="F1487" i="1"/>
  <c r="K1487" i="1" s="1"/>
  <c r="F1488" i="1"/>
  <c r="K1488" i="1" s="1"/>
  <c r="F1489" i="1"/>
  <c r="K1489" i="1" s="1"/>
  <c r="F1490" i="1"/>
  <c r="K1490" i="1" s="1"/>
  <c r="F1491" i="1"/>
  <c r="K1491" i="1" s="1"/>
  <c r="F1492" i="1"/>
  <c r="K1492" i="1" s="1"/>
  <c r="F1493" i="1"/>
  <c r="K1493" i="1" s="1"/>
  <c r="F1494" i="1"/>
  <c r="K1494" i="1" s="1"/>
  <c r="F1495" i="1"/>
  <c r="K1495" i="1" s="1"/>
  <c r="F1496" i="1"/>
  <c r="K1496" i="1" s="1"/>
  <c r="F1497" i="1"/>
  <c r="K1497" i="1" s="1"/>
  <c r="F1498" i="1"/>
  <c r="K1498" i="1" s="1"/>
  <c r="F1499" i="1"/>
  <c r="K1499" i="1" s="1"/>
  <c r="F1500" i="1"/>
  <c r="K1500" i="1" s="1"/>
  <c r="F1501" i="1"/>
  <c r="K1501" i="1" s="1"/>
  <c r="F1502" i="1"/>
  <c r="K1502" i="1" s="1"/>
  <c r="F1503" i="1"/>
  <c r="K1503" i="1" s="1"/>
  <c r="F1504" i="1"/>
  <c r="K1504" i="1" s="1"/>
  <c r="F1505" i="1"/>
  <c r="K1505" i="1" s="1"/>
  <c r="F1506" i="1"/>
  <c r="K1506" i="1" s="1"/>
  <c r="F1507" i="1"/>
  <c r="K1507" i="1" s="1"/>
  <c r="F1508" i="1"/>
  <c r="K1508" i="1" s="1"/>
  <c r="F1509" i="1"/>
  <c r="K1509" i="1" s="1"/>
  <c r="F1510" i="1"/>
  <c r="K1510" i="1" s="1"/>
  <c r="F1511" i="1"/>
  <c r="K1511" i="1" s="1"/>
  <c r="F1514" i="1"/>
  <c r="K1514" i="1" s="1"/>
  <c r="F1515" i="1"/>
  <c r="K1515" i="1" s="1"/>
  <c r="F1516" i="1"/>
  <c r="K1516" i="1" s="1"/>
  <c r="F1519" i="1"/>
  <c r="K1519" i="1" s="1"/>
  <c r="F1520" i="1"/>
  <c r="K1520" i="1" s="1"/>
  <c r="F1521" i="1"/>
  <c r="K1521" i="1" s="1"/>
  <c r="F1522" i="1"/>
  <c r="K1522" i="1" s="1"/>
  <c r="F1523" i="1"/>
  <c r="K1523" i="1" s="1"/>
  <c r="F1524" i="1"/>
  <c r="K1524" i="1" s="1"/>
  <c r="F1525" i="1"/>
  <c r="K1525" i="1" s="1"/>
  <c r="F1526" i="1"/>
  <c r="K1526" i="1" s="1"/>
  <c r="F1527" i="1"/>
  <c r="K1527" i="1" s="1"/>
  <c r="F1528" i="1"/>
  <c r="K1528" i="1" s="1"/>
  <c r="F1529" i="1"/>
  <c r="K1529" i="1" s="1"/>
  <c r="F1530" i="1"/>
  <c r="K1530" i="1" s="1"/>
  <c r="F1531" i="1"/>
  <c r="K1531" i="1" s="1"/>
  <c r="F1532" i="1"/>
  <c r="K1532" i="1" s="1"/>
  <c r="F1533" i="1"/>
  <c r="K1533" i="1" s="1"/>
  <c r="F1534" i="1"/>
  <c r="K1534" i="1" s="1"/>
  <c r="F1535" i="1"/>
  <c r="K1535" i="1" s="1"/>
  <c r="F1536" i="1"/>
  <c r="K1536" i="1" s="1"/>
  <c r="F1537" i="1"/>
  <c r="K1537" i="1" s="1"/>
  <c r="F1538" i="1"/>
  <c r="K1538" i="1" s="1"/>
  <c r="F1539" i="1"/>
  <c r="K1539" i="1" s="1"/>
  <c r="F1540" i="1"/>
  <c r="K1540" i="1" s="1"/>
  <c r="F1541" i="1"/>
  <c r="K1541" i="1" s="1"/>
  <c r="F1542" i="1"/>
  <c r="K1542" i="1" s="1"/>
  <c r="F1543" i="1"/>
  <c r="K1543" i="1" s="1"/>
  <c r="F1544" i="1"/>
  <c r="K1544" i="1" s="1"/>
  <c r="F1545" i="1"/>
  <c r="K1545" i="1" s="1"/>
  <c r="F1546" i="1"/>
  <c r="K1546" i="1" s="1"/>
  <c r="F1547" i="1"/>
  <c r="K1547" i="1" s="1"/>
  <c r="F1548" i="1"/>
  <c r="K1548" i="1" s="1"/>
  <c r="F1549" i="1"/>
  <c r="K1549" i="1" s="1"/>
  <c r="F1550" i="1"/>
  <c r="K1550" i="1" s="1"/>
  <c r="F1551" i="1"/>
  <c r="K1551" i="1" s="1"/>
  <c r="F1552" i="1"/>
  <c r="K1552" i="1" s="1"/>
  <c r="F1553" i="1"/>
  <c r="K1553" i="1" s="1"/>
  <c r="F1554" i="1"/>
  <c r="K1554" i="1" s="1"/>
  <c r="F1555" i="1"/>
  <c r="K1555" i="1" s="1"/>
  <c r="F1556" i="1"/>
  <c r="K1556" i="1" s="1"/>
  <c r="F1557" i="1"/>
  <c r="K1557" i="1" s="1"/>
  <c r="F1558" i="1"/>
  <c r="K1558" i="1" s="1"/>
  <c r="F1561" i="1"/>
  <c r="K1561" i="1" s="1"/>
  <c r="F1562" i="1"/>
  <c r="K1562" i="1" s="1"/>
  <c r="F1563" i="1"/>
  <c r="K1563" i="1" s="1"/>
  <c r="F1564" i="1"/>
  <c r="K1564" i="1" s="1"/>
  <c r="F1565" i="1"/>
  <c r="K1565" i="1" s="1"/>
  <c r="F1566" i="1"/>
  <c r="K1566" i="1" s="1"/>
  <c r="F1567" i="1"/>
  <c r="K1567" i="1" s="1"/>
  <c r="F1568" i="1"/>
  <c r="K1568" i="1" s="1"/>
  <c r="F1569" i="1"/>
  <c r="K1569" i="1" s="1"/>
  <c r="F1570" i="1"/>
  <c r="K1570" i="1" s="1"/>
  <c r="F1571" i="1"/>
  <c r="K1571" i="1" s="1"/>
  <c r="F1572" i="1"/>
  <c r="K1572" i="1" s="1"/>
  <c r="F1573" i="1"/>
  <c r="K1573" i="1" s="1"/>
  <c r="F1576" i="1"/>
  <c r="K1576" i="1" s="1"/>
  <c r="F1577" i="1"/>
  <c r="K1577" i="1" s="1"/>
  <c r="F1578" i="1"/>
  <c r="K1578" i="1" s="1"/>
  <c r="F1579" i="1"/>
  <c r="K1579" i="1" s="1"/>
  <c r="F1580" i="1"/>
  <c r="K1580" i="1" s="1"/>
  <c r="F1581" i="1"/>
  <c r="K1581" i="1" s="1"/>
  <c r="F1582" i="1"/>
  <c r="K1582" i="1" s="1"/>
  <c r="F1583" i="1"/>
  <c r="K1583" i="1" s="1"/>
  <c r="F1584" i="1"/>
  <c r="K1584" i="1" s="1"/>
  <c r="F1585" i="1"/>
  <c r="K1585" i="1" s="1"/>
  <c r="F1586" i="1"/>
  <c r="K1586" i="1" s="1"/>
  <c r="F1587" i="1"/>
  <c r="K1587" i="1" s="1"/>
  <c r="F1588" i="1"/>
  <c r="K1588" i="1" s="1"/>
  <c r="F1589" i="1"/>
  <c r="K1589" i="1" s="1"/>
  <c r="F1590" i="1"/>
  <c r="K1590" i="1" s="1"/>
  <c r="F1591" i="1"/>
  <c r="K1591" i="1" s="1"/>
  <c r="F1592" i="1"/>
  <c r="K1592" i="1" s="1"/>
  <c r="F1593" i="1"/>
  <c r="K1593" i="1" s="1"/>
  <c r="F1594" i="1"/>
  <c r="K1594" i="1" s="1"/>
  <c r="F1595" i="1"/>
  <c r="K1595" i="1" s="1"/>
  <c r="F1596" i="1"/>
  <c r="K1596" i="1" s="1"/>
  <c r="F1597" i="1"/>
  <c r="K1597" i="1" s="1"/>
  <c r="F1598" i="1"/>
  <c r="K1598" i="1" s="1"/>
  <c r="F1599" i="1"/>
  <c r="K1599" i="1" s="1"/>
  <c r="F1600" i="1"/>
  <c r="K1600" i="1" s="1"/>
  <c r="F1601" i="1"/>
  <c r="K1601" i="1" s="1"/>
  <c r="F1602" i="1"/>
  <c r="K1602" i="1" s="1"/>
  <c r="F1603" i="1"/>
  <c r="K1603" i="1" s="1"/>
  <c r="F1604" i="1"/>
  <c r="K1604" i="1" s="1"/>
  <c r="F1605" i="1"/>
  <c r="K1605" i="1" s="1"/>
  <c r="F1606" i="1"/>
  <c r="K1606" i="1" s="1"/>
  <c r="F1607" i="1"/>
  <c r="K1607" i="1" s="1"/>
  <c r="F1608" i="1"/>
  <c r="K1608" i="1" s="1"/>
  <c r="F1609" i="1"/>
  <c r="K1609" i="1" s="1"/>
  <c r="F1610" i="1"/>
  <c r="K1610" i="1" s="1"/>
  <c r="F1611" i="1"/>
  <c r="K1611" i="1" s="1"/>
  <c r="F1612" i="1"/>
  <c r="K1612" i="1" s="1"/>
  <c r="F1613" i="1"/>
  <c r="K1613" i="1" s="1"/>
  <c r="F1614" i="1"/>
  <c r="K1614" i="1" s="1"/>
  <c r="F1615" i="1"/>
  <c r="K1615" i="1" s="1"/>
  <c r="F1616" i="1"/>
  <c r="K1616" i="1" s="1"/>
  <c r="F1617" i="1"/>
  <c r="K1617" i="1" s="1"/>
  <c r="F1618" i="1"/>
  <c r="K1618" i="1" s="1"/>
  <c r="F1619" i="1"/>
  <c r="K1619" i="1" s="1"/>
  <c r="F1620" i="1"/>
  <c r="K1620" i="1" s="1"/>
  <c r="F1621" i="1"/>
  <c r="K1621" i="1" s="1"/>
  <c r="F1622" i="1"/>
  <c r="K1622" i="1" s="1"/>
  <c r="F1623" i="1"/>
  <c r="K1623" i="1" s="1"/>
  <c r="F1624" i="1"/>
  <c r="K1624" i="1" s="1"/>
  <c r="F1625" i="1"/>
  <c r="K1625" i="1" s="1"/>
  <c r="F1626" i="1"/>
  <c r="K1626" i="1" s="1"/>
  <c r="F1627" i="1"/>
  <c r="K1627" i="1" s="1"/>
  <c r="F1628" i="1"/>
  <c r="K1628" i="1" s="1"/>
  <c r="F1629" i="1"/>
  <c r="K1629" i="1" s="1"/>
  <c r="F1630" i="1"/>
  <c r="K1630" i="1" s="1"/>
  <c r="F1631" i="1"/>
  <c r="K1631" i="1" s="1"/>
  <c r="F1632" i="1"/>
  <c r="K1632" i="1" s="1"/>
  <c r="F1633" i="1"/>
  <c r="K1633" i="1" s="1"/>
  <c r="F1634" i="1"/>
  <c r="K1634" i="1" s="1"/>
  <c r="F1635" i="1"/>
  <c r="K1635" i="1" s="1"/>
  <c r="F1636" i="1"/>
  <c r="K1636" i="1" s="1"/>
  <c r="F1637" i="1"/>
  <c r="K1637" i="1" s="1"/>
  <c r="F1638" i="1"/>
  <c r="K1638" i="1" s="1"/>
  <c r="F1639" i="1"/>
  <c r="K1639" i="1" s="1"/>
  <c r="K1640" i="1"/>
  <c r="K1643" i="1"/>
  <c r="F1701" i="1"/>
  <c r="K1701" i="1" s="1"/>
  <c r="F1703" i="1"/>
  <c r="K1703" i="1" s="1"/>
  <c r="F1704" i="1"/>
  <c r="K1704" i="1" s="1"/>
  <c r="F1705" i="1"/>
  <c r="K1705" i="1" s="1"/>
  <c r="F1706" i="1"/>
  <c r="K1706" i="1" s="1"/>
  <c r="F1707" i="1"/>
  <c r="K1707" i="1" s="1"/>
  <c r="F1708" i="1"/>
  <c r="K1708" i="1" s="1"/>
  <c r="F1709" i="1"/>
  <c r="K1709" i="1" s="1"/>
  <c r="F1710" i="1"/>
  <c r="K1710" i="1" s="1"/>
  <c r="F1711" i="1"/>
  <c r="K1711" i="1" s="1"/>
  <c r="F1712" i="1"/>
  <c r="K1712" i="1" s="1"/>
  <c r="F1713" i="1"/>
  <c r="K1713" i="1" s="1"/>
  <c r="F1714" i="1"/>
  <c r="K1714" i="1" s="1"/>
  <c r="F1715" i="1"/>
  <c r="K1715" i="1" s="1"/>
  <c r="F1718" i="1"/>
  <c r="K1718" i="1" s="1"/>
  <c r="F1719" i="1"/>
  <c r="K1719" i="1" s="1"/>
  <c r="F1720" i="1"/>
  <c r="K1720" i="1" s="1"/>
  <c r="F1721" i="1"/>
  <c r="K1721" i="1" s="1"/>
  <c r="F1722" i="1"/>
  <c r="K1722" i="1" s="1"/>
  <c r="F1723" i="1"/>
  <c r="K1723" i="1" s="1"/>
  <c r="F1724" i="1"/>
  <c r="K1724" i="1" s="1"/>
  <c r="F1725" i="1"/>
  <c r="K1725" i="1" s="1"/>
  <c r="F1726" i="1"/>
  <c r="K1726" i="1" s="1"/>
  <c r="F1727" i="1"/>
  <c r="K1727" i="1" s="1"/>
  <c r="F1728" i="1"/>
  <c r="K1728" i="1" s="1"/>
  <c r="F1729" i="1"/>
  <c r="K1729" i="1" s="1"/>
  <c r="F1730" i="1"/>
  <c r="K1730" i="1" s="1"/>
  <c r="F1731" i="1"/>
  <c r="K1731" i="1" s="1"/>
  <c r="F1732" i="1"/>
  <c r="K1732" i="1" s="1"/>
  <c r="F1733" i="1"/>
  <c r="K1733" i="1" s="1"/>
  <c r="F1734" i="1"/>
  <c r="K1734" i="1" s="1"/>
  <c r="F1735" i="1"/>
  <c r="K1735" i="1" s="1"/>
  <c r="F1736" i="1"/>
  <c r="K1736" i="1" s="1"/>
  <c r="F1737" i="1"/>
  <c r="K1737" i="1" s="1"/>
  <c r="F1738" i="1"/>
  <c r="K1738" i="1" s="1"/>
  <c r="F1739" i="1"/>
  <c r="K1739" i="1" s="1"/>
  <c r="F1740" i="1"/>
  <c r="K1740" i="1" s="1"/>
  <c r="F1741" i="1"/>
  <c r="K1741" i="1" s="1"/>
  <c r="F1742" i="1"/>
  <c r="K1742" i="1" s="1"/>
  <c r="F1743" i="1"/>
  <c r="K1743" i="1" s="1"/>
  <c r="F1744" i="1"/>
  <c r="K1744" i="1" s="1"/>
  <c r="F1745" i="1"/>
  <c r="K1745" i="1" s="1"/>
  <c r="F1746" i="1"/>
  <c r="K1746" i="1" s="1"/>
  <c r="F1747" i="1"/>
  <c r="K1747" i="1" s="1"/>
  <c r="F1748" i="1"/>
  <c r="K1748" i="1" s="1"/>
  <c r="F1749" i="1"/>
  <c r="K1749" i="1" s="1"/>
  <c r="F1750" i="1"/>
  <c r="K1750" i="1" s="1"/>
  <c r="F1751" i="1"/>
  <c r="K1751" i="1" s="1"/>
  <c r="F1752" i="1"/>
  <c r="K1752" i="1" s="1"/>
  <c r="F1755" i="1"/>
  <c r="K1755" i="1" s="1"/>
  <c r="F1756" i="1"/>
  <c r="K1756" i="1" s="1"/>
  <c r="F1757" i="1"/>
  <c r="K1757" i="1" s="1"/>
  <c r="F1758" i="1"/>
  <c r="K1758" i="1" s="1"/>
  <c r="F1759" i="1"/>
  <c r="K1759" i="1" s="1"/>
  <c r="F1760" i="1"/>
  <c r="K1760" i="1" s="1"/>
  <c r="F1761" i="1"/>
  <c r="K1761" i="1" s="1"/>
  <c r="F1762" i="1"/>
  <c r="K1762" i="1" s="1"/>
  <c r="F1763" i="1"/>
  <c r="K1763" i="1" s="1"/>
  <c r="F1764" i="1"/>
  <c r="K1764" i="1" s="1"/>
  <c r="F1765" i="1"/>
  <c r="K1765" i="1" s="1"/>
  <c r="F1766" i="1"/>
  <c r="K1766" i="1" s="1"/>
  <c r="F1767" i="1"/>
  <c r="K1767" i="1" s="1"/>
  <c r="F1768" i="1"/>
  <c r="K1768" i="1" s="1"/>
  <c r="F1769" i="1"/>
  <c r="K1769" i="1" s="1"/>
  <c r="F1770" i="1"/>
  <c r="K1770" i="1" s="1"/>
  <c r="F1771" i="1"/>
  <c r="K1771" i="1" s="1"/>
  <c r="F1772" i="1"/>
  <c r="K1772" i="1" s="1"/>
  <c r="F1778" i="1"/>
  <c r="K1778" i="1" s="1"/>
  <c r="F1779" i="1"/>
  <c r="K1779" i="1" s="1"/>
  <c r="F1780" i="1"/>
  <c r="K1780" i="1" s="1"/>
  <c r="F1781" i="1"/>
  <c r="K1781" i="1" s="1"/>
  <c r="F1782" i="1"/>
  <c r="K1782" i="1" s="1"/>
  <c r="F1783" i="1"/>
  <c r="K1783" i="1" s="1"/>
  <c r="F1784" i="1"/>
  <c r="K1784" i="1" s="1"/>
  <c r="F1785" i="1"/>
  <c r="K1785" i="1" s="1"/>
  <c r="F1786" i="1"/>
  <c r="K1786" i="1" s="1"/>
  <c r="F1787" i="1"/>
  <c r="K1787" i="1" s="1"/>
  <c r="F1788" i="1"/>
  <c r="K1788" i="1" s="1"/>
  <c r="F1789" i="1"/>
  <c r="K1789" i="1" s="1"/>
  <c r="F1790" i="1"/>
  <c r="K1790" i="1" s="1"/>
  <c r="F1791" i="1"/>
  <c r="K1791" i="1" s="1"/>
  <c r="F1792" i="1"/>
  <c r="K1792" i="1" s="1"/>
  <c r="F1795" i="1"/>
  <c r="K1795" i="1" s="1"/>
  <c r="F1796" i="1"/>
  <c r="K1796" i="1" s="1"/>
  <c r="F1797" i="1"/>
  <c r="K1797" i="1" s="1"/>
  <c r="F1798" i="1"/>
  <c r="K1798" i="1" s="1"/>
  <c r="F1799" i="1"/>
  <c r="K1799" i="1" s="1"/>
  <c r="F1800" i="1"/>
  <c r="K1800" i="1" s="1"/>
  <c r="F1801" i="1"/>
  <c r="K1801" i="1" s="1"/>
  <c r="F1802" i="1"/>
  <c r="K1802" i="1" s="1"/>
  <c r="F1803" i="1"/>
  <c r="K1803" i="1" s="1"/>
  <c r="F1804" i="1"/>
  <c r="K1804" i="1" s="1"/>
  <c r="F1805" i="1"/>
  <c r="K1805" i="1" s="1"/>
  <c r="F1806" i="1"/>
  <c r="K1806" i="1" s="1"/>
  <c r="F1807" i="1"/>
  <c r="K1807" i="1" s="1"/>
  <c r="F1808" i="1"/>
  <c r="K1808" i="1" s="1"/>
  <c r="F1809" i="1"/>
  <c r="K1809" i="1" s="1"/>
  <c r="F1810" i="1"/>
  <c r="K1810" i="1" s="1"/>
  <c r="F1811" i="1"/>
  <c r="K1811" i="1" s="1"/>
  <c r="F1812" i="1"/>
  <c r="K1812" i="1" s="1"/>
  <c r="F1813" i="1"/>
  <c r="K1813" i="1" s="1"/>
  <c r="F1816" i="1"/>
  <c r="K1816" i="1" s="1"/>
  <c r="F1817" i="1"/>
  <c r="K1817" i="1" s="1"/>
  <c r="F1818" i="1"/>
  <c r="K1818" i="1" s="1"/>
  <c r="F1819" i="1"/>
  <c r="K1819" i="1" s="1"/>
  <c r="F1820" i="1"/>
  <c r="K1820" i="1" s="1"/>
  <c r="F1823" i="1"/>
  <c r="K1823" i="1" s="1"/>
  <c r="F1825" i="1"/>
  <c r="K1825" i="1" s="1"/>
  <c r="F1826" i="1"/>
  <c r="K1826" i="1" s="1"/>
  <c r="F1829" i="1"/>
  <c r="K1829" i="1" s="1"/>
  <c r="K1830" i="1"/>
  <c r="K1831" i="1"/>
  <c r="K1832" i="1"/>
  <c r="K1833" i="1"/>
  <c r="F1834" i="1"/>
  <c r="K1834" i="1" s="1"/>
  <c r="F1837" i="1"/>
  <c r="K1837" i="1" s="1"/>
  <c r="F1839" i="1"/>
  <c r="K1839" i="1" s="1"/>
  <c r="F1840" i="1"/>
  <c r="K1840" i="1" s="1"/>
  <c r="F1841" i="1"/>
  <c r="K1841" i="1" s="1"/>
  <c r="F1842" i="1"/>
  <c r="K1842" i="1" s="1"/>
  <c r="F1843" i="1"/>
  <c r="K1843" i="1" s="1"/>
  <c r="F1844" i="1"/>
  <c r="K1844" i="1" s="1"/>
  <c r="F1845" i="1"/>
  <c r="K1845" i="1" s="1"/>
  <c r="F1846" i="1"/>
  <c r="K1846" i="1" s="1"/>
  <c r="F1849" i="1"/>
  <c r="K1849" i="1" s="1"/>
  <c r="F1850" i="1"/>
  <c r="K1850" i="1" s="1"/>
  <c r="F1854" i="1"/>
  <c r="K1854" i="1" s="1"/>
  <c r="F1855" i="1"/>
  <c r="K1855" i="1" s="1"/>
  <c r="F1856" i="1"/>
  <c r="K1856" i="1" s="1"/>
  <c r="F1857" i="1"/>
  <c r="K1857" i="1" s="1"/>
  <c r="F1858" i="1"/>
  <c r="K1858" i="1" s="1"/>
  <c r="F1859" i="1"/>
  <c r="K1859" i="1" s="1"/>
  <c r="F1860" i="1"/>
  <c r="K1860" i="1" s="1"/>
  <c r="F1861" i="1"/>
  <c r="K1861" i="1" s="1"/>
  <c r="F1862" i="1"/>
  <c r="K1862" i="1" s="1"/>
  <c r="F1863" i="1"/>
  <c r="K1863" i="1" s="1"/>
  <c r="F1864" i="1"/>
  <c r="K1864" i="1" s="1"/>
  <c r="F1865" i="1"/>
  <c r="K1865" i="1" s="1"/>
  <c r="F1866" i="1"/>
  <c r="K1866" i="1" s="1"/>
  <c r="F1867" i="1"/>
  <c r="K1867" i="1" s="1"/>
  <c r="F1868" i="1"/>
  <c r="K1868" i="1" s="1"/>
  <c r="F1869" i="1"/>
  <c r="K1869" i="1" s="1"/>
  <c r="F1870" i="1"/>
  <c r="K1870" i="1" s="1"/>
  <c r="F1871" i="1"/>
  <c r="K1871" i="1" s="1"/>
  <c r="F1872" i="1"/>
  <c r="K1872" i="1" s="1"/>
  <c r="F1873" i="1"/>
  <c r="K1873" i="1" s="1"/>
  <c r="F1874" i="1"/>
  <c r="K1874" i="1" s="1"/>
  <c r="F1875" i="1"/>
  <c r="K1875" i="1" s="1"/>
  <c r="F1876" i="1"/>
  <c r="K1876" i="1" s="1"/>
  <c r="F1877" i="1"/>
  <c r="K1877" i="1" s="1"/>
  <c r="F1878" i="1"/>
  <c r="K1878" i="1" s="1"/>
  <c r="F1879" i="1"/>
  <c r="K1879" i="1" s="1"/>
  <c r="F1880" i="1"/>
  <c r="K1880" i="1" s="1"/>
  <c r="F1881" i="1"/>
  <c r="K1881" i="1" s="1"/>
  <c r="F1882" i="1"/>
  <c r="K1882" i="1" s="1"/>
  <c r="F1883" i="1"/>
  <c r="K1883" i="1" s="1"/>
  <c r="F1884" i="1"/>
  <c r="K1884" i="1" s="1"/>
  <c r="F1885" i="1"/>
  <c r="K1885" i="1" s="1"/>
  <c r="F1886" i="1"/>
  <c r="K1886" i="1" s="1"/>
  <c r="F1887" i="1"/>
  <c r="K1887" i="1" s="1"/>
  <c r="F1888" i="1"/>
  <c r="K1888" i="1" s="1"/>
  <c r="F1889" i="1"/>
  <c r="K1889" i="1" s="1"/>
  <c r="F1890" i="1"/>
  <c r="K1890" i="1" s="1"/>
  <c r="F1891" i="1"/>
  <c r="K1891" i="1" s="1"/>
  <c r="F1894" i="1"/>
  <c r="K1894" i="1" s="1"/>
  <c r="F1895" i="1"/>
  <c r="K1895" i="1" s="1"/>
  <c r="F1896" i="1"/>
  <c r="K1896" i="1" s="1"/>
  <c r="F1897" i="1"/>
  <c r="K1897" i="1" s="1"/>
  <c r="F1898" i="1"/>
  <c r="K1898" i="1" s="1"/>
  <c r="F1899" i="1"/>
  <c r="K1899" i="1" s="1"/>
  <c r="F1900" i="1"/>
  <c r="K1900" i="1" s="1"/>
  <c r="F1901" i="1"/>
  <c r="K1901" i="1" s="1"/>
  <c r="F1902" i="1"/>
  <c r="K1902" i="1" s="1"/>
  <c r="F1903" i="1"/>
  <c r="K1903" i="1" s="1"/>
  <c r="F1904" i="1"/>
  <c r="K1904" i="1" s="1"/>
  <c r="F1905" i="1"/>
  <c r="K1905" i="1" s="1"/>
  <c r="F1906" i="1"/>
  <c r="K1906" i="1" s="1"/>
  <c r="F1907" i="1"/>
  <c r="K1907" i="1" s="1"/>
  <c r="F1908" i="1"/>
  <c r="K1908" i="1" s="1"/>
  <c r="F1909" i="1"/>
  <c r="K1909" i="1" s="1"/>
  <c r="F1910" i="1"/>
  <c r="K1910" i="1" s="1"/>
  <c r="F1911" i="1"/>
  <c r="K1911" i="1" s="1"/>
  <c r="F1914" i="1"/>
  <c r="K1914" i="1" s="1"/>
  <c r="F1915" i="1"/>
  <c r="K1915" i="1" s="1"/>
  <c r="F1916" i="1"/>
  <c r="K1916" i="1" s="1"/>
  <c r="F1917" i="1"/>
  <c r="K1917" i="1" s="1"/>
  <c r="F1918" i="1"/>
  <c r="K1918" i="1" s="1"/>
  <c r="F1919" i="1"/>
  <c r="K1919" i="1" s="1"/>
  <c r="F1920" i="1"/>
  <c r="K1920" i="1" s="1"/>
  <c r="F1921" i="1"/>
  <c r="K1921" i="1" s="1"/>
  <c r="F1922" i="1"/>
  <c r="K1922" i="1" s="1"/>
  <c r="F1923" i="1"/>
  <c r="K1923" i="1" s="1"/>
  <c r="F1924" i="1"/>
  <c r="K1924" i="1" s="1"/>
  <c r="F1925" i="1"/>
  <c r="K1925" i="1" s="1"/>
  <c r="F1926" i="1"/>
  <c r="K1926" i="1" s="1"/>
  <c r="F1927" i="1"/>
  <c r="K1927" i="1" s="1"/>
  <c r="F1928" i="1"/>
  <c r="K1928" i="1" s="1"/>
  <c r="F1929" i="1"/>
  <c r="K1929" i="1" s="1"/>
  <c r="K1932" i="1"/>
  <c r="K1936" i="1"/>
  <c r="K1937" i="1"/>
  <c r="K1938" i="1"/>
  <c r="K1939" i="1"/>
  <c r="K1940" i="1"/>
  <c r="K1941" i="1"/>
  <c r="K1942" i="1"/>
  <c r="F11" i="1"/>
  <c r="K11" i="1" s="1"/>
  <c r="X220" i="1" l="1"/>
  <c r="X128" i="1"/>
  <c r="X416" i="1"/>
  <c r="X66" i="1"/>
  <c r="X209" i="1"/>
  <c r="X362" i="1"/>
  <c r="X37" i="1"/>
  <c r="X174" i="1"/>
  <c r="X318" i="1"/>
  <c r="X76" i="1"/>
  <c r="X255" i="1"/>
  <c r="X294" i="1"/>
  <c r="X85" i="1"/>
  <c r="X231" i="1"/>
  <c r="X402" i="1"/>
  <c r="X50" i="1"/>
  <c r="X78" i="1"/>
  <c r="X134" i="1"/>
  <c r="X426" i="1"/>
  <c r="X103" i="1"/>
  <c r="X251" i="1"/>
  <c r="X436" i="1"/>
  <c r="X87" i="1"/>
  <c r="X237" i="1"/>
  <c r="X407" i="1"/>
  <c r="X366" i="1"/>
  <c r="X617" i="1"/>
  <c r="X920" i="1"/>
  <c r="X1309" i="1"/>
  <c r="X179" i="1"/>
  <c r="X377" i="1"/>
  <c r="X596" i="1"/>
  <c r="X988" i="1"/>
  <c r="X81" i="1"/>
  <c r="X171" i="1"/>
  <c r="X249" i="1"/>
  <c r="X324" i="1"/>
  <c r="X410" i="1"/>
  <c r="X504" i="1"/>
  <c r="X599" i="1"/>
  <c r="X726" i="1"/>
  <c r="X828" i="1"/>
  <c r="X946" i="1"/>
  <c r="X1080" i="1"/>
  <c r="X1243" i="1"/>
  <c r="X354" i="1"/>
  <c r="X595" i="1"/>
  <c r="X905" i="1"/>
  <c r="X1293" i="1"/>
  <c r="X140" i="1"/>
  <c r="X343" i="1"/>
  <c r="X571" i="1"/>
  <c r="X847" i="1"/>
  <c r="X72" i="1"/>
  <c r="X152" i="1"/>
  <c r="X242" i="1"/>
  <c r="X315" i="1"/>
  <c r="X401" i="1"/>
  <c r="X491" i="1"/>
  <c r="X588" i="1"/>
  <c r="X717" i="1"/>
  <c r="X813" i="1"/>
  <c r="X923" i="1"/>
  <c r="X1066" i="1"/>
  <c r="X1229" i="1"/>
  <c r="X1389" i="1"/>
  <c r="X772" i="1"/>
  <c r="X884" i="1"/>
  <c r="X1017" i="1"/>
  <c r="X1179" i="1"/>
  <c r="X1317" i="1"/>
  <c r="X244" i="1"/>
  <c r="X317" i="1"/>
  <c r="X403" i="1"/>
  <c r="X493" i="1"/>
  <c r="X592" i="1"/>
  <c r="X719" i="1"/>
  <c r="X815" i="1"/>
  <c r="X927" i="1"/>
  <c r="X1068" i="1"/>
  <c r="X1231" i="1"/>
  <c r="X1391" i="1"/>
  <c r="X615" i="1"/>
  <c r="X742" i="1"/>
  <c r="X844" i="1"/>
  <c r="X963" i="1"/>
  <c r="X1110" i="1"/>
  <c r="X1267" i="1"/>
  <c r="X475" i="1"/>
  <c r="X567" i="1"/>
  <c r="X664" i="1"/>
  <c r="X787" i="1"/>
  <c r="X902" i="1"/>
  <c r="X1042" i="1"/>
  <c r="X1205" i="1"/>
  <c r="X1340" i="1"/>
  <c r="X607" i="1"/>
  <c r="X1075" i="1"/>
  <c r="X224" i="1"/>
  <c r="X735" i="1"/>
  <c r="X955" i="1"/>
  <c r="X1138" i="1"/>
  <c r="X1294" i="1"/>
  <c r="X338" i="1"/>
  <c r="X404" i="1"/>
  <c r="X472" i="1"/>
  <c r="X544" i="1"/>
  <c r="X613" i="1"/>
  <c r="X720" i="1"/>
  <c r="X784" i="1"/>
  <c r="X869" i="1"/>
  <c r="X960" i="1"/>
  <c r="X1038" i="1"/>
  <c r="X1108" i="1"/>
  <c r="X1201" i="1"/>
  <c r="X1265" i="1"/>
  <c r="X1336" i="1"/>
  <c r="X1429" i="1"/>
  <c r="X1521" i="1"/>
  <c r="X1626" i="1"/>
  <c r="X1832" i="1"/>
  <c r="X2130" i="1"/>
  <c r="X357" i="1"/>
  <c r="X421" i="1"/>
  <c r="X489" i="1"/>
  <c r="X561" i="1"/>
  <c r="X630" i="1"/>
  <c r="X737" i="1"/>
  <c r="X811" i="1"/>
  <c r="X896" i="1"/>
  <c r="X977" i="1"/>
  <c r="X1055" i="1"/>
  <c r="X1128" i="1"/>
  <c r="X1218" i="1"/>
  <c r="X1289" i="1"/>
  <c r="X1370" i="1"/>
  <c r="X1452" i="1"/>
  <c r="X1544" i="1"/>
  <c r="X1722" i="1"/>
  <c r="X1873" i="1"/>
  <c r="X2171" i="1"/>
  <c r="X1467" i="1"/>
  <c r="X1555" i="1"/>
  <c r="X1739" i="1"/>
  <c r="X1890" i="1"/>
  <c r="X2197" i="1"/>
  <c r="X1041" i="1"/>
  <c r="X1114" i="1"/>
  <c r="X1204" i="1"/>
  <c r="X1268" i="1"/>
  <c r="X1339" i="1"/>
  <c r="X1434" i="1"/>
  <c r="X1526" i="1"/>
  <c r="X1630" i="1"/>
  <c r="X1839" i="1"/>
  <c r="X2134" i="1"/>
  <c r="X1445" i="1"/>
  <c r="X1537" i="1"/>
  <c r="X1710" i="1"/>
  <c r="X1863" i="1"/>
  <c r="X2161" i="1"/>
  <c r="X1460" i="1"/>
  <c r="X1550" i="1"/>
  <c r="X1730" i="1"/>
  <c r="X1881" i="1"/>
  <c r="X2182" i="1"/>
  <c r="X1471" i="1"/>
  <c r="X1563" i="1"/>
  <c r="X1747" i="1"/>
  <c r="X2208" i="1"/>
  <c r="X1029" i="1"/>
  <c r="X1093" i="1"/>
  <c r="X1192" i="1"/>
  <c r="X1256" i="1"/>
  <c r="X1327" i="1"/>
  <c r="X1420" i="1"/>
  <c r="X1506" i="1"/>
  <c r="X1606" i="1"/>
  <c r="X1805" i="1"/>
  <c r="X2102" i="1"/>
  <c r="X1446" i="1"/>
  <c r="X1514" i="1"/>
  <c r="X1584" i="1"/>
  <c r="X1708" i="1"/>
  <c r="X1781" i="1"/>
  <c r="X1861" i="1"/>
  <c r="X1929" i="1"/>
  <c r="X2155" i="1"/>
  <c r="X2243" i="1"/>
  <c r="X2321" i="1"/>
  <c r="X2404" i="1"/>
  <c r="X1473" i="1"/>
  <c r="X1541" i="1"/>
  <c r="X1609" i="1"/>
  <c r="X1735" i="1"/>
  <c r="X1808" i="1"/>
  <c r="X1886" i="1"/>
  <c r="X2105" i="1"/>
  <c r="X2187" i="1"/>
  <c r="X2275" i="1"/>
  <c r="X2357" i="1"/>
  <c r="X2213" i="1"/>
  <c r="X2292" i="1"/>
  <c r="X2378" i="1"/>
  <c r="X1611" i="1"/>
  <c r="X1737" i="1"/>
  <c r="X1810" i="1"/>
  <c r="X1888" i="1"/>
  <c r="X2108" i="1"/>
  <c r="X2192" i="1"/>
  <c r="X2277" i="1"/>
  <c r="X2359" i="1"/>
  <c r="X2215" i="1"/>
  <c r="X2296" i="1"/>
  <c r="X2380" i="1"/>
  <c r="X2240" i="1"/>
  <c r="X2318" i="1"/>
  <c r="X2399" i="1"/>
  <c r="X2262" i="1"/>
  <c r="X2341" i="1"/>
  <c r="X2418" i="1"/>
  <c r="X1623" i="1"/>
  <c r="X1749" i="1"/>
  <c r="X1829" i="1"/>
  <c r="X2127" i="1"/>
  <c r="X2210" i="1"/>
  <c r="X2289" i="1"/>
  <c r="X2373" i="1"/>
  <c r="X270" i="1"/>
  <c r="X184" i="1"/>
  <c r="X448" i="1"/>
  <c r="X79" i="1"/>
  <c r="X227" i="1"/>
  <c r="X392" i="1"/>
  <c r="X53" i="1"/>
  <c r="X186" i="1"/>
  <c r="X340" i="1"/>
  <c r="X183" i="1"/>
  <c r="X23" i="1"/>
  <c r="X341" i="1"/>
  <c r="X101" i="1"/>
  <c r="X247" i="1"/>
  <c r="X427" i="1"/>
  <c r="X105" i="1"/>
  <c r="X143" i="1"/>
  <c r="X175" i="1"/>
  <c r="X458" i="1"/>
  <c r="X121" i="1"/>
  <c r="X267" i="1"/>
  <c r="X470" i="1"/>
  <c r="X104" i="1"/>
  <c r="X253" i="1"/>
  <c r="X440" i="1"/>
  <c r="X398" i="1"/>
  <c r="X655" i="1"/>
  <c r="X965" i="1"/>
  <c r="X1398" i="1"/>
  <c r="X214" i="1"/>
  <c r="X409" i="1"/>
  <c r="X628" i="1"/>
  <c r="X15" i="1"/>
  <c r="X89" i="1"/>
  <c r="X180" i="1"/>
  <c r="X257" i="1"/>
  <c r="X334" i="1"/>
  <c r="X422" i="1"/>
  <c r="X514" i="1"/>
  <c r="X609" i="1"/>
  <c r="X738" i="1"/>
  <c r="X838" i="1"/>
  <c r="X956" i="1"/>
  <c r="X1102" i="1"/>
  <c r="X1259" i="1"/>
  <c r="X376" i="1"/>
  <c r="X627" i="1"/>
  <c r="X954" i="1"/>
  <c r="X1325" i="1"/>
  <c r="X190" i="1"/>
  <c r="X367" i="1"/>
  <c r="X608" i="1"/>
  <c r="X966" i="1"/>
  <c r="X82" i="1"/>
  <c r="X173" i="1"/>
  <c r="X250" i="1"/>
  <c r="X325" i="1"/>
  <c r="X411" i="1"/>
  <c r="X505" i="1"/>
  <c r="X600" i="1"/>
  <c r="X727" i="1"/>
  <c r="X829" i="1"/>
  <c r="X947" i="1"/>
  <c r="X1082" i="1"/>
  <c r="X1245" i="1"/>
  <c r="X661" i="1"/>
  <c r="X782" i="1"/>
  <c r="X899" i="1"/>
  <c r="X1035" i="1"/>
  <c r="X1198" i="1"/>
  <c r="X1333" i="1"/>
  <c r="X252" i="1"/>
  <c r="X327" i="1"/>
  <c r="X415" i="1"/>
  <c r="X507" i="1"/>
  <c r="X602" i="1"/>
  <c r="X731" i="1"/>
  <c r="X831" i="1"/>
  <c r="X949" i="1"/>
  <c r="X1084" i="1"/>
  <c r="X1247" i="1"/>
  <c r="X534" i="1"/>
  <c r="X625" i="1"/>
  <c r="X754" i="1"/>
  <c r="X854" i="1"/>
  <c r="X984" i="1"/>
  <c r="X1129" i="1"/>
  <c r="X1290" i="1"/>
  <c r="X485" i="1"/>
  <c r="X579" i="1"/>
  <c r="X674" i="1"/>
  <c r="X807" i="1"/>
  <c r="X919" i="1"/>
  <c r="X1058" i="1"/>
  <c r="X1221" i="1"/>
  <c r="X1379" i="1"/>
  <c r="X639" i="1"/>
  <c r="X1132" i="1"/>
  <c r="X264" i="1"/>
  <c r="X799" i="1"/>
  <c r="X1010" i="1"/>
  <c r="X1167" i="1"/>
  <c r="X1310" i="1"/>
  <c r="X348" i="1"/>
  <c r="X412" i="1"/>
  <c r="X480" i="1"/>
  <c r="X552" i="1"/>
  <c r="X621" i="1"/>
  <c r="X728" i="1"/>
  <c r="X802" i="1"/>
  <c r="X882" i="1"/>
  <c r="X968" i="1"/>
  <c r="X1046" i="1"/>
  <c r="X1119" i="1"/>
  <c r="X1209" i="1"/>
  <c r="X1273" i="1"/>
  <c r="X1344" i="1"/>
  <c r="X1441" i="1"/>
  <c r="X1531" i="1"/>
  <c r="X1701" i="1"/>
  <c r="X1855" i="1"/>
  <c r="X2149" i="1"/>
  <c r="X365" i="1"/>
  <c r="X429" i="1"/>
  <c r="X497" i="1"/>
  <c r="X569" i="1"/>
  <c r="X638" i="1"/>
  <c r="X745" i="1"/>
  <c r="X825" i="1"/>
  <c r="X904" i="1"/>
  <c r="X997" i="1"/>
  <c r="X1063" i="1"/>
  <c r="X1141" i="1"/>
  <c r="X1226" i="1"/>
  <c r="X1297" i="1"/>
  <c r="X1386" i="1"/>
  <c r="X1466" i="1"/>
  <c r="X1554" i="1"/>
  <c r="X1738" i="1"/>
  <c r="X1889" i="1"/>
  <c r="X2196" i="1"/>
  <c r="X1477" i="1"/>
  <c r="X1569" i="1"/>
  <c r="X1757" i="1"/>
  <c r="X971" i="1"/>
  <c r="X1049" i="1"/>
  <c r="X1122" i="1"/>
  <c r="X1212" i="1"/>
  <c r="X1283" i="1"/>
  <c r="X1364" i="1"/>
  <c r="X1444" i="1"/>
  <c r="X1536" i="1"/>
  <c r="X1706" i="1"/>
  <c r="X1859" i="1"/>
  <c r="X2153" i="1"/>
  <c r="X1459" i="1"/>
  <c r="X1547" i="1"/>
  <c r="X1728" i="1"/>
  <c r="X1879" i="1"/>
  <c r="X2180" i="1"/>
  <c r="X1470" i="1"/>
  <c r="X1562" i="1"/>
  <c r="X1746" i="1"/>
  <c r="X2207" i="1"/>
  <c r="X1483" i="1"/>
  <c r="X1578" i="1"/>
  <c r="X1765" i="1"/>
  <c r="X1918" i="1"/>
  <c r="X959" i="1"/>
  <c r="X1037" i="1"/>
  <c r="X1107" i="1"/>
  <c r="X1200" i="1"/>
  <c r="X1264" i="1"/>
  <c r="X1335" i="1"/>
  <c r="X1428" i="1"/>
  <c r="X1520" i="1"/>
  <c r="X1622" i="1"/>
  <c r="X1826" i="1"/>
  <c r="X2126" i="1"/>
  <c r="X1456" i="1"/>
  <c r="X1524" i="1"/>
  <c r="X1592" i="1"/>
  <c r="X1718" i="1"/>
  <c r="X1789" i="1"/>
  <c r="X1869" i="1"/>
  <c r="X1942" i="1"/>
  <c r="X2167" i="1"/>
  <c r="X2256" i="1"/>
  <c r="X2331" i="1"/>
  <c r="X2412" i="1"/>
  <c r="X1481" i="1"/>
  <c r="X1549" i="1"/>
  <c r="X1617" i="1"/>
  <c r="X1743" i="1"/>
  <c r="X1818" i="1"/>
  <c r="X2115" i="1"/>
  <c r="X2201" i="1"/>
  <c r="X2283" i="1"/>
  <c r="X2367" i="1"/>
  <c r="X2226" i="1"/>
  <c r="X2304" i="1"/>
  <c r="X2386" i="1"/>
  <c r="X1619" i="1"/>
  <c r="X1745" i="1"/>
  <c r="X1820" i="1"/>
  <c r="X2120" i="1"/>
  <c r="X2206" i="1"/>
  <c r="X2285" i="1"/>
  <c r="X2369" i="1"/>
  <c r="X2228" i="1"/>
  <c r="X2307" i="1"/>
  <c r="X2390" i="1"/>
  <c r="X2252" i="1"/>
  <c r="X2328" i="1"/>
  <c r="X2409" i="1"/>
  <c r="X2272" i="1"/>
  <c r="X2354" i="1"/>
  <c r="X2428" i="1"/>
  <c r="X1631" i="1"/>
  <c r="X1759" i="1"/>
  <c r="X1840" i="1"/>
  <c r="X2135" i="1"/>
  <c r="X2222" i="1"/>
  <c r="X2299" i="1"/>
  <c r="X2383" i="1"/>
  <c r="X309" i="1"/>
  <c r="X223" i="1"/>
  <c r="X484" i="1"/>
  <c r="X95" i="1"/>
  <c r="X243" i="1"/>
  <c r="X417" i="1"/>
  <c r="X67" i="1"/>
  <c r="X211" i="1"/>
  <c r="X363" i="1"/>
  <c r="X254" i="1"/>
  <c r="X57" i="1"/>
  <c r="X395" i="1"/>
  <c r="X120" i="1"/>
  <c r="X263" i="1"/>
  <c r="X460" i="1"/>
  <c r="X203" i="1"/>
  <c r="X205" i="1"/>
  <c r="X187" i="1"/>
  <c r="X574" i="1"/>
  <c r="X136" i="1"/>
  <c r="X283" i="1"/>
  <c r="X518" i="1"/>
  <c r="X125" i="1"/>
  <c r="X269" i="1"/>
  <c r="X474" i="1"/>
  <c r="X418" i="1"/>
  <c r="X677" i="1"/>
  <c r="X1027" i="1"/>
  <c r="X24" i="1"/>
  <c r="X240" i="1"/>
  <c r="X433" i="1"/>
  <c r="X666" i="1"/>
  <c r="X25" i="1"/>
  <c r="X99" i="1"/>
  <c r="X191" i="1"/>
  <c r="X265" i="1"/>
  <c r="X346" i="1"/>
  <c r="X434" i="1"/>
  <c r="X530" i="1"/>
  <c r="X619" i="1"/>
  <c r="X748" i="1"/>
  <c r="X850" i="1"/>
  <c r="X970" i="1"/>
  <c r="X1121" i="1"/>
  <c r="X1282" i="1"/>
  <c r="X408" i="1"/>
  <c r="X665" i="1"/>
  <c r="X987" i="1"/>
  <c r="X1380" i="1"/>
  <c r="X206" i="1"/>
  <c r="X399" i="1"/>
  <c r="X618" i="1"/>
  <c r="X17" i="1"/>
  <c r="X92" i="1"/>
  <c r="X182" i="1"/>
  <c r="X258" i="1"/>
  <c r="X335" i="1"/>
  <c r="X423" i="1"/>
  <c r="X515" i="1"/>
  <c r="X610" i="1"/>
  <c r="X739" i="1"/>
  <c r="X839" i="1"/>
  <c r="X957" i="1"/>
  <c r="X1104" i="1"/>
  <c r="X1261" i="1"/>
  <c r="X671" i="1"/>
  <c r="X804" i="1"/>
  <c r="X914" i="1"/>
  <c r="X1051" i="1"/>
  <c r="X1214" i="1"/>
  <c r="X1366" i="1"/>
  <c r="X260" i="1"/>
  <c r="X337" i="1"/>
  <c r="X425" i="1"/>
  <c r="X519" i="1"/>
  <c r="X612" i="1"/>
  <c r="X741" i="1"/>
  <c r="X843" i="1"/>
  <c r="X962" i="1"/>
  <c r="X1106" i="1"/>
  <c r="X1263" i="1"/>
  <c r="X546" i="1"/>
  <c r="X635" i="1"/>
  <c r="X764" i="1"/>
  <c r="X871" i="1"/>
  <c r="X1006" i="1"/>
  <c r="X1150" i="1"/>
  <c r="X1306" i="1"/>
  <c r="X495" i="1"/>
  <c r="X594" i="1"/>
  <c r="X723" i="1"/>
  <c r="X823" i="1"/>
  <c r="X935" i="1"/>
  <c r="X1074" i="1"/>
  <c r="X1237" i="1"/>
  <c r="X1397" i="1"/>
  <c r="X734" i="1"/>
  <c r="X1222" i="1"/>
  <c r="X333" i="1"/>
  <c r="X837" i="1"/>
  <c r="X1028" i="1"/>
  <c r="X1191" i="1"/>
  <c r="X1326" i="1"/>
  <c r="X356" i="1"/>
  <c r="X420" i="1"/>
  <c r="X488" i="1"/>
  <c r="X560" i="1"/>
  <c r="X629" i="1"/>
  <c r="X736" i="1"/>
  <c r="X810" i="1"/>
  <c r="X895" i="1"/>
  <c r="X976" i="1"/>
  <c r="X1054" i="1"/>
  <c r="X1127" i="1"/>
  <c r="X1217" i="1"/>
  <c r="X1288" i="1"/>
  <c r="X1369" i="1"/>
  <c r="X1451" i="1"/>
  <c r="X1543" i="1"/>
  <c r="X1720" i="1"/>
  <c r="X1871" i="1"/>
  <c r="X2169" i="1"/>
  <c r="X373" i="1"/>
  <c r="X439" i="1"/>
  <c r="X509" i="1"/>
  <c r="X577" i="1"/>
  <c r="X646" i="1"/>
  <c r="X753" i="1"/>
  <c r="X833" i="1"/>
  <c r="X917" i="1"/>
  <c r="X1005" i="1"/>
  <c r="X1071" i="1"/>
  <c r="X1149" i="1"/>
  <c r="X1234" i="1"/>
  <c r="X1305" i="1"/>
  <c r="X1394" i="1"/>
  <c r="X1476" i="1"/>
  <c r="X1568" i="1"/>
  <c r="X1756" i="1"/>
  <c r="X1403" i="1"/>
  <c r="X1487" i="1"/>
  <c r="X1582" i="1"/>
  <c r="X1778" i="1"/>
  <c r="X1926" i="1"/>
  <c r="X985" i="1"/>
  <c r="X1057" i="1"/>
  <c r="X1130" i="1"/>
  <c r="X1220" i="1"/>
  <c r="X1291" i="1"/>
  <c r="X1376" i="1"/>
  <c r="X1458" i="1"/>
  <c r="X1546" i="1"/>
  <c r="X1724" i="1"/>
  <c r="X1875" i="1"/>
  <c r="X2176" i="1"/>
  <c r="X1469" i="1"/>
  <c r="X1561" i="1"/>
  <c r="X1744" i="1"/>
  <c r="X2202" i="1"/>
  <c r="X1482" i="1"/>
  <c r="X1572" i="1"/>
  <c r="X1764" i="1"/>
  <c r="X1917" i="1"/>
  <c r="X1407" i="1"/>
  <c r="X1493" i="1"/>
  <c r="X1589" i="1"/>
  <c r="X1786" i="1"/>
  <c r="X1939" i="1"/>
  <c r="X967" i="1"/>
  <c r="X1045" i="1"/>
  <c r="X1118" i="1"/>
  <c r="X1208" i="1"/>
  <c r="X1272" i="1"/>
  <c r="X1343" i="1"/>
  <c r="X1440" i="1"/>
  <c r="X1530" i="1"/>
  <c r="X1638" i="1"/>
  <c r="X1849" i="1"/>
  <c r="X2145" i="1"/>
  <c r="X1464" i="1"/>
  <c r="X1532" i="1"/>
  <c r="X1600" i="1"/>
  <c r="X1726" i="1"/>
  <c r="X1799" i="1"/>
  <c r="X1877" i="1"/>
  <c r="X2096" i="1"/>
  <c r="X2178" i="1"/>
  <c r="X2264" i="1"/>
  <c r="X2344" i="1"/>
  <c r="X2420" i="1"/>
  <c r="X1489" i="1"/>
  <c r="X1557" i="1"/>
  <c r="X1625" i="1"/>
  <c r="X1751" i="1"/>
  <c r="X1831" i="1"/>
  <c r="X2129" i="1"/>
  <c r="X2212" i="1"/>
  <c r="X2291" i="1"/>
  <c r="X2375" i="1"/>
  <c r="X2237" i="1"/>
  <c r="X2315" i="1"/>
  <c r="X2396" i="1"/>
  <c r="X1627" i="1"/>
  <c r="X1755" i="1"/>
  <c r="X1833" i="1"/>
  <c r="X2131" i="1"/>
  <c r="X2214" i="1"/>
  <c r="X2295" i="1"/>
  <c r="X2379" i="1"/>
  <c r="X2239" i="1"/>
  <c r="X2317" i="1"/>
  <c r="X2398" i="1"/>
  <c r="X2261" i="1"/>
  <c r="X2338" i="1"/>
  <c r="X2417" i="1"/>
  <c r="X2280" i="1"/>
  <c r="X2362" i="1"/>
  <c r="X1573" i="1"/>
  <c r="X1639" i="1"/>
  <c r="X1767" i="1"/>
  <c r="X1850" i="1"/>
  <c r="X1920" i="1"/>
  <c r="X2146" i="1"/>
  <c r="X2234" i="1"/>
  <c r="X2310" i="1"/>
  <c r="X2393" i="1"/>
  <c r="X353" i="1"/>
  <c r="X271" i="1"/>
  <c r="X542" i="1"/>
  <c r="X117" i="1"/>
  <c r="X259" i="1"/>
  <c r="X450" i="1"/>
  <c r="X83" i="1"/>
  <c r="X229" i="1"/>
  <c r="X394" i="1"/>
  <c r="X329" i="1"/>
  <c r="X84" i="1"/>
  <c r="X506" i="1"/>
  <c r="X135" i="1"/>
  <c r="X279" i="1"/>
  <c r="X510" i="1"/>
  <c r="X238" i="1"/>
  <c r="X239" i="1"/>
  <c r="X230" i="1"/>
  <c r="X28" i="1"/>
  <c r="X153" i="1"/>
  <c r="X306" i="1"/>
  <c r="X601" i="1"/>
  <c r="X138" i="1"/>
  <c r="X285" i="1"/>
  <c r="X524" i="1"/>
  <c r="X452" i="1"/>
  <c r="X746" i="1"/>
  <c r="X1059" i="1"/>
  <c r="X41" i="1"/>
  <c r="X256" i="1"/>
  <c r="X467" i="1"/>
  <c r="X725" i="1"/>
  <c r="X33" i="1"/>
  <c r="X115" i="1"/>
  <c r="X207" i="1"/>
  <c r="X273" i="1"/>
  <c r="X358" i="1"/>
  <c r="X444" i="1"/>
  <c r="X540" i="1"/>
  <c r="X631" i="1"/>
  <c r="X758" i="1"/>
  <c r="X860" i="1"/>
  <c r="X998" i="1"/>
  <c r="X1142" i="1"/>
  <c r="X1298" i="1"/>
  <c r="X442" i="1"/>
  <c r="X724" i="1"/>
  <c r="X1043" i="1"/>
  <c r="X32" i="1"/>
  <c r="X232" i="1"/>
  <c r="X419" i="1"/>
  <c r="X656" i="1"/>
  <c r="X26" i="1"/>
  <c r="X100" i="1"/>
  <c r="X192" i="1"/>
  <c r="X266" i="1"/>
  <c r="X347" i="1"/>
  <c r="X435" i="1"/>
  <c r="X531" i="1"/>
  <c r="X620" i="1"/>
  <c r="X749" i="1"/>
  <c r="X851" i="1"/>
  <c r="X972" i="1"/>
  <c r="X1123" i="1"/>
  <c r="X1284" i="1"/>
  <c r="X718" i="1"/>
  <c r="X814" i="1"/>
  <c r="X926" i="1"/>
  <c r="X1067" i="1"/>
  <c r="X1230" i="1"/>
  <c r="X1390" i="1"/>
  <c r="X268" i="1"/>
  <c r="X351" i="1"/>
  <c r="X437" i="1"/>
  <c r="X533" i="1"/>
  <c r="X624" i="1"/>
  <c r="X751" i="1"/>
  <c r="X853" i="1"/>
  <c r="X974" i="1"/>
  <c r="X1125" i="1"/>
  <c r="X1286" i="1"/>
  <c r="X556" i="1"/>
  <c r="X653" i="1"/>
  <c r="X774" i="1"/>
  <c r="X886" i="1"/>
  <c r="X1024" i="1"/>
  <c r="X1187" i="1"/>
  <c r="X1322" i="1"/>
  <c r="X511" i="1"/>
  <c r="X604" i="1"/>
  <c r="X733" i="1"/>
  <c r="X835" i="1"/>
  <c r="X951" i="1"/>
  <c r="X1090" i="1"/>
  <c r="X1253" i="1"/>
  <c r="X386" i="1"/>
  <c r="X778" i="1"/>
  <c r="X1341" i="1"/>
  <c r="X387" i="1"/>
  <c r="X874" i="1"/>
  <c r="X1044" i="1"/>
  <c r="X1207" i="1"/>
  <c r="X1342" i="1"/>
  <c r="X364" i="1"/>
  <c r="X428" i="1"/>
  <c r="X496" i="1"/>
  <c r="X568" i="1"/>
  <c r="X637" i="1"/>
  <c r="X744" i="1"/>
  <c r="X824" i="1"/>
  <c r="X903" i="1"/>
  <c r="X996" i="1"/>
  <c r="X1062" i="1"/>
  <c r="X1140" i="1"/>
  <c r="X1225" i="1"/>
  <c r="X1296" i="1"/>
  <c r="X1385" i="1"/>
  <c r="X1463" i="1"/>
  <c r="X1553" i="1"/>
  <c r="X1736" i="1"/>
  <c r="X1887" i="1"/>
  <c r="X2188" i="1"/>
  <c r="X381" i="1"/>
  <c r="X447" i="1"/>
  <c r="X517" i="1"/>
  <c r="X590" i="1"/>
  <c r="X660" i="1"/>
  <c r="X761" i="1"/>
  <c r="X841" i="1"/>
  <c r="X925" i="1"/>
  <c r="X1013" i="1"/>
  <c r="X1079" i="1"/>
  <c r="X1170" i="1"/>
  <c r="X1242" i="1"/>
  <c r="X1313" i="1"/>
  <c r="X1402" i="1"/>
  <c r="X1486" i="1"/>
  <c r="X1581" i="1"/>
  <c r="X1772" i="1"/>
  <c r="X1925" i="1"/>
  <c r="X1415" i="1"/>
  <c r="X1499" i="1"/>
  <c r="X1597" i="1"/>
  <c r="X1796" i="1"/>
  <c r="X2093" i="1"/>
  <c r="X999" i="1"/>
  <c r="X1065" i="1"/>
  <c r="X1143" i="1"/>
  <c r="X1228" i="1"/>
  <c r="X1299" i="1"/>
  <c r="X1388" i="1"/>
  <c r="X1468" i="1"/>
  <c r="X1558" i="1"/>
  <c r="X1740" i="1"/>
  <c r="X1891" i="1"/>
  <c r="X2198" i="1"/>
  <c r="X1479" i="1"/>
  <c r="X1571" i="1"/>
  <c r="X1762" i="1"/>
  <c r="X1915" i="1"/>
  <c r="X1406" i="1"/>
  <c r="X1492" i="1"/>
  <c r="X1588" i="1"/>
  <c r="X1785" i="1"/>
  <c r="X1938" i="1"/>
  <c r="X1419" i="1"/>
  <c r="X1503" i="1"/>
  <c r="X1605" i="1"/>
  <c r="X1804" i="1"/>
  <c r="X2101" i="1"/>
  <c r="X975" i="1"/>
  <c r="X1053" i="1"/>
  <c r="X1126" i="1"/>
  <c r="X1216" i="1"/>
  <c r="X1287" i="1"/>
  <c r="X1368" i="1"/>
  <c r="X1450" i="1"/>
  <c r="X1542" i="1"/>
  <c r="X1714" i="1"/>
  <c r="X1867" i="1"/>
  <c r="X2165" i="1"/>
  <c r="X1472" i="1"/>
  <c r="X1540" i="1"/>
  <c r="X1608" i="1"/>
  <c r="X1734" i="1"/>
  <c r="X1807" i="1"/>
  <c r="X1885" i="1"/>
  <c r="X2104" i="1"/>
  <c r="X2186" i="1"/>
  <c r="X2274" i="1"/>
  <c r="X2356" i="1"/>
  <c r="X1431" i="1"/>
  <c r="X1497" i="1"/>
  <c r="X1567" i="1"/>
  <c r="X1633" i="1"/>
  <c r="X1761" i="1"/>
  <c r="X1842" i="1"/>
  <c r="X1914" i="1"/>
  <c r="X2137" i="1"/>
  <c r="X2225" i="1"/>
  <c r="X2303" i="1"/>
  <c r="X2385" i="1"/>
  <c r="X2245" i="1"/>
  <c r="X2323" i="1"/>
  <c r="X2406" i="1"/>
  <c r="X1635" i="1"/>
  <c r="X1763" i="1"/>
  <c r="X1844" i="1"/>
  <c r="X1916" i="1"/>
  <c r="X2142" i="1"/>
  <c r="X2227" i="1"/>
  <c r="X2306" i="1"/>
  <c r="X2387" i="1"/>
  <c r="X2250" i="1"/>
  <c r="X2327" i="1"/>
  <c r="X2408" i="1"/>
  <c r="X2271" i="1"/>
  <c r="X2353" i="1"/>
  <c r="X2427" i="1"/>
  <c r="X2288" i="1"/>
  <c r="X2372" i="1"/>
  <c r="X1583" i="1"/>
  <c r="X1707" i="1"/>
  <c r="X1780" i="1"/>
  <c r="X1860" i="1"/>
  <c r="X1928" i="1"/>
  <c r="X2154" i="1"/>
  <c r="X2242" i="1"/>
  <c r="X2320" i="1"/>
  <c r="X2403" i="1"/>
  <c r="X441" i="1"/>
  <c r="X287" i="1"/>
  <c r="X633" i="1"/>
  <c r="X129" i="1"/>
  <c r="X275" i="1"/>
  <c r="X492" i="1"/>
  <c r="X96" i="1"/>
  <c r="X245" i="1"/>
  <c r="X424" i="1"/>
  <c r="X623" i="1"/>
  <c r="X119" i="1"/>
  <c r="X27" i="1"/>
  <c r="X149" i="1"/>
  <c r="X295" i="1"/>
  <c r="X591" i="1"/>
  <c r="X286" i="1"/>
  <c r="X310" i="1"/>
  <c r="X246" i="1"/>
  <c r="X40" i="1"/>
  <c r="X177" i="1"/>
  <c r="X326" i="1"/>
  <c r="X29" i="1"/>
  <c r="X161" i="1"/>
  <c r="X308" i="1"/>
  <c r="X611" i="1"/>
  <c r="X498" i="1"/>
  <c r="X766" i="1"/>
  <c r="X1116" i="1"/>
  <c r="X80" i="1"/>
  <c r="X272" i="1"/>
  <c r="X487" i="1"/>
  <c r="X747" i="1"/>
  <c r="X45" i="1"/>
  <c r="X123" i="1"/>
  <c r="X215" i="1"/>
  <c r="X281" i="1"/>
  <c r="X368" i="1"/>
  <c r="X456" i="1"/>
  <c r="X550" i="1"/>
  <c r="X641" i="1"/>
  <c r="X770" i="1"/>
  <c r="X875" i="1"/>
  <c r="X1014" i="1"/>
  <c r="X1171" i="1"/>
  <c r="X1314" i="1"/>
  <c r="X464" i="1"/>
  <c r="X756" i="1"/>
  <c r="X1091" i="1"/>
  <c r="X54" i="1"/>
  <c r="X248" i="1"/>
  <c r="X443" i="1"/>
  <c r="X678" i="1"/>
  <c r="X34" i="1"/>
  <c r="X116" i="1"/>
  <c r="X208" i="1"/>
  <c r="X274" i="1"/>
  <c r="X359" i="1"/>
  <c r="X445" i="1"/>
  <c r="X541" i="1"/>
  <c r="X632" i="1"/>
  <c r="X759" i="1"/>
  <c r="X861" i="1"/>
  <c r="X1000" i="1"/>
  <c r="X1144" i="1"/>
  <c r="X1300" i="1"/>
  <c r="X730" i="1"/>
  <c r="X830" i="1"/>
  <c r="X948" i="1"/>
  <c r="X1083" i="1"/>
  <c r="X1246" i="1"/>
  <c r="X210" i="1"/>
  <c r="X276" i="1"/>
  <c r="X361" i="1"/>
  <c r="X449" i="1"/>
  <c r="X543" i="1"/>
  <c r="X634" i="1"/>
  <c r="X763" i="1"/>
  <c r="X868" i="1"/>
  <c r="X1002" i="1"/>
  <c r="X1146" i="1"/>
  <c r="X1302" i="1"/>
  <c r="X566" i="1"/>
  <c r="X663" i="1"/>
  <c r="X786" i="1"/>
  <c r="X901" i="1"/>
  <c r="X1040" i="1"/>
  <c r="X1203" i="1"/>
  <c r="X1338" i="1"/>
  <c r="X525" i="1"/>
  <c r="X616" i="1"/>
  <c r="X743" i="1"/>
  <c r="X845" i="1"/>
  <c r="X964" i="1"/>
  <c r="X1115" i="1"/>
  <c r="X1269" i="1"/>
  <c r="X432" i="1"/>
  <c r="X836" i="1"/>
  <c r="X13" i="1"/>
  <c r="X453" i="1"/>
  <c r="X894" i="1"/>
  <c r="X1060" i="1"/>
  <c r="X1223" i="1"/>
  <c r="X1383" i="1"/>
  <c r="X372" i="1"/>
  <c r="X438" i="1"/>
  <c r="X508" i="1"/>
  <c r="X576" i="1"/>
  <c r="X645" i="1"/>
  <c r="X752" i="1"/>
  <c r="X832" i="1"/>
  <c r="X916" i="1"/>
  <c r="X1004" i="1"/>
  <c r="X1070" i="1"/>
  <c r="X1148" i="1"/>
  <c r="X1233" i="1"/>
  <c r="X1304" i="1"/>
  <c r="X1393" i="1"/>
  <c r="X1475" i="1"/>
  <c r="X1565" i="1"/>
  <c r="X1752" i="1"/>
  <c r="X323" i="1"/>
  <c r="X389" i="1"/>
  <c r="X455" i="1"/>
  <c r="X529" i="1"/>
  <c r="X598" i="1"/>
  <c r="X668" i="1"/>
  <c r="X769" i="1"/>
  <c r="X849" i="1"/>
  <c r="X945" i="1"/>
  <c r="X1023" i="1"/>
  <c r="X1087" i="1"/>
  <c r="X1186" i="1"/>
  <c r="X1250" i="1"/>
  <c r="X1321" i="1"/>
  <c r="X1414" i="1"/>
  <c r="X1498" i="1"/>
  <c r="X1596" i="1"/>
  <c r="X1795" i="1"/>
  <c r="X2092" i="1"/>
  <c r="X1423" i="1"/>
  <c r="X1509" i="1"/>
  <c r="X1613" i="1"/>
  <c r="X1812" i="1"/>
  <c r="X2111" i="1"/>
  <c r="X1007" i="1"/>
  <c r="X1073" i="1"/>
  <c r="X1151" i="1"/>
  <c r="X1236" i="1"/>
  <c r="X1307" i="1"/>
  <c r="X1396" i="1"/>
  <c r="X1478" i="1"/>
  <c r="X1570" i="1"/>
  <c r="X1758" i="1"/>
  <c r="X1405" i="1"/>
  <c r="X1491" i="1"/>
  <c r="X1587" i="1"/>
  <c r="X1783" i="1"/>
  <c r="X1936" i="1"/>
  <c r="X1418" i="1"/>
  <c r="X1502" i="1"/>
  <c r="X1604" i="1"/>
  <c r="X1803" i="1"/>
  <c r="X2100" i="1"/>
  <c r="X1427" i="1"/>
  <c r="X1519" i="1"/>
  <c r="X1621" i="1"/>
  <c r="X1825" i="1"/>
  <c r="X2125" i="1"/>
  <c r="X989" i="1"/>
  <c r="X1061" i="1"/>
  <c r="X1139" i="1"/>
  <c r="X1224" i="1"/>
  <c r="X1295" i="1"/>
  <c r="X1384" i="1"/>
  <c r="X1462" i="1"/>
  <c r="X1552" i="1"/>
  <c r="X1732" i="1"/>
  <c r="X1883" i="1"/>
  <c r="X2184" i="1"/>
  <c r="X1480" i="1"/>
  <c r="X1548" i="1"/>
  <c r="X1616" i="1"/>
  <c r="X1742" i="1"/>
  <c r="X1817" i="1"/>
  <c r="X2114" i="1"/>
  <c r="X2200" i="1"/>
  <c r="X2282" i="1"/>
  <c r="X2366" i="1"/>
  <c r="X1439" i="1"/>
  <c r="X1505" i="1"/>
  <c r="X1577" i="1"/>
  <c r="X1643" i="1"/>
  <c r="X1769" i="1"/>
  <c r="X1854" i="1"/>
  <c r="X1922" i="1"/>
  <c r="X2148" i="1"/>
  <c r="X2236" i="1"/>
  <c r="X2314" i="1"/>
  <c r="X2395" i="1"/>
  <c r="X2258" i="1"/>
  <c r="X2333" i="1"/>
  <c r="X2414" i="1"/>
  <c r="X1703" i="1"/>
  <c r="X1771" i="1"/>
  <c r="X1856" i="1"/>
  <c r="X1924" i="1"/>
  <c r="X2150" i="1"/>
  <c r="X2238" i="1"/>
  <c r="X2316" i="1"/>
  <c r="X2397" i="1"/>
  <c r="X2260" i="1"/>
  <c r="X2337" i="1"/>
  <c r="X2416" i="1"/>
  <c r="X2279" i="1"/>
  <c r="X2361" i="1"/>
  <c r="X2220" i="1"/>
  <c r="X2298" i="1"/>
  <c r="X2382" i="1"/>
  <c r="X1591" i="1"/>
  <c r="X1715" i="1"/>
  <c r="X1788" i="1"/>
  <c r="X1868" i="1"/>
  <c r="X1941" i="1"/>
  <c r="X2166" i="1"/>
  <c r="X2255" i="1"/>
  <c r="X2330" i="1"/>
  <c r="X2411" i="1"/>
  <c r="X61" i="1"/>
  <c r="X20" i="1"/>
  <c r="X332" i="1"/>
  <c r="X21" i="1"/>
  <c r="X144" i="1"/>
  <c r="X291" i="1"/>
  <c r="X554" i="1"/>
  <c r="X118" i="1"/>
  <c r="X261" i="1"/>
  <c r="X451" i="1"/>
  <c r="X65" i="1"/>
  <c r="X146" i="1"/>
  <c r="X39" i="1"/>
  <c r="X176" i="1"/>
  <c r="X320" i="1"/>
  <c r="X30" i="1"/>
  <c r="X384" i="1"/>
  <c r="X38" i="1"/>
  <c r="X278" i="1"/>
  <c r="X59" i="1"/>
  <c r="X194" i="1"/>
  <c r="X350" i="1"/>
  <c r="X48" i="1"/>
  <c r="X178" i="1"/>
  <c r="X328" i="1"/>
  <c r="X19" i="1"/>
  <c r="X538" i="1"/>
  <c r="X808" i="1"/>
  <c r="X1190" i="1"/>
  <c r="X98" i="1"/>
  <c r="X288" i="1"/>
  <c r="X513" i="1"/>
  <c r="X767" i="1"/>
  <c r="X55" i="1"/>
  <c r="X132" i="1"/>
  <c r="X225" i="1"/>
  <c r="X289" i="1"/>
  <c r="X378" i="1"/>
  <c r="X468" i="1"/>
  <c r="X562" i="1"/>
  <c r="X657" i="1"/>
  <c r="X780" i="1"/>
  <c r="X897" i="1"/>
  <c r="X1032" i="1"/>
  <c r="X1195" i="1"/>
  <c r="X1330" i="1"/>
  <c r="X486" i="1"/>
  <c r="X798" i="1"/>
  <c r="X1166" i="1"/>
  <c r="X70" i="1"/>
  <c r="X280" i="1"/>
  <c r="X477" i="1"/>
  <c r="X757" i="1"/>
  <c r="X47" i="1"/>
  <c r="X124" i="1"/>
  <c r="X216" i="1"/>
  <c r="X282" i="1"/>
  <c r="X369" i="1"/>
  <c r="X457" i="1"/>
  <c r="X551" i="1"/>
  <c r="X642" i="1"/>
  <c r="X771" i="1"/>
  <c r="X881" i="1"/>
  <c r="X1016" i="1"/>
  <c r="X1178" i="1"/>
  <c r="X1316" i="1"/>
  <c r="X740" i="1"/>
  <c r="X842" i="1"/>
  <c r="X958" i="1"/>
  <c r="X1105" i="1"/>
  <c r="X1262" i="1"/>
  <c r="X218" i="1"/>
  <c r="X284" i="1"/>
  <c r="X371" i="1"/>
  <c r="X459" i="1"/>
  <c r="X555" i="1"/>
  <c r="X644" i="1"/>
  <c r="X773" i="1"/>
  <c r="X885" i="1"/>
  <c r="X1018" i="1"/>
  <c r="X1183" i="1"/>
  <c r="X1318" i="1"/>
  <c r="X578" i="1"/>
  <c r="X673" i="1"/>
  <c r="X806" i="1"/>
  <c r="X918" i="1"/>
  <c r="X1056" i="1"/>
  <c r="X1219" i="1"/>
  <c r="X1375" i="1"/>
  <c r="X535" i="1"/>
  <c r="X626" i="1"/>
  <c r="X755" i="1"/>
  <c r="X855" i="1"/>
  <c r="X986" i="1"/>
  <c r="X1131" i="1"/>
  <c r="X1292" i="1"/>
  <c r="X476" i="1"/>
  <c r="X873" i="1"/>
  <c r="X62" i="1"/>
  <c r="X527" i="1"/>
  <c r="X906" i="1"/>
  <c r="X1076" i="1"/>
  <c r="X1239" i="1"/>
  <c r="X1399" i="1"/>
  <c r="X380" i="1"/>
  <c r="X446" i="1"/>
  <c r="X516" i="1"/>
  <c r="X589" i="1"/>
  <c r="X659" i="1"/>
  <c r="X760" i="1"/>
  <c r="X840" i="1"/>
  <c r="X924" i="1"/>
  <c r="X1012" i="1"/>
  <c r="X1078" i="1"/>
  <c r="X1169" i="1"/>
  <c r="X1241" i="1"/>
  <c r="X1312" i="1"/>
  <c r="X1401" i="1"/>
  <c r="X1485" i="1"/>
  <c r="X1580" i="1"/>
  <c r="X1770" i="1"/>
  <c r="X1923" i="1"/>
  <c r="X331" i="1"/>
  <c r="X397" i="1"/>
  <c r="X463" i="1"/>
  <c r="X537" i="1"/>
  <c r="X606" i="1"/>
  <c r="X676" i="1"/>
  <c r="X777" i="1"/>
  <c r="X857" i="1"/>
  <c r="X953" i="1"/>
  <c r="X1031" i="1"/>
  <c r="X1101" i="1"/>
  <c r="X1194" i="1"/>
  <c r="X1258" i="1"/>
  <c r="X1329" i="1"/>
  <c r="X1422" i="1"/>
  <c r="X1508" i="1"/>
  <c r="X1612" i="1"/>
  <c r="X1811" i="1"/>
  <c r="X2110" i="1"/>
  <c r="X1433" i="1"/>
  <c r="X1523" i="1"/>
  <c r="X1629" i="1"/>
  <c r="X1837" i="1"/>
  <c r="X2133" i="1"/>
  <c r="X1015" i="1"/>
  <c r="X1081" i="1"/>
  <c r="X1172" i="1"/>
  <c r="X1244" i="1"/>
  <c r="X1315" i="1"/>
  <c r="X1404" i="1"/>
  <c r="X1490" i="1"/>
  <c r="X1586" i="1"/>
  <c r="X1779" i="1"/>
  <c r="X1927" i="1"/>
  <c r="X1417" i="1"/>
  <c r="X1501" i="1"/>
  <c r="X1602" i="1"/>
  <c r="X1801" i="1"/>
  <c r="X2098" i="1"/>
  <c r="X1426" i="1"/>
  <c r="X1516" i="1"/>
  <c r="X1620" i="1"/>
  <c r="X1823" i="1"/>
  <c r="X2124" i="1"/>
  <c r="X1437" i="1"/>
  <c r="X1529" i="1"/>
  <c r="X1637" i="1"/>
  <c r="X1846" i="1"/>
  <c r="X2144" i="1"/>
  <c r="X1003" i="1"/>
  <c r="X1069" i="1"/>
  <c r="X1147" i="1"/>
  <c r="X1232" i="1"/>
  <c r="X1303" i="1"/>
  <c r="X1392" i="1"/>
  <c r="X1474" i="1"/>
  <c r="X1564" i="1"/>
  <c r="X1748" i="1"/>
  <c r="X2209" i="1"/>
  <c r="X1488" i="1"/>
  <c r="X1556" i="1"/>
  <c r="X1624" i="1"/>
  <c r="X1750" i="1"/>
  <c r="X1830" i="1"/>
  <c r="X2128" i="1"/>
  <c r="X2211" i="1"/>
  <c r="X2290" i="1"/>
  <c r="X2374" i="1"/>
  <c r="X1447" i="1"/>
  <c r="X1515" i="1"/>
  <c r="X1585" i="1"/>
  <c r="X1709" i="1"/>
  <c r="X1782" i="1"/>
  <c r="X1862" i="1"/>
  <c r="X1932" i="1"/>
  <c r="X2160" i="1"/>
  <c r="X2244" i="1"/>
  <c r="X2322" i="1"/>
  <c r="X2405" i="1"/>
  <c r="X2266" i="1"/>
  <c r="X2346" i="1"/>
  <c r="X2424" i="1"/>
  <c r="X1711" i="1"/>
  <c r="X1784" i="1"/>
  <c r="X1864" i="1"/>
  <c r="X1937" i="1"/>
  <c r="X2162" i="1"/>
  <c r="X2246" i="1"/>
  <c r="X2324" i="1"/>
  <c r="X2407" i="1"/>
  <c r="X2270" i="1"/>
  <c r="X2350" i="1"/>
  <c r="X2426" i="1"/>
  <c r="X2287" i="1"/>
  <c r="X2371" i="1"/>
  <c r="X2233" i="1"/>
  <c r="X2309" i="1"/>
  <c r="X2392" i="1"/>
  <c r="X1599" i="1"/>
  <c r="X1725" i="1"/>
  <c r="X1798" i="1"/>
  <c r="X1876" i="1"/>
  <c r="X2095" i="1"/>
  <c r="X2177" i="1"/>
  <c r="X2263" i="1"/>
  <c r="X2343" i="1"/>
  <c r="X2419" i="1"/>
  <c r="X93" i="1"/>
  <c r="X51" i="1"/>
  <c r="X360" i="1"/>
  <c r="X35" i="1"/>
  <c r="X164" i="1"/>
  <c r="X316" i="1"/>
  <c r="X643" i="1"/>
  <c r="X130" i="1"/>
  <c r="X277" i="1"/>
  <c r="X494" i="1"/>
  <c r="X107" i="1"/>
  <c r="X212" i="1"/>
  <c r="X58" i="1"/>
  <c r="X193" i="1"/>
  <c r="X342" i="1"/>
  <c r="X139" i="1"/>
  <c r="X532" i="1"/>
  <c r="X68" i="1"/>
  <c r="X319" i="1"/>
  <c r="X74" i="1"/>
  <c r="X217" i="1"/>
  <c r="X375" i="1"/>
  <c r="X60" i="1"/>
  <c r="X199" i="1"/>
  <c r="X352" i="1"/>
  <c r="X127" i="1"/>
  <c r="X558" i="1"/>
  <c r="X846" i="1"/>
  <c r="X1238" i="1"/>
  <c r="X131" i="1"/>
  <c r="X311" i="1"/>
  <c r="X539" i="1"/>
  <c r="X809" i="1"/>
  <c r="X63" i="1"/>
  <c r="X141" i="1"/>
  <c r="X233" i="1"/>
  <c r="X304" i="1"/>
  <c r="X390" i="1"/>
  <c r="X478" i="1"/>
  <c r="X572" i="1"/>
  <c r="X669" i="1"/>
  <c r="X800" i="1"/>
  <c r="X907" i="1"/>
  <c r="X1048" i="1"/>
  <c r="X1211" i="1"/>
  <c r="X1346" i="1"/>
  <c r="X526" i="1"/>
  <c r="X826" i="1"/>
  <c r="X1206" i="1"/>
  <c r="X88" i="1"/>
  <c r="X303" i="1"/>
  <c r="X503" i="1"/>
  <c r="X779" i="1"/>
  <c r="X56" i="1"/>
  <c r="X133" i="1"/>
  <c r="X226" i="1"/>
  <c r="X290" i="1"/>
  <c r="X379" i="1"/>
  <c r="X469" i="1"/>
  <c r="X563" i="1"/>
  <c r="X658" i="1"/>
  <c r="X781" i="1"/>
  <c r="X898" i="1"/>
  <c r="X1034" i="1"/>
  <c r="X1197" i="1"/>
  <c r="X1332" i="1"/>
  <c r="X750" i="1"/>
  <c r="X852" i="1"/>
  <c r="X973" i="1"/>
  <c r="X1124" i="1"/>
  <c r="X1285" i="1"/>
  <c r="X228" i="1"/>
  <c r="X292" i="1"/>
  <c r="X383" i="1"/>
  <c r="X471" i="1"/>
  <c r="X565" i="1"/>
  <c r="X662" i="1"/>
  <c r="X783" i="1"/>
  <c r="X900" i="1"/>
  <c r="X1036" i="1"/>
  <c r="X1199" i="1"/>
  <c r="X1334" i="1"/>
  <c r="X593" i="1"/>
  <c r="X722" i="1"/>
  <c r="X816" i="1"/>
  <c r="X934" i="1"/>
  <c r="X1072" i="1"/>
  <c r="X1235" i="1"/>
  <c r="X1395" i="1"/>
  <c r="X547" i="1"/>
  <c r="X636" i="1"/>
  <c r="X765" i="1"/>
  <c r="X872" i="1"/>
  <c r="X1008" i="1"/>
  <c r="X1152" i="1"/>
  <c r="X1308" i="1"/>
  <c r="X512" i="1"/>
  <c r="X936" i="1"/>
  <c r="X108" i="1"/>
  <c r="X586" i="1"/>
  <c r="X921" i="1"/>
  <c r="X1092" i="1"/>
  <c r="X1255" i="1"/>
  <c r="X322" i="1"/>
  <c r="X388" i="1"/>
  <c r="X454" i="1"/>
  <c r="X528" i="1"/>
  <c r="X597" i="1"/>
  <c r="X667" i="1"/>
  <c r="X768" i="1"/>
  <c r="X848" i="1"/>
  <c r="X940" i="1"/>
  <c r="X1022" i="1"/>
  <c r="X1086" i="1"/>
  <c r="X1185" i="1"/>
  <c r="X1249" i="1"/>
  <c r="X1320" i="1"/>
  <c r="X1411" i="1"/>
  <c r="X1495" i="1"/>
  <c r="X1594" i="1"/>
  <c r="X1791" i="1"/>
  <c r="X2088" i="1"/>
  <c r="X339" i="1"/>
  <c r="X405" i="1"/>
  <c r="X473" i="1"/>
  <c r="X545" i="1"/>
  <c r="X614" i="1"/>
  <c r="X721" i="1"/>
  <c r="X785" i="1"/>
  <c r="X870" i="1"/>
  <c r="X961" i="1"/>
  <c r="X1039" i="1"/>
  <c r="X1109" i="1"/>
  <c r="X1202" i="1"/>
  <c r="X1266" i="1"/>
  <c r="X1337" i="1"/>
  <c r="X1432" i="1"/>
  <c r="X1522" i="1"/>
  <c r="X1628" i="1"/>
  <c r="X1834" i="1"/>
  <c r="X2132" i="1"/>
  <c r="X1443" i="1"/>
  <c r="X1535" i="1"/>
  <c r="X1705" i="1"/>
  <c r="X1858" i="1"/>
  <c r="X2152" i="1"/>
  <c r="X1025" i="1"/>
  <c r="X1089" i="1"/>
  <c r="X1188" i="1"/>
  <c r="X1252" i="1"/>
  <c r="X1323" i="1"/>
  <c r="X1416" i="1"/>
  <c r="X1500" i="1"/>
  <c r="X1598" i="1"/>
  <c r="X1797" i="1"/>
  <c r="X2094" i="1"/>
  <c r="X1425" i="1"/>
  <c r="X1511" i="1"/>
  <c r="X1618" i="1"/>
  <c r="X1819" i="1"/>
  <c r="X2119" i="1"/>
  <c r="X1436" i="1"/>
  <c r="X1528" i="1"/>
  <c r="X1636" i="1"/>
  <c r="X1845" i="1"/>
  <c r="X2143" i="1"/>
  <c r="X1449" i="1"/>
  <c r="X1539" i="1"/>
  <c r="X1713" i="1"/>
  <c r="X1866" i="1"/>
  <c r="X2164" i="1"/>
  <c r="X1011" i="1"/>
  <c r="X1077" i="1"/>
  <c r="X1168" i="1"/>
  <c r="X1240" i="1"/>
  <c r="X1311" i="1"/>
  <c r="X1400" i="1"/>
  <c r="X1484" i="1"/>
  <c r="X1579" i="1"/>
  <c r="X1766" i="1"/>
  <c r="X1919" i="1"/>
  <c r="X1430" i="1"/>
  <c r="X1496" i="1"/>
  <c r="X1566" i="1"/>
  <c r="X1632" i="1"/>
  <c r="X1760" i="1"/>
  <c r="X1841" i="1"/>
  <c r="X2136" i="1"/>
  <c r="X2224" i="1"/>
  <c r="X2300" i="1"/>
  <c r="X2384" i="1"/>
  <c r="X1457" i="1"/>
  <c r="X1525" i="1"/>
  <c r="X1593" i="1"/>
  <c r="X1719" i="1"/>
  <c r="X1790" i="1"/>
  <c r="X1870" i="1"/>
  <c r="X1943" i="1"/>
  <c r="X2168" i="1"/>
  <c r="X2257" i="1"/>
  <c r="X2332" i="1"/>
  <c r="X2413" i="1"/>
  <c r="X2276" i="1"/>
  <c r="X2358" i="1"/>
  <c r="X1595" i="1"/>
  <c r="X1721" i="1"/>
  <c r="X1792" i="1"/>
  <c r="X1872" i="1"/>
  <c r="X2090" i="1"/>
  <c r="X2170" i="1"/>
  <c r="X2259" i="1"/>
  <c r="X2334" i="1"/>
  <c r="X2415" i="1"/>
  <c r="X2278" i="1"/>
  <c r="X2360" i="1"/>
  <c r="X2216" i="1"/>
  <c r="X2297" i="1"/>
  <c r="X2381" i="1"/>
  <c r="X2241" i="1"/>
  <c r="X2319" i="1"/>
  <c r="X2400" i="1"/>
  <c r="X1607" i="1"/>
  <c r="X1733" i="1"/>
  <c r="X1806" i="1"/>
  <c r="X1884" i="1"/>
  <c r="X2103" i="1"/>
  <c r="X2185" i="1"/>
  <c r="X2273" i="1"/>
  <c r="X2355" i="1"/>
  <c r="X2429" i="1"/>
  <c r="X162" i="1"/>
  <c r="X94" i="1"/>
  <c r="X385" i="1"/>
  <c r="X52" i="1"/>
  <c r="X185" i="1"/>
  <c r="X336" i="1"/>
  <c r="X22" i="1"/>
  <c r="X145" i="1"/>
  <c r="X293" i="1"/>
  <c r="X564" i="1"/>
  <c r="X163" i="1"/>
  <c r="X262" i="1"/>
  <c r="X69" i="1"/>
  <c r="X213" i="1"/>
  <c r="X374" i="1"/>
  <c r="X414" i="1"/>
  <c r="X31" i="1"/>
  <c r="X97" i="1"/>
  <c r="X370" i="1"/>
  <c r="X86" i="1"/>
  <c r="X235" i="1"/>
  <c r="X406" i="1"/>
  <c r="X75" i="1"/>
  <c r="X219" i="1"/>
  <c r="X382" i="1"/>
  <c r="X482" i="1"/>
  <c r="X585" i="1"/>
  <c r="X893" i="1"/>
  <c r="X1270" i="1"/>
  <c r="X150" i="1"/>
  <c r="X355" i="1"/>
  <c r="X559" i="1"/>
  <c r="X859" i="1"/>
  <c r="X71" i="1"/>
  <c r="X151" i="1"/>
  <c r="X241" i="1"/>
  <c r="X314" i="1"/>
  <c r="X400" i="1"/>
  <c r="X490" i="1"/>
  <c r="X587" i="1"/>
  <c r="X716" i="1"/>
  <c r="X812" i="1"/>
  <c r="X922" i="1"/>
  <c r="X1064" i="1"/>
  <c r="X1227" i="1"/>
  <c r="X1387" i="1"/>
  <c r="X548" i="1"/>
  <c r="X858" i="1"/>
  <c r="X1254" i="1"/>
  <c r="X122" i="1"/>
  <c r="X321" i="1"/>
  <c r="X549" i="1"/>
  <c r="X827" i="1"/>
  <c r="X64" i="1"/>
  <c r="X142" i="1"/>
  <c r="X234" i="1"/>
  <c r="X305" i="1"/>
  <c r="X391" i="1"/>
  <c r="X479" i="1"/>
  <c r="X573" i="1"/>
  <c r="X670" i="1"/>
  <c r="X801" i="1"/>
  <c r="X913" i="1"/>
  <c r="X1050" i="1"/>
  <c r="X1213" i="1"/>
  <c r="X1365" i="1"/>
  <c r="X762" i="1"/>
  <c r="X867" i="1"/>
  <c r="X1001" i="1"/>
  <c r="X1145" i="1"/>
  <c r="X1301" i="1"/>
  <c r="X236" i="1"/>
  <c r="X307" i="1"/>
  <c r="X393" i="1"/>
  <c r="X483" i="1"/>
  <c r="X575" i="1"/>
  <c r="X672" i="1"/>
  <c r="X805" i="1"/>
  <c r="X915" i="1"/>
  <c r="X1052" i="1"/>
  <c r="X1215" i="1"/>
  <c r="X1367" i="1"/>
  <c r="X603" i="1"/>
  <c r="X732" i="1"/>
  <c r="X834" i="1"/>
  <c r="X950" i="1"/>
  <c r="X1088" i="1"/>
  <c r="X1251" i="1"/>
  <c r="X461" i="1"/>
  <c r="X557" i="1"/>
  <c r="X654" i="1"/>
  <c r="X775" i="1"/>
  <c r="X887" i="1"/>
  <c r="X1026" i="1"/>
  <c r="X1189" i="1"/>
  <c r="X1324" i="1"/>
  <c r="X570" i="1"/>
  <c r="X1009" i="1"/>
  <c r="X170" i="1"/>
  <c r="X640" i="1"/>
  <c r="X937" i="1"/>
  <c r="X1117" i="1"/>
  <c r="X1271" i="1"/>
  <c r="X330" i="1"/>
  <c r="X396" i="1"/>
  <c r="X462" i="1"/>
  <c r="X536" i="1"/>
  <c r="X605" i="1"/>
  <c r="X675" i="1"/>
  <c r="X776" i="1"/>
  <c r="X856" i="1"/>
  <c r="X952" i="1"/>
  <c r="X1030" i="1"/>
  <c r="X1094" i="1"/>
  <c r="X1193" i="1"/>
  <c r="X1257" i="1"/>
  <c r="X1328" i="1"/>
  <c r="X1421" i="1"/>
  <c r="X1507" i="1"/>
  <c r="X1610" i="1"/>
  <c r="X1809" i="1"/>
  <c r="X2107" i="1"/>
  <c r="X349" i="1"/>
  <c r="X413" i="1"/>
  <c r="X481" i="1"/>
  <c r="X553" i="1"/>
  <c r="X622" i="1"/>
  <c r="X729" i="1"/>
  <c r="X803" i="1"/>
  <c r="X883" i="1"/>
  <c r="X969" i="1"/>
  <c r="X1047" i="1"/>
  <c r="X1120" i="1"/>
  <c r="X1210" i="1"/>
  <c r="X1281" i="1"/>
  <c r="X1345" i="1"/>
  <c r="X1442" i="1"/>
  <c r="X1534" i="1"/>
  <c r="X1704" i="1"/>
  <c r="X1857" i="1"/>
  <c r="X2151" i="1"/>
  <c r="X1453" i="1"/>
  <c r="X1545" i="1"/>
  <c r="X1723" i="1"/>
  <c r="X1874" i="1"/>
  <c r="X2175" i="1"/>
  <c r="X1033" i="1"/>
  <c r="X1103" i="1"/>
  <c r="X1196" i="1"/>
  <c r="X1260" i="1"/>
  <c r="X1331" i="1"/>
  <c r="X1424" i="1"/>
  <c r="X1510" i="1"/>
  <c r="X1614" i="1"/>
  <c r="X1813" i="1"/>
  <c r="X2112" i="1"/>
  <c r="X1435" i="1"/>
  <c r="X1527" i="1"/>
  <c r="X1634" i="1"/>
  <c r="X1843" i="1"/>
  <c r="X2141" i="1"/>
  <c r="X1448" i="1"/>
  <c r="X1538" i="1"/>
  <c r="X1712" i="1"/>
  <c r="X1865" i="1"/>
  <c r="X2163" i="1"/>
  <c r="X1461" i="1"/>
  <c r="X1551" i="1"/>
  <c r="X1731" i="1"/>
  <c r="X1882" i="1"/>
  <c r="X2183" i="1"/>
  <c r="X1019" i="1"/>
  <c r="X1085" i="1"/>
  <c r="X1184" i="1"/>
  <c r="X1248" i="1"/>
  <c r="X1319" i="1"/>
  <c r="X1410" i="1"/>
  <c r="X1494" i="1"/>
  <c r="X1590" i="1"/>
  <c r="X1787" i="1"/>
  <c r="X1940" i="1"/>
  <c r="X1438" i="1"/>
  <c r="X1504" i="1"/>
  <c r="X1576" i="1"/>
  <c r="X1640" i="1"/>
  <c r="X1768" i="1"/>
  <c r="X1851" i="1"/>
  <c r="X1921" i="1"/>
  <c r="X2147" i="1"/>
  <c r="X2235" i="1"/>
  <c r="X2313" i="1"/>
  <c r="X2394" i="1"/>
  <c r="X1465" i="1"/>
  <c r="X1533" i="1"/>
  <c r="X1601" i="1"/>
  <c r="X1727" i="1"/>
  <c r="X1800" i="1"/>
  <c r="X1878" i="1"/>
  <c r="X2097" i="1"/>
  <c r="X2179" i="1"/>
  <c r="X2265" i="1"/>
  <c r="X2345" i="1"/>
  <c r="X2423" i="1"/>
  <c r="X2284" i="1"/>
  <c r="X2368" i="1"/>
  <c r="X1603" i="1"/>
  <c r="X1729" i="1"/>
  <c r="X1802" i="1"/>
  <c r="X1880" i="1"/>
  <c r="X2099" i="1"/>
  <c r="X2181" i="1"/>
  <c r="X2269" i="1"/>
  <c r="X2349" i="1"/>
  <c r="X2425" i="1"/>
  <c r="X2286" i="1"/>
  <c r="X2370" i="1"/>
  <c r="X2229" i="1"/>
  <c r="X2308" i="1"/>
  <c r="X2391" i="1"/>
  <c r="X2253" i="1"/>
  <c r="X2329" i="1"/>
  <c r="X2410" i="1"/>
  <c r="X1615" i="1"/>
  <c r="X1741" i="1"/>
  <c r="X1816" i="1"/>
  <c r="X2113" i="1"/>
  <c r="X2199" i="1"/>
  <c r="X2281" i="1"/>
  <c r="X2365" i="1"/>
  <c r="X11" i="1"/>
  <c r="B1936" i="1"/>
  <c r="B1932" i="1" l="1"/>
  <c r="B1937" i="1"/>
  <c r="B1938" i="1"/>
  <c r="B1939" i="1"/>
  <c r="B1940" i="1"/>
  <c r="B1941" i="1"/>
  <c r="B1942" i="1"/>
  <c r="B1943" i="1"/>
  <c r="T1944" i="1"/>
  <c r="R1944" i="1"/>
  <c r="S1938" i="1"/>
  <c r="S1939" i="1"/>
  <c r="S1940" i="1"/>
  <c r="S1941" i="1"/>
  <c r="S1942" i="1"/>
  <c r="S1943" i="1"/>
  <c r="S1937" i="1"/>
  <c r="S1936" i="1"/>
  <c r="T1934" i="1"/>
  <c r="R1929" i="1"/>
  <c r="S1929" i="1" s="1"/>
  <c r="R1932" i="1"/>
  <c r="R1934" i="1" s="1"/>
  <c r="S1944" i="1" l="1"/>
  <c r="S1932" i="1"/>
  <c r="S1934" i="1" s="1"/>
  <c r="B503" i="1"/>
  <c r="B504" i="1"/>
  <c r="B505" i="1"/>
  <c r="B506" i="1"/>
  <c r="B507" i="1"/>
  <c r="B508" i="1"/>
  <c r="B509" i="1"/>
  <c r="B510" i="1"/>
  <c r="B511" i="1"/>
  <c r="B512" i="1"/>
  <c r="B513" i="1"/>
  <c r="B514" i="1"/>
  <c r="B515" i="1"/>
  <c r="B516" i="1"/>
  <c r="B517" i="1"/>
  <c r="B518" i="1"/>
  <c r="B519"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603" i="1"/>
  <c r="B587" i="1"/>
  <c r="B588" i="1"/>
  <c r="B589" i="1"/>
  <c r="B590" i="1"/>
  <c r="B591" i="1"/>
  <c r="B592" i="1"/>
  <c r="B593" i="1"/>
  <c r="B594" i="1"/>
  <c r="B595" i="1"/>
  <c r="B596" i="1"/>
  <c r="B597" i="1"/>
  <c r="B598" i="1"/>
  <c r="B599" i="1"/>
  <c r="B600" i="1"/>
  <c r="B601" i="1"/>
  <c r="B602"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586" i="1"/>
  <c r="B585" i="1"/>
  <c r="B653" i="1"/>
  <c r="B678" i="1"/>
  <c r="B683" i="1"/>
  <c r="B714"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30" i="1"/>
  <c r="B792" i="1"/>
  <c r="B793" i="1"/>
  <c r="B815" i="1"/>
  <c r="B816" i="1"/>
  <c r="B814" i="1"/>
  <c r="B813" i="1"/>
  <c r="B976" i="1"/>
  <c r="B1152" i="1"/>
  <c r="B1158" i="1"/>
  <c r="B1159" i="1"/>
  <c r="B1576" i="1"/>
  <c r="B1698" i="1"/>
  <c r="B1752" i="1"/>
  <c r="B1765" i="1" l="1"/>
  <c r="B1854" i="1"/>
  <c r="B1895"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101" i="1"/>
  <c r="B1102" i="1"/>
  <c r="B1103" i="1"/>
  <c r="B1104" i="1"/>
  <c r="B1105" i="1"/>
  <c r="B1106" i="1"/>
  <c r="B1107" i="1"/>
  <c r="B1108" i="1"/>
  <c r="B1109" i="1"/>
  <c r="B1110" i="1"/>
  <c r="B1114" i="1"/>
  <c r="B1115" i="1"/>
  <c r="B1116" i="1"/>
  <c r="B1117" i="1"/>
  <c r="B1118" i="1"/>
  <c r="B1119" i="1"/>
  <c r="B1120" i="1"/>
  <c r="B1121" i="1"/>
  <c r="B1122" i="1"/>
  <c r="B1123" i="1"/>
  <c r="B1124" i="1"/>
  <c r="B1125" i="1"/>
  <c r="B1126" i="1"/>
  <c r="B1127" i="1"/>
  <c r="B1128" i="1"/>
  <c r="B1129" i="1"/>
  <c r="B1130" i="1"/>
  <c r="B1131" i="1"/>
  <c r="B1132" i="1"/>
  <c r="B1138" i="1"/>
  <c r="B1139" i="1"/>
  <c r="B1140" i="1"/>
  <c r="B1141" i="1"/>
  <c r="B1142" i="1"/>
  <c r="B1143" i="1"/>
  <c r="B1144" i="1"/>
  <c r="B1145" i="1"/>
  <c r="B1146" i="1"/>
  <c r="B1147" i="1"/>
  <c r="B1148" i="1"/>
  <c r="B1149" i="1"/>
  <c r="B1150" i="1"/>
  <c r="B1151" i="1"/>
  <c r="B1166" i="1"/>
  <c r="B1167" i="1"/>
  <c r="B1168" i="1"/>
  <c r="B1169" i="1"/>
  <c r="B1170" i="1"/>
  <c r="B1171" i="1"/>
  <c r="B1172" i="1"/>
  <c r="B1178" i="1"/>
  <c r="B1179"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64" i="1"/>
  <c r="B1365" i="1"/>
  <c r="B1366" i="1"/>
  <c r="B1367" i="1"/>
  <c r="B1368" i="1"/>
  <c r="B1369" i="1"/>
  <c r="B1370" i="1"/>
  <c r="B1375" i="1"/>
  <c r="B1376" i="1"/>
  <c r="B1377" i="1"/>
  <c r="B1378" i="1"/>
  <c r="B1379" i="1"/>
  <c r="B1380"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10" i="1"/>
  <c r="B1411"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4" i="1"/>
  <c r="B1515" i="1"/>
  <c r="B1516"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61" i="1"/>
  <c r="B1562" i="1"/>
  <c r="B1563" i="1"/>
  <c r="B1564" i="1"/>
  <c r="B1565" i="1"/>
  <c r="B1566" i="1"/>
  <c r="B1567" i="1"/>
  <c r="B1568" i="1"/>
  <c r="B1569" i="1"/>
  <c r="B1570" i="1"/>
  <c r="B1571" i="1"/>
  <c r="B1572" i="1"/>
  <c r="B1573"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701" i="1"/>
  <c r="B1703" i="1"/>
  <c r="B1704" i="1"/>
  <c r="B1705" i="1"/>
  <c r="B1706" i="1"/>
  <c r="B1707" i="1"/>
  <c r="B1708" i="1"/>
  <c r="B1709" i="1"/>
  <c r="B1710" i="1"/>
  <c r="B1711" i="1"/>
  <c r="B1712" i="1"/>
  <c r="B1713" i="1"/>
  <c r="B1714" i="1"/>
  <c r="B1715"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5" i="1"/>
  <c r="B1756" i="1"/>
  <c r="B1757" i="1"/>
  <c r="B1758" i="1"/>
  <c r="B1759" i="1"/>
  <c r="B1760" i="1"/>
  <c r="B1761" i="1"/>
  <c r="B1762" i="1"/>
  <c r="B1763" i="1"/>
  <c r="B1764" i="1"/>
  <c r="B1766" i="1"/>
  <c r="B1767" i="1"/>
  <c r="B1768" i="1"/>
  <c r="B1769" i="1"/>
  <c r="B1770" i="1"/>
  <c r="B1771" i="1"/>
  <c r="B1772" i="1"/>
  <c r="B1773" i="1"/>
  <c r="B1774" i="1"/>
  <c r="B1775" i="1"/>
  <c r="B1778" i="1"/>
  <c r="B1779" i="1"/>
  <c r="B1780" i="1"/>
  <c r="B1781" i="1"/>
  <c r="B1782" i="1"/>
  <c r="B1783" i="1"/>
  <c r="B1784" i="1"/>
  <c r="B1785" i="1"/>
  <c r="B1786" i="1"/>
  <c r="B1787" i="1"/>
  <c r="B1788" i="1"/>
  <c r="B1789" i="1"/>
  <c r="B1790" i="1"/>
  <c r="B1791" i="1"/>
  <c r="B1792" i="1"/>
  <c r="B1795" i="1"/>
  <c r="B1796" i="1"/>
  <c r="B1797" i="1"/>
  <c r="B1798" i="1"/>
  <c r="B1799" i="1"/>
  <c r="B1800" i="1"/>
  <c r="B1801" i="1"/>
  <c r="B1802" i="1"/>
  <c r="B1803" i="1"/>
  <c r="B1804" i="1"/>
  <c r="B1805" i="1"/>
  <c r="B1806" i="1"/>
  <c r="B1807" i="1"/>
  <c r="B1808" i="1"/>
  <c r="B1809" i="1"/>
  <c r="B1810" i="1"/>
  <c r="B1811" i="1"/>
  <c r="B1812" i="1"/>
  <c r="B1813" i="1"/>
  <c r="B1816" i="1"/>
  <c r="B1817" i="1"/>
  <c r="B1818" i="1"/>
  <c r="B1819" i="1"/>
  <c r="B1820" i="1"/>
  <c r="B1823" i="1"/>
  <c r="B1825" i="1"/>
  <c r="B1826" i="1"/>
  <c r="B1829" i="1"/>
  <c r="B1830" i="1"/>
  <c r="B1831" i="1"/>
  <c r="B1832" i="1"/>
  <c r="B1833" i="1"/>
  <c r="B1834" i="1"/>
  <c r="B1837" i="1"/>
  <c r="B1838" i="1"/>
  <c r="B1839" i="1"/>
  <c r="B1840" i="1"/>
  <c r="B1841" i="1"/>
  <c r="B1842" i="1"/>
  <c r="B1843" i="1"/>
  <c r="B1844" i="1"/>
  <c r="B1845" i="1"/>
  <c r="B1846" i="1"/>
  <c r="B1849" i="1"/>
  <c r="B1850" i="1"/>
  <c r="B1851"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4" i="1"/>
  <c r="B1896" i="1"/>
  <c r="B1897" i="1"/>
  <c r="B1898" i="1"/>
  <c r="B1899" i="1"/>
  <c r="B1900" i="1"/>
  <c r="B1901" i="1"/>
  <c r="B1902" i="1"/>
  <c r="B1903" i="1"/>
  <c r="B1904" i="1"/>
  <c r="B1905" i="1"/>
  <c r="B1906" i="1"/>
  <c r="B1907" i="1"/>
  <c r="B1908" i="1"/>
  <c r="B1909" i="1"/>
  <c r="B1910" i="1"/>
  <c r="B1911" i="1"/>
  <c r="B1914" i="1"/>
  <c r="B1915" i="1"/>
  <c r="B1916" i="1"/>
  <c r="B1917" i="1"/>
  <c r="B1918" i="1"/>
  <c r="B1919" i="1"/>
  <c r="B1920" i="1"/>
  <c r="B1921" i="1"/>
  <c r="B1922" i="1"/>
  <c r="B1923" i="1"/>
  <c r="B1924" i="1"/>
  <c r="B1925" i="1"/>
  <c r="B1926" i="1"/>
  <c r="B1927" i="1"/>
  <c r="B1928" i="1"/>
  <c r="B1929" i="1"/>
  <c r="B1022"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996" i="1"/>
  <c r="B985" i="1"/>
  <c r="B986" i="1"/>
  <c r="B987" i="1"/>
  <c r="B988" i="1"/>
  <c r="B989" i="1"/>
  <c r="B984"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7" i="1"/>
  <c r="B947" i="1"/>
  <c r="B945" i="1"/>
  <c r="B946" i="1"/>
  <c r="B948" i="1"/>
  <c r="B940" i="1"/>
  <c r="B935" i="1"/>
  <c r="B936" i="1"/>
  <c r="B937" i="1"/>
  <c r="B934" i="1"/>
  <c r="B914" i="1"/>
  <c r="B915" i="1"/>
  <c r="B916" i="1"/>
  <c r="B917" i="1"/>
  <c r="B918" i="1"/>
  <c r="B919" i="1"/>
  <c r="B920" i="1"/>
  <c r="B921" i="1"/>
  <c r="B922" i="1"/>
  <c r="B923" i="1"/>
  <c r="B924" i="1"/>
  <c r="B925" i="1"/>
  <c r="B926" i="1"/>
  <c r="B927" i="1"/>
  <c r="B913" i="1"/>
  <c r="B894" i="1"/>
  <c r="B895" i="1"/>
  <c r="B896" i="1"/>
  <c r="B897" i="1"/>
  <c r="B898" i="1"/>
  <c r="B899" i="1"/>
  <c r="B900" i="1"/>
  <c r="B901" i="1"/>
  <c r="B902" i="1"/>
  <c r="B903" i="1"/>
  <c r="B904" i="1"/>
  <c r="B905" i="1"/>
  <c r="B906" i="1"/>
  <c r="B907" i="1"/>
  <c r="B893" i="1"/>
  <c r="B882" i="1"/>
  <c r="B883" i="1"/>
  <c r="B884" i="1"/>
  <c r="B885" i="1"/>
  <c r="B886" i="1"/>
  <c r="B887" i="1"/>
  <c r="B881" i="1"/>
  <c r="B868" i="1"/>
  <c r="B869" i="1"/>
  <c r="B870" i="1"/>
  <c r="B871" i="1"/>
  <c r="B872" i="1"/>
  <c r="B873" i="1"/>
  <c r="B874" i="1"/>
  <c r="B875" i="1"/>
  <c r="B867" i="1"/>
  <c r="B861" i="1"/>
  <c r="B860" i="1"/>
  <c r="B82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654" i="1"/>
  <c r="B655" i="1"/>
  <c r="B656" i="1"/>
  <c r="B657" i="1"/>
  <c r="B658" i="1"/>
  <c r="B659" i="1"/>
  <c r="B660" i="1"/>
  <c r="B661" i="1"/>
  <c r="B662" i="1"/>
  <c r="B663" i="1"/>
  <c r="B664" i="1"/>
  <c r="B665" i="1"/>
  <c r="B666" i="1"/>
  <c r="B667" i="1"/>
  <c r="B668" i="1"/>
  <c r="B669" i="1"/>
  <c r="B670" i="1"/>
  <c r="B671" i="1"/>
  <c r="B672" i="1"/>
  <c r="B673" i="1"/>
  <c r="B674" i="1"/>
  <c r="B675" i="1"/>
  <c r="B676" i="1"/>
  <c r="B677" i="1"/>
  <c r="T1776" i="1"/>
  <c r="S1776" i="1"/>
  <c r="R1776" i="1"/>
  <c r="B15" i="1"/>
  <c r="B17" i="1"/>
  <c r="B19" i="1"/>
  <c r="B20" i="1"/>
  <c r="B21" i="1"/>
  <c r="B22" i="1"/>
  <c r="B23" i="1"/>
  <c r="B24" i="1"/>
  <c r="B25" i="1"/>
  <c r="B26" i="1"/>
  <c r="B27" i="1"/>
  <c r="B28" i="1"/>
  <c r="B29" i="1"/>
  <c r="B30" i="1"/>
  <c r="B31" i="1"/>
  <c r="B32" i="1"/>
  <c r="B33" i="1"/>
  <c r="B34" i="1"/>
  <c r="B35" i="1"/>
  <c r="B37" i="1"/>
  <c r="B38" i="1"/>
  <c r="B39" i="1"/>
  <c r="B43" i="1"/>
  <c r="B44" i="1"/>
  <c r="B45" i="1"/>
  <c r="B46" i="1"/>
  <c r="B47" i="1"/>
  <c r="B48" i="1"/>
  <c r="B50" i="1"/>
  <c r="B51" i="1"/>
  <c r="B52" i="1"/>
  <c r="B53" i="1"/>
  <c r="B54" i="1"/>
  <c r="B55" i="1"/>
  <c r="B56" i="1"/>
  <c r="B57" i="1"/>
  <c r="B58" i="1"/>
  <c r="B59" i="1"/>
  <c r="B60" i="1"/>
  <c r="B61" i="1"/>
  <c r="B62" i="1"/>
  <c r="B63" i="1"/>
  <c r="B64" i="1"/>
  <c r="B65" i="1"/>
  <c r="B66" i="1"/>
  <c r="B67" i="1"/>
  <c r="B68" i="1"/>
  <c r="B69" i="1"/>
  <c r="B70" i="1"/>
  <c r="B71" i="1"/>
  <c r="B72" i="1"/>
  <c r="B74" i="1"/>
  <c r="B75" i="1"/>
  <c r="B76" i="1"/>
  <c r="B78" i="1"/>
  <c r="B79" i="1"/>
  <c r="B80" i="1"/>
  <c r="B81" i="1"/>
  <c r="B82" i="1"/>
  <c r="B83" i="1"/>
  <c r="B84" i="1"/>
  <c r="B85" i="1"/>
  <c r="B86" i="1"/>
  <c r="B87" i="1"/>
  <c r="B88" i="1"/>
  <c r="B89" i="1"/>
  <c r="B90" i="1"/>
  <c r="B92" i="1"/>
  <c r="B93" i="1"/>
  <c r="B94" i="1"/>
  <c r="B95" i="1"/>
  <c r="B96" i="1"/>
  <c r="B97" i="1"/>
  <c r="B98" i="1"/>
  <c r="B99" i="1"/>
  <c r="B100" i="1"/>
  <c r="B101" i="1"/>
  <c r="B102" i="1"/>
  <c r="B103" i="1"/>
  <c r="B104" i="1"/>
  <c r="B105" i="1"/>
  <c r="B106" i="1"/>
  <c r="B107" i="1"/>
  <c r="B108" i="1"/>
  <c r="B115" i="1"/>
  <c r="B116" i="1"/>
  <c r="B117" i="1"/>
  <c r="B118" i="1"/>
  <c r="B119" i="1"/>
  <c r="B120" i="1"/>
  <c r="B121" i="1"/>
  <c r="B122" i="1"/>
  <c r="B123" i="1"/>
  <c r="B124" i="1"/>
  <c r="B125" i="1"/>
  <c r="B126" i="1"/>
  <c r="B127" i="1"/>
  <c r="B128" i="1"/>
  <c r="B129" i="1"/>
  <c r="B130" i="1"/>
  <c r="B131" i="1"/>
  <c r="B132" i="1"/>
  <c r="B133" i="1"/>
  <c r="B134" i="1"/>
  <c r="B135" i="1"/>
  <c r="B136" i="1"/>
  <c r="B138" i="1"/>
  <c r="B139" i="1"/>
  <c r="B140" i="1"/>
  <c r="B141" i="1"/>
  <c r="B142" i="1"/>
  <c r="B143" i="1"/>
  <c r="B144" i="1"/>
  <c r="B145" i="1"/>
  <c r="B146" i="1"/>
  <c r="B147" i="1"/>
  <c r="B149" i="1"/>
  <c r="B150" i="1"/>
  <c r="B151" i="1"/>
  <c r="B152" i="1"/>
  <c r="B153" i="1"/>
  <c r="B161" i="1"/>
  <c r="B162" i="1"/>
  <c r="B163" i="1"/>
  <c r="B164" i="1"/>
  <c r="B166" i="1"/>
  <c r="B170" i="1"/>
  <c r="B171" i="1"/>
  <c r="B173" i="1"/>
  <c r="B174" i="1"/>
  <c r="B175" i="1"/>
  <c r="B176" i="1"/>
  <c r="B177" i="1"/>
  <c r="B178" i="1"/>
  <c r="B179" i="1"/>
  <c r="B180" i="1"/>
  <c r="B181" i="1"/>
  <c r="B182" i="1"/>
  <c r="B183" i="1"/>
  <c r="B184" i="1"/>
  <c r="B185" i="1"/>
  <c r="B186" i="1"/>
  <c r="B187" i="1"/>
  <c r="B190" i="1"/>
  <c r="B191" i="1"/>
  <c r="B192" i="1"/>
  <c r="B193" i="1"/>
  <c r="B194" i="1"/>
  <c r="B199" i="1"/>
  <c r="B203" i="1"/>
  <c r="B205" i="1"/>
  <c r="B206" i="1"/>
  <c r="B207" i="1"/>
  <c r="B208" i="1"/>
  <c r="B209" i="1"/>
  <c r="B210" i="1"/>
  <c r="B211" i="1"/>
  <c r="B212" i="1"/>
  <c r="B213" i="1"/>
  <c r="B214" i="1"/>
  <c r="B215" i="1"/>
  <c r="B216" i="1"/>
  <c r="B217" i="1"/>
  <c r="B218" i="1"/>
  <c r="B219" i="1"/>
  <c r="B220"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303" i="1"/>
  <c r="B304" i="1"/>
  <c r="B305" i="1"/>
  <c r="B306" i="1"/>
  <c r="B307" i="1"/>
  <c r="B308" i="1"/>
  <c r="B309" i="1"/>
  <c r="B310" i="1"/>
  <c r="B311"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716" i="1"/>
  <c r="B717" i="1"/>
  <c r="B718" i="1"/>
  <c r="B719" i="1"/>
  <c r="B720" i="1"/>
  <c r="B721" i="1"/>
  <c r="B722" i="1"/>
  <c r="B723" i="1"/>
  <c r="B724" i="1"/>
  <c r="B725" i="1"/>
  <c r="B726" i="1"/>
  <c r="B727" i="1"/>
  <c r="B728" i="1"/>
  <c r="B729" i="1"/>
  <c r="B798" i="1"/>
  <c r="B799" i="1"/>
  <c r="B800" i="1"/>
  <c r="B801" i="1"/>
  <c r="B802" i="1"/>
  <c r="B803" i="1"/>
  <c r="B804" i="1"/>
  <c r="B805" i="1"/>
  <c r="B806" i="1"/>
  <c r="B807" i="1"/>
  <c r="B808" i="1"/>
  <c r="B809" i="1"/>
  <c r="B810" i="1"/>
  <c r="B811" i="1"/>
  <c r="B812"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R1922" i="1" l="1"/>
  <c r="S1922" i="1" s="1"/>
  <c r="R1923" i="1"/>
  <c r="S1923" i="1" s="1"/>
  <c r="T1930" i="1"/>
  <c r="R1928" i="1"/>
  <c r="S1928" i="1" s="1"/>
  <c r="R1927" i="1"/>
  <c r="S1927" i="1" s="1"/>
  <c r="R1926" i="1"/>
  <c r="S1926" i="1" s="1"/>
  <c r="R1925" i="1"/>
  <c r="S1925" i="1" s="1"/>
  <c r="R1924" i="1"/>
  <c r="S1924" i="1" s="1"/>
  <c r="R1921" i="1"/>
  <c r="S1921" i="1" s="1"/>
  <c r="R1920" i="1"/>
  <c r="S1920" i="1" s="1"/>
  <c r="R1919" i="1"/>
  <c r="S1919" i="1" s="1"/>
  <c r="R1918" i="1"/>
  <c r="S1918" i="1" s="1"/>
  <c r="R1917" i="1"/>
  <c r="S1917" i="1" s="1"/>
  <c r="R1916" i="1"/>
  <c r="S1916" i="1" s="1"/>
  <c r="R1915" i="1"/>
  <c r="S1915" i="1" s="1"/>
  <c r="R1914" i="1"/>
  <c r="S1914" i="1" s="1"/>
  <c r="S1930" i="1" l="1"/>
  <c r="R1930" i="1"/>
  <c r="S1912" i="1"/>
  <c r="R1911" i="1"/>
  <c r="R1910" i="1"/>
  <c r="R1909" i="1"/>
  <c r="R1908" i="1"/>
  <c r="R1907" i="1"/>
  <c r="R1906" i="1"/>
  <c r="R1905" i="1"/>
  <c r="R1904" i="1"/>
  <c r="R1903" i="1"/>
  <c r="R1902" i="1"/>
  <c r="T1902" i="1" s="1"/>
  <c r="X1902" i="1" s="1"/>
  <c r="R1896" i="1"/>
  <c r="T1896" i="1" s="1"/>
  <c r="X1896" i="1" s="1"/>
  <c r="R1895" i="1"/>
  <c r="T1895" i="1" s="1"/>
  <c r="X1895" i="1" s="1"/>
  <c r="R1894" i="1"/>
  <c r="T1894" i="1" s="1"/>
  <c r="X1894" i="1" s="1"/>
  <c r="R1900" i="1"/>
  <c r="T1900" i="1" s="1"/>
  <c r="X1900" i="1" s="1"/>
  <c r="R1899" i="1"/>
  <c r="T1899" i="1" s="1"/>
  <c r="X1899" i="1" s="1"/>
  <c r="R1898" i="1"/>
  <c r="T1898" i="1" s="1"/>
  <c r="X1898" i="1" s="1"/>
  <c r="R1897" i="1"/>
  <c r="T1897" i="1" s="1"/>
  <c r="X1897" i="1" s="1"/>
  <c r="R1901" i="1"/>
  <c r="T1901" i="1" s="1"/>
  <c r="X1901" i="1" s="1"/>
  <c r="X2430" i="1" l="1"/>
  <c r="R1912" i="1"/>
  <c r="T1903" i="1"/>
  <c r="X1903" i="1" s="1"/>
  <c r="T1904" i="1"/>
  <c r="X1904" i="1" s="1"/>
  <c r="T1905" i="1"/>
  <c r="X1905" i="1" s="1"/>
  <c r="T1906" i="1"/>
  <c r="X1906" i="1" s="1"/>
  <c r="T1907" i="1"/>
  <c r="X1907" i="1" s="1"/>
  <c r="T1908" i="1"/>
  <c r="X1908" i="1" s="1"/>
  <c r="T1909" i="1"/>
  <c r="X1909" i="1" s="1"/>
  <c r="T1910" i="1"/>
  <c r="X1910" i="1" s="1"/>
  <c r="T1911" i="1"/>
  <c r="X1911" i="1" s="1"/>
  <c r="T1912" i="1" l="1"/>
  <c r="S1857" i="1" l="1"/>
  <c r="S1855" i="1"/>
  <c r="S1854" i="1"/>
  <c r="T1892" i="1"/>
  <c r="S1891" i="1"/>
  <c r="S1890" i="1"/>
  <c r="S1889" i="1"/>
  <c r="S1888" i="1"/>
  <c r="S1887" i="1"/>
  <c r="S1886" i="1"/>
  <c r="S1885" i="1"/>
  <c r="S1884" i="1"/>
  <c r="R1883" i="1"/>
  <c r="S1883" i="1" s="1"/>
  <c r="S1882" i="1"/>
  <c r="S1881" i="1"/>
  <c r="S1880" i="1"/>
  <c r="S1879" i="1"/>
  <c r="S1878" i="1"/>
  <c r="S1877" i="1"/>
  <c r="S1876" i="1"/>
  <c r="S1875" i="1"/>
  <c r="S1874" i="1"/>
  <c r="S1873" i="1"/>
  <c r="R1892" i="1" l="1"/>
  <c r="S1872" i="1"/>
  <c r="S1871" i="1"/>
  <c r="S1870" i="1"/>
  <c r="S1869" i="1"/>
  <c r="S1868" i="1"/>
  <c r="S1867" i="1"/>
  <c r="S1866" i="1"/>
  <c r="S1865" i="1"/>
  <c r="S1864" i="1"/>
  <c r="S1863" i="1"/>
  <c r="S1862" i="1"/>
  <c r="S1861" i="1"/>
  <c r="S1860" i="1"/>
  <c r="S1859" i="1"/>
  <c r="S1858" i="1"/>
  <c r="S1856" i="1"/>
  <c r="T1852" i="1"/>
  <c r="R1852" i="1"/>
  <c r="S1851" i="1"/>
  <c r="S1850" i="1"/>
  <c r="S1849" i="1"/>
  <c r="S1852" i="1" l="1"/>
  <c r="S1892" i="1"/>
  <c r="T1847" i="1"/>
  <c r="R1847" i="1"/>
  <c r="S1838" i="1"/>
  <c r="S1839" i="1"/>
  <c r="S1840" i="1"/>
  <c r="S1841" i="1"/>
  <c r="S1842" i="1"/>
  <c r="S1843" i="1"/>
  <c r="S1844" i="1"/>
  <c r="S1845" i="1"/>
  <c r="S1846" i="1"/>
  <c r="S1837" i="1"/>
  <c r="S1847" i="1" l="1"/>
  <c r="AA1826" i="1" l="1"/>
  <c r="Z1826" i="1"/>
  <c r="AA1825" i="1"/>
  <c r="Z1825" i="1"/>
  <c r="AA1796" i="1"/>
  <c r="Z1796" i="1"/>
  <c r="T1835" i="1" l="1"/>
  <c r="R1835" i="1"/>
  <c r="S1830" i="1"/>
  <c r="S1831" i="1"/>
  <c r="S1832" i="1"/>
  <c r="S1833" i="1"/>
  <c r="S1834" i="1"/>
  <c r="S1829" i="1"/>
  <c r="S1835" i="1" l="1"/>
  <c r="T1827" i="1"/>
  <c r="S1826" i="1"/>
  <c r="R1825" i="1"/>
  <c r="R1827" i="1" s="1"/>
  <c r="T1814" i="1"/>
  <c r="R1814" i="1"/>
  <c r="S1796" i="1"/>
  <c r="S1814" i="1" s="1"/>
  <c r="S1825" i="1" l="1"/>
  <c r="S1827" i="1" s="1"/>
</calcChain>
</file>

<file path=xl/sharedStrings.xml><?xml version="1.0" encoding="utf-8"?>
<sst xmlns="http://schemas.openxmlformats.org/spreadsheetml/2006/main" count="27838" uniqueCount="8262">
  <si>
    <t>BLM LEASE DATABASE</t>
  </si>
  <si>
    <t>EFFECTIVE</t>
  </si>
  <si>
    <t>TOTAL</t>
  </si>
  <si>
    <t>LEASE NO.</t>
  </si>
  <si>
    <t>UA %</t>
  </si>
  <si>
    <t>RA%</t>
  </si>
  <si>
    <t>KA%</t>
  </si>
  <si>
    <t>SALE DATE</t>
  </si>
  <si>
    <t>COUNTY</t>
  </si>
  <si>
    <t>ST</t>
  </si>
  <si>
    <t>DESCRIPTION I</t>
  </si>
  <si>
    <t>DESCRIPTION II</t>
  </si>
  <si>
    <t>TXNM096140</t>
  </si>
  <si>
    <t xml:space="preserve"> </t>
  </si>
  <si>
    <t xml:space="preserve">MONTGOMERY </t>
  </si>
  <si>
    <t>TX</t>
  </si>
  <si>
    <t>ASSIGNMENT REC'D FROM DAN</t>
  </si>
  <si>
    <t>TRACTS J22, J22A, J22B</t>
  </si>
  <si>
    <t>TXNM103231</t>
  </si>
  <si>
    <t xml:space="preserve">HOUSTON </t>
  </si>
  <si>
    <t>SAM HOUSTON NATL FOREST</t>
  </si>
  <si>
    <t>TXNM091527</t>
  </si>
  <si>
    <t>KLEBERG</t>
  </si>
  <si>
    <t xml:space="preserve">KINGSVILLE NAS </t>
  </si>
  <si>
    <t>J MINDIOLOA SURVEY</t>
  </si>
  <si>
    <t>LOTS &amp; TRACTS IN SEC 23 &amp; 30</t>
  </si>
  <si>
    <t>TXNM102849</t>
  </si>
  <si>
    <t xml:space="preserve">KLEBERG </t>
  </si>
  <si>
    <t>TEXAS A&amp;M UNIVERSITY</t>
  </si>
  <si>
    <t>LOTS 2-8, BLK 5, KING ADDITION-EX 47.75 A</t>
  </si>
  <si>
    <t>TXNM103276</t>
  </si>
  <si>
    <t>DAVY CROCKETT NATL FOREST</t>
  </si>
  <si>
    <t>TRACT K-1g</t>
  </si>
  <si>
    <t>TXNM103277</t>
  </si>
  <si>
    <t>TRACT K-1h PARCEL #1</t>
  </si>
  <si>
    <t>SEE EXHIBIT K FOR M&amp;B</t>
  </si>
  <si>
    <t>TXNM103278</t>
  </si>
  <si>
    <t>HOUSTON</t>
  </si>
  <si>
    <t>TRACT K-1i</t>
  </si>
  <si>
    <t>TXNM103285</t>
  </si>
  <si>
    <t>TRACT K-6</t>
  </si>
  <si>
    <t>TXNM103286</t>
  </si>
  <si>
    <t>TRACT K-18</t>
  </si>
  <si>
    <t>TXNM103287</t>
  </si>
  <si>
    <t>TRACT K-31</t>
  </si>
  <si>
    <t>TXNM103288</t>
  </si>
  <si>
    <t>TRACT K-119</t>
  </si>
  <si>
    <t>TXNM103292</t>
  </si>
  <si>
    <t xml:space="preserve">SABINE </t>
  </si>
  <si>
    <t>SABINE NATL FOREST</t>
  </si>
  <si>
    <t>TRACT S1Av</t>
  </si>
  <si>
    <t>TXNM103293</t>
  </si>
  <si>
    <t>TRACT S-1Bb</t>
  </si>
  <si>
    <t>SEE EXHIBIT L FOR M&amp;B</t>
  </si>
  <si>
    <t>TXNM103296</t>
  </si>
  <si>
    <t>SAN AUGUSTINE</t>
  </si>
  <si>
    <t>ANGELINA NATL FOREST</t>
  </si>
  <si>
    <t>TRACT A-22a PARCEL #2</t>
  </si>
  <si>
    <t>TXNM103297</t>
  </si>
  <si>
    <t>TRACT A-22d</t>
  </si>
  <si>
    <t>TXNM103301</t>
  </si>
  <si>
    <t>SAN AUGUSTINE/SABINE</t>
  </si>
  <si>
    <t>TRACT S-1An</t>
  </si>
  <si>
    <t>TXNM103314</t>
  </si>
  <si>
    <t>TRACT K-1a-II PARCEL #1</t>
  </si>
  <si>
    <t>SEE EXHIBIT G FOR M&amp;B</t>
  </si>
  <si>
    <t>TXNM103315</t>
  </si>
  <si>
    <t>TRACT K-1a-II PARCEL #2</t>
  </si>
  <si>
    <t>SEE EXHIBIT H FOR M&amp;B</t>
  </si>
  <si>
    <t>ARES50476</t>
  </si>
  <si>
    <t>ES-09/99 48</t>
  </si>
  <si>
    <t>SEBASTIAN</t>
  </si>
  <si>
    <t>AR</t>
  </si>
  <si>
    <t>OUICHATA NATL FOREST</t>
  </si>
  <si>
    <t>T4N, R31W, 5TH PRINCIPAL MERIDIAN</t>
  </si>
  <si>
    <t>SEC 32, SWNW</t>
  </si>
  <si>
    <t>LAES50481</t>
  </si>
  <si>
    <t>ES-09/99 53</t>
  </si>
  <si>
    <t>CALCASIEU</t>
  </si>
  <si>
    <t>LA</t>
  </si>
  <si>
    <t>NONE</t>
  </si>
  <si>
    <t>T8S, R10W,  LOUISIANA MERIDIAN</t>
  </si>
  <si>
    <t>SEC 1, SWNE</t>
  </si>
  <si>
    <t>MSES50483</t>
  </si>
  <si>
    <t>ES-09/99 55</t>
  </si>
  <si>
    <t>FORREST</t>
  </si>
  <si>
    <t>MS</t>
  </si>
  <si>
    <t>DESOTO NATL FOREST</t>
  </si>
  <si>
    <t>T1S, R13W, ST. STEPHENS MERIDIAN</t>
  </si>
  <si>
    <t>SEC 25</t>
  </si>
  <si>
    <t>LAES50520</t>
  </si>
  <si>
    <t>ES-12/99 03</t>
  </si>
  <si>
    <t>WEBSTER</t>
  </si>
  <si>
    <t>T17N, R10W, LOUISIANA MERIDIAN</t>
  </si>
  <si>
    <t>SEC 20, SENE, N2SW, N2SE</t>
  </si>
  <si>
    <t>MSES50524</t>
  </si>
  <si>
    <t>ES-12/99 07</t>
  </si>
  <si>
    <t>WAYNE</t>
  </si>
  <si>
    <t>T7N, R8W, ST, STEPHENS MERIDIAN</t>
  </si>
  <si>
    <t>SEC 4, SWNE, W2, W2SE</t>
  </si>
  <si>
    <t>MSES50526</t>
  </si>
  <si>
    <t>ES-12/99 09</t>
  </si>
  <si>
    <t>CHICKASAW</t>
  </si>
  <si>
    <t>TOMBIGBEE NATL FOREST</t>
  </si>
  <si>
    <t>T12S, R4E, CHICKASAW MERIDIAN</t>
  </si>
  <si>
    <t>SEC 5, SW, E20ac OF SESE, 7ac IN SE  CORNER OF NESE; SEC 8, S2/3 NE*, NW*  (* 50% US MIN INT)</t>
  </si>
  <si>
    <t>N/A</t>
  </si>
  <si>
    <t>MSES050634</t>
  </si>
  <si>
    <t>MSES050635</t>
  </si>
  <si>
    <t>MSES050636</t>
  </si>
  <si>
    <t>ES-03/00 31</t>
  </si>
  <si>
    <t>ADAMS</t>
  </si>
  <si>
    <t>HOMOCHITTO NATL FOREST</t>
  </si>
  <si>
    <t>T5N, R1W, WASHINGTON MERIDIAN</t>
  </si>
  <si>
    <t>SEC 6, ALL</t>
  </si>
  <si>
    <t>MSES050637</t>
  </si>
  <si>
    <t>MSES050642</t>
  </si>
  <si>
    <t>ES-03/00 37</t>
  </si>
  <si>
    <t>SEC 21, LOTS 5 THRU 8</t>
  </si>
  <si>
    <t>MSES050646</t>
  </si>
  <si>
    <t>ES-03/00 41</t>
  </si>
  <si>
    <t>T6N, R7W, ST, STEPHENS MERIDIAN</t>
  </si>
  <si>
    <t>SEC 30, SWSW</t>
  </si>
  <si>
    <t>LAES050702</t>
  </si>
  <si>
    <t>ES-06/00 29</t>
  </si>
  <si>
    <t>ST BERNARD</t>
  </si>
  <si>
    <t>T14S, R16E, ST HELENA MERIDIAN</t>
  </si>
  <si>
    <t>SEC 13, N2SW</t>
  </si>
  <si>
    <t>MSES050710</t>
  </si>
  <si>
    <t>ES-06/00 37</t>
  </si>
  <si>
    <t>T6N,R7W, ST STEPHENS MERIDIAN</t>
  </si>
  <si>
    <t>SEC 11, NWNE, S2NE,W2,SE</t>
  </si>
  <si>
    <t>MSES050711</t>
  </si>
  <si>
    <t>ES-06/00 38</t>
  </si>
  <si>
    <t>SEC 27, SENE, W2NW, NESE</t>
  </si>
  <si>
    <t>MSES050712</t>
  </si>
  <si>
    <t>ES-06/00 39</t>
  </si>
  <si>
    <t>SEC 34,NWNE, S2NE,W2, N2SE, SWSE</t>
  </si>
  <si>
    <t>MSES050713</t>
  </si>
  <si>
    <t>ES-06/00 40</t>
  </si>
  <si>
    <t>T6N,R8W, ST STEPHENS MERIDIAN</t>
  </si>
  <si>
    <t>SEC 1, ALL</t>
  </si>
  <si>
    <t>MSES050714</t>
  </si>
  <si>
    <t>ES-06/00 41</t>
  </si>
  <si>
    <t>SEC 2, N2NE,W2,W2SE</t>
  </si>
  <si>
    <t>MSES050715</t>
  </si>
  <si>
    <t>ES-06/00 42</t>
  </si>
  <si>
    <t>SEC 4, W2NE,NW,SW, -EX. 1AC</t>
  </si>
  <si>
    <t>MSES050716</t>
  </si>
  <si>
    <t>ES-06/00 43</t>
  </si>
  <si>
    <t>SEC 5,NE, SWNW, SW, N2SE</t>
  </si>
  <si>
    <t>MSES050717</t>
  </si>
  <si>
    <t>ES-06/00 44</t>
  </si>
  <si>
    <t>SEC 5, SWSE (25% US MI ONLY)</t>
  </si>
  <si>
    <t>MSES050718</t>
  </si>
  <si>
    <t>ES-06/00 45</t>
  </si>
  <si>
    <t>SEC 6, NWNE. S2N2,SW,W2SE,SESE</t>
  </si>
  <si>
    <t>MSES050719</t>
  </si>
  <si>
    <t>ES-06/00 46</t>
  </si>
  <si>
    <t>SEC 10, S2NW, N2SW, SWSW</t>
  </si>
  <si>
    <t>MSES050720</t>
  </si>
  <si>
    <t>ES-06/00 47</t>
  </si>
  <si>
    <t>SEC 13, ALL</t>
  </si>
  <si>
    <t>MSES050721</t>
  </si>
  <si>
    <t>ES-06/00 48</t>
  </si>
  <si>
    <t>SEC 19, ALL</t>
  </si>
  <si>
    <t>MSES050722</t>
  </si>
  <si>
    <t>ES-06/00 49</t>
  </si>
  <si>
    <t>SEC 20, ALL</t>
  </si>
  <si>
    <t>MSES050723</t>
  </si>
  <si>
    <t>ES-06/00 50</t>
  </si>
  <si>
    <t>SEC 22, ALL</t>
  </si>
  <si>
    <t>MSES050724</t>
  </si>
  <si>
    <t>ES-06/00 51</t>
  </si>
  <si>
    <t>SEC 23, NE, S2SE</t>
  </si>
  <si>
    <t>MSES050725</t>
  </si>
  <si>
    <t>ES-06/00 52</t>
  </si>
  <si>
    <t>SEC 24, ALL</t>
  </si>
  <si>
    <t>MSES050726</t>
  </si>
  <si>
    <t>ES-06/00 53</t>
  </si>
  <si>
    <t>SEC 26, NWNW, SWNW, -EX 10A</t>
  </si>
  <si>
    <t>MSES050727</t>
  </si>
  <si>
    <t>ES-06/00 54</t>
  </si>
  <si>
    <t>SEC 27, NENE,W2E2, W2, NESE</t>
  </si>
  <si>
    <t>MSES050728</t>
  </si>
  <si>
    <t>ES-06/00 55</t>
  </si>
  <si>
    <t>SEC 28, ALL</t>
  </si>
  <si>
    <t>MSES050729</t>
  </si>
  <si>
    <t>ES-06/00 56</t>
  </si>
  <si>
    <t>SEC 32, N2,SESW,N2SE</t>
  </si>
  <si>
    <t>MSES050730</t>
  </si>
  <si>
    <t>ES-06/00 57</t>
  </si>
  <si>
    <t>SEC 33, E2, N2NW, SWNW</t>
  </si>
  <si>
    <t>MSES050731</t>
  </si>
  <si>
    <t>ES-06/00 58</t>
  </si>
  <si>
    <t>SEC 35, W2NE, NWNW, NESW, S2SW, W2SE</t>
  </si>
  <si>
    <t>OKNM105178</t>
  </si>
  <si>
    <t>CUSTER</t>
  </si>
  <si>
    <t>OK</t>
  </si>
  <si>
    <t>T15N,R14W, IM MERIDIAN</t>
  </si>
  <si>
    <t>SEC 05, LOT 4</t>
  </si>
  <si>
    <t>TXNM105180</t>
  </si>
  <si>
    <t>JACKSON</t>
  </si>
  <si>
    <t>NPRI O/S ON PART OF ACREAGE</t>
  </si>
  <si>
    <t>TR I-C-141; FRAC TR I-C-138,142-2, TR 142-3</t>
  </si>
  <si>
    <t>50% M.I. TRACT 142-2, 142-3</t>
  </si>
  <si>
    <t>TXNM105181</t>
  </si>
  <si>
    <t>TRACT J-5, J-6B</t>
  </si>
  <si>
    <t>TXNM105584</t>
  </si>
  <si>
    <t>SAN JACINTO</t>
  </si>
  <si>
    <t>TRACT J-1e</t>
  </si>
  <si>
    <t>TXNM105585</t>
  </si>
  <si>
    <t>TRACT J-2-VIII</t>
  </si>
  <si>
    <t>TXNM105586</t>
  </si>
  <si>
    <t>TRACT J-2-IX</t>
  </si>
  <si>
    <t>TXNM105587</t>
  </si>
  <si>
    <t>TRACT J-2-XI</t>
  </si>
  <si>
    <t>TXNM105588</t>
  </si>
  <si>
    <t>TRACT J-2-XII</t>
  </si>
  <si>
    <t>TXNM105590</t>
  </si>
  <si>
    <t>TRACT J-8a</t>
  </si>
  <si>
    <t>TXNM105591</t>
  </si>
  <si>
    <t>TRACT J-38a PARCEL #2</t>
  </si>
  <si>
    <t>SEE EXHIBIT "F" &amp; MAP</t>
  </si>
  <si>
    <t>TXNM105598</t>
  </si>
  <si>
    <t xml:space="preserve">SHELBY </t>
  </si>
  <si>
    <t>TRACT S-1b-I PARCEL #3</t>
  </si>
  <si>
    <t>SEE EXHIBIT "H" &amp; MAP</t>
  </si>
  <si>
    <t>TXNM105601</t>
  </si>
  <si>
    <t>WALKER</t>
  </si>
  <si>
    <t>TRACT J-1-I PARCEL #1</t>
  </si>
  <si>
    <t>SEE EXHIBIT "J" FOR M &amp; B</t>
  </si>
  <si>
    <t>TXNM105602</t>
  </si>
  <si>
    <t>TRACT J-10b</t>
  </si>
  <si>
    <t>TXNM105603</t>
  </si>
  <si>
    <t>TRACT J-69</t>
  </si>
  <si>
    <t>TXNM105609</t>
  </si>
  <si>
    <t>WASHINGTON</t>
  </si>
  <si>
    <t>CORPS OF ENGINEERS - SOMMERVILLE LAKE</t>
  </si>
  <si>
    <t>TRACTS 308,330</t>
  </si>
  <si>
    <t>TXNM105610</t>
  </si>
  <si>
    <t>LAES50956</t>
  </si>
  <si>
    <t>ES-03/01 14</t>
  </si>
  <si>
    <t>VERMILION PARISH</t>
  </si>
  <si>
    <t>T16S,R1E, LA MERIDIAN</t>
  </si>
  <si>
    <t>SEC 2,LOT 2;SEC 3,LOT 2;SEC10,LOT 2;SEC 11,LOT 1</t>
  </si>
  <si>
    <t>MSES50958</t>
  </si>
  <si>
    <t>ES-03/01 16</t>
  </si>
  <si>
    <t>COVINGTON</t>
  </si>
  <si>
    <t>T8N,R14W, ST. STEPHENS MEDIDIAN</t>
  </si>
  <si>
    <t>SEC 4 NENE</t>
  </si>
  <si>
    <t>MSES50960</t>
  </si>
  <si>
    <t>ES-03/01 18</t>
  </si>
  <si>
    <t>T3N,R13W, ST. STEPHENS MERIDIAN</t>
  </si>
  <si>
    <t>SEC 15 SWNE NWSW</t>
  </si>
  <si>
    <t>MSES50962</t>
  </si>
  <si>
    <t>ES-03/01 20</t>
  </si>
  <si>
    <t>T5N,R1W, WASHINGTON MERIDIAN</t>
  </si>
  <si>
    <t>SEC 14, TRACT H-20b</t>
  </si>
  <si>
    <t>MSES50965</t>
  </si>
  <si>
    <t>ES-03/01 23</t>
  </si>
  <si>
    <t>PEARL RIVER</t>
  </si>
  <si>
    <t>T1S,R14W, ST. STEPHENS MERIDIAN</t>
  </si>
  <si>
    <t>SEC 13, W2 LESS.86A - SEE LSE FOR M&amp;B</t>
  </si>
  <si>
    <t>ARES50943</t>
  </si>
  <si>
    <t>ES-03/01 01</t>
  </si>
  <si>
    <t>YELL</t>
  </si>
  <si>
    <t>5TH PRINCIPAL MERIDIAN</t>
  </si>
  <si>
    <t>T3N,R25W</t>
  </si>
  <si>
    <t>ALL OF SEC 6; PORTIONS OF SEC 1,3,4,5,7,8,9,18</t>
  </si>
  <si>
    <t>ARES50944</t>
  </si>
  <si>
    <t>ES-03/01 02</t>
  </si>
  <si>
    <t>T3W,R25W</t>
  </si>
  <si>
    <t>ALL OF SEC 2; PORTIONS OF SEC 1,3,4,5,7,8</t>
  </si>
  <si>
    <t>ARES50945</t>
  </si>
  <si>
    <t>ES-03/01 03</t>
  </si>
  <si>
    <t>PORTIONS OF SEC 9,10,11,12,17,18,35,36</t>
  </si>
  <si>
    <t>ARES50946</t>
  </si>
  <si>
    <t>ES-03/01 04</t>
  </si>
  <si>
    <t>T4W,R25W</t>
  </si>
  <si>
    <t>PORTIONS OF SEC 1,2,3</t>
  </si>
  <si>
    <t>ARES50947</t>
  </si>
  <si>
    <t>ES-03/01 05</t>
  </si>
  <si>
    <t>PORTIONS OF SEC 4,8,9</t>
  </si>
  <si>
    <t>ARES50949</t>
  </si>
  <si>
    <t>ARES50951</t>
  </si>
  <si>
    <t>ES-03/01 09</t>
  </si>
  <si>
    <t>SCOTT</t>
  </si>
  <si>
    <t>T2N,R32W</t>
  </si>
  <si>
    <t>PORTIONS OF SEC 22,23,24,25,26</t>
  </si>
  <si>
    <t>ARES50952</t>
  </si>
  <si>
    <t>ES-03/01 10</t>
  </si>
  <si>
    <t>PORTIONS OF SEC 27,28,29,30,33,34,35,36</t>
  </si>
  <si>
    <t>ARES50953</t>
  </si>
  <si>
    <t>ES-03/01 11</t>
  </si>
  <si>
    <t>PORTIONS OF SEC 22,23,24,25,26,27</t>
  </si>
  <si>
    <t>ARES50954</t>
  </si>
  <si>
    <t>ARES50955</t>
  </si>
  <si>
    <t>ES-03/01 13</t>
  </si>
  <si>
    <t>PORTIONS OF SEC 27,35</t>
  </si>
  <si>
    <t>LAES51089</t>
  </si>
  <si>
    <t>ES-06/01 81</t>
  </si>
  <si>
    <t>BEAUREGARD</t>
  </si>
  <si>
    <t>T7S,R9W, LOUISIANA MERIDIAN</t>
  </si>
  <si>
    <t>SEC 33, SENW</t>
  </si>
  <si>
    <t>BALANCE 12-31-01</t>
  </si>
  <si>
    <t>ALES51293</t>
  </si>
  <si>
    <t>LAMAR</t>
  </si>
  <si>
    <t>AL</t>
  </si>
  <si>
    <t>SEE STIPULATIONS &amp; LSE NOTICE</t>
  </si>
  <si>
    <t>T16S,R16W HUNTSVILLE MERIDIAN</t>
  </si>
  <si>
    <t>SEC 5, N2NE</t>
  </si>
  <si>
    <t>ALES51294</t>
  </si>
  <si>
    <t>SEC 11, NESW; SEC 20, NWNE</t>
  </si>
  <si>
    <t>LAES51350</t>
  </si>
  <si>
    <t>ES-03/02  65</t>
  </si>
  <si>
    <t>LAES51351</t>
  </si>
  <si>
    <t>ES-03/02  66</t>
  </si>
  <si>
    <t>CADDO &amp; DESOTO</t>
  </si>
  <si>
    <t>WALLACE LAKE</t>
  </si>
  <si>
    <t>SEE NOTICE</t>
  </si>
  <si>
    <t>SIX (6) TRACTS, SEE NOTICE</t>
  </si>
  <si>
    <t>LAES51356</t>
  </si>
  <si>
    <t>ES-03/02  71</t>
  </si>
  <si>
    <t>RAPIDES</t>
  </si>
  <si>
    <t>T1N, R3W LOUISIANA MERIDIAN</t>
  </si>
  <si>
    <t>SEC 36, E2SE (TRACT E-10)</t>
  </si>
  <si>
    <t>LAES51357</t>
  </si>
  <si>
    <t>ES-03/02  72</t>
  </si>
  <si>
    <t>SEC 1, W2NW</t>
  </si>
  <si>
    <t>MSES51358</t>
  </si>
  <si>
    <t>ES-03/02  73</t>
  </si>
  <si>
    <t>AMITE</t>
  </si>
  <si>
    <t>T1N, R4E, WASHINGTON MERIDIAN</t>
  </si>
  <si>
    <t>SEC 26, E2NW; SEC 39 ALL</t>
  </si>
  <si>
    <t>MSES51360</t>
  </si>
  <si>
    <t>ES-03/02  75</t>
  </si>
  <si>
    <t>DE SOTO NATIONAL FOREST</t>
  </si>
  <si>
    <t>T6N, R7W ST STEPHENS MERIDIAN</t>
  </si>
  <si>
    <t>SEC 1, W2NW, NWSW; SEC 2, W2NE, W2</t>
  </si>
  <si>
    <t>MSES51361</t>
  </si>
  <si>
    <t>ES-03/02  76</t>
  </si>
  <si>
    <t>SEC 6, NE, W2NW, S2; SEC 8 NWNE</t>
  </si>
  <si>
    <t>MSES51362</t>
  </si>
  <si>
    <t>ES-03/02  77</t>
  </si>
  <si>
    <t>SEC 13, NWNW, S2NW, NWSW, S2SW</t>
  </si>
  <si>
    <t>MSES51363</t>
  </si>
  <si>
    <t>ES-03/02  78</t>
  </si>
  <si>
    <t>SEC 14 SENE, NENW, S2NW, N2SW, SESW</t>
  </si>
  <si>
    <t>MSES51364</t>
  </si>
  <si>
    <t>ES-03/02  79</t>
  </si>
  <si>
    <t>MSES51365</t>
  </si>
  <si>
    <t>ES-03/02  80</t>
  </si>
  <si>
    <t>SEC 33, W2SW</t>
  </si>
  <si>
    <t>MSES51366</t>
  </si>
  <si>
    <t>ES-03/02  81</t>
  </si>
  <si>
    <t>T6N, R8W ST STEPHENS MERIDIAN</t>
  </si>
  <si>
    <t>SEC 4, W2SE</t>
  </si>
  <si>
    <t>MSES51367</t>
  </si>
  <si>
    <t>ES-03/02  82</t>
  </si>
  <si>
    <t>SEC 9, NE, SENW, SW, NWSE</t>
  </si>
  <si>
    <t>MSES51368</t>
  </si>
  <si>
    <t>ES-03/02  83</t>
  </si>
  <si>
    <t>SEC 14, ALL</t>
  </si>
  <si>
    <t>MSES51370</t>
  </si>
  <si>
    <t>ES-03/02  85</t>
  </si>
  <si>
    <t>SEC 17, E2SE</t>
  </si>
  <si>
    <t>MSES51371</t>
  </si>
  <si>
    <t>ES-03/02  86</t>
  </si>
  <si>
    <t>SEC 21, N2, N2S2, SWSW</t>
  </si>
  <si>
    <t>MSES51391</t>
  </si>
  <si>
    <t>ES-03/02 106</t>
  </si>
  <si>
    <t>T7N, R9W ST STEPHENS MERIDIAN</t>
  </si>
  <si>
    <t>SEC 3, SWNW, SWSW</t>
  </si>
  <si>
    <t>MSES51434</t>
  </si>
  <si>
    <t>ES-03/02 136</t>
  </si>
  <si>
    <t>STONE</t>
  </si>
  <si>
    <t>T5S, R10W ST STEPHENS MERIDIAN</t>
  </si>
  <si>
    <t>SEC 34 ALL</t>
  </si>
  <si>
    <t>MSES51461</t>
  </si>
  <si>
    <t>ES-03/02 163</t>
  </si>
  <si>
    <t>HARRSION</t>
  </si>
  <si>
    <t>T6S, R11W ST STEPHENS MERIDIAN</t>
  </si>
  <si>
    <t>SEC 5, E2, N2NW, SENW</t>
  </si>
  <si>
    <t>MSES51462</t>
  </si>
  <si>
    <t>ES-03/02 164</t>
  </si>
  <si>
    <t>SEC 8, E2, NENE, NESW, S2SW, LESS 6.64 ACRES SE</t>
  </si>
  <si>
    <t>MSES51571</t>
  </si>
  <si>
    <t>ES-07/02 056</t>
  </si>
  <si>
    <t>SEE LSE NOTICE &amp; STIPULATIONS</t>
  </si>
  <si>
    <t>T7N, R8W ST STEPHENS MERIDIAN</t>
  </si>
  <si>
    <t>SEC 6, SESW, SE; SEC 7, N2, E2SW</t>
  </si>
  <si>
    <t>MSES51572</t>
  </si>
  <si>
    <t>ES-07/02 057</t>
  </si>
  <si>
    <t>SEC 12, S2NE, SE; SEC 13, NENW, SW</t>
  </si>
  <si>
    <t>MSES51573</t>
  </si>
  <si>
    <t>ES-07/02 058</t>
  </si>
  <si>
    <t>SEC 20, ALL; SEC 21, NE</t>
  </si>
  <si>
    <t>MSES51574</t>
  </si>
  <si>
    <t>ES-07/02 059</t>
  </si>
  <si>
    <t>SEC 25, E2NE, E2SW, SWSW, SE; SEC 26 S2NW, N2SW</t>
  </si>
  <si>
    <t>MSES51575</t>
  </si>
  <si>
    <t>ES-07/02 060</t>
  </si>
  <si>
    <t>SEC 29, NW, S2; SEC 30, S2NE</t>
  </si>
  <si>
    <t>MSES51576</t>
  </si>
  <si>
    <t>ES-07/02 061</t>
  </si>
  <si>
    <t>SEC 31, NESE, S2SE; SEC 32, N2, N2S2, SWSE</t>
  </si>
  <si>
    <t>MSES51577</t>
  </si>
  <si>
    <t>ES-07/02 062</t>
  </si>
  <si>
    <t>SEC 33, ALL; SEC 34, W2NE, NW, W2SW, S2SESW</t>
  </si>
  <si>
    <t>MSES51579</t>
  </si>
  <si>
    <t>ES-07/02 064</t>
  </si>
  <si>
    <t>JONES</t>
  </si>
  <si>
    <t>T7N, R10W ST STEPHENS MERIDIAN</t>
  </si>
  <si>
    <t>SEC 26, NENE, S2NE, NW, S2</t>
  </si>
  <si>
    <t>MSES51580</t>
  </si>
  <si>
    <t>ES-07/02 065</t>
  </si>
  <si>
    <t>SEC 29, ALL; SEC 30, N2, NESESW, N2SWSE, NWSE, SESE</t>
  </si>
  <si>
    <t>MSES51581</t>
  </si>
  <si>
    <t>TXNM108849</t>
  </si>
  <si>
    <t>MONTGOMERY</t>
  </si>
  <si>
    <t>SAM HOUSTON NAT'L FOREST</t>
  </si>
  <si>
    <t>TRACT J-16</t>
  </si>
  <si>
    <t>SEE STIPULATIONS IN LEASE</t>
  </si>
  <si>
    <t>TXNM108855</t>
  </si>
  <si>
    <t>TRACT J-2c</t>
  </si>
  <si>
    <t>TXNM108857</t>
  </si>
  <si>
    <t>TRACT J-5a</t>
  </si>
  <si>
    <t>TXNM108858</t>
  </si>
  <si>
    <t>TRACT J-6a</t>
  </si>
  <si>
    <t>TXNM108869</t>
  </si>
  <si>
    <t>TRACT J-77</t>
  </si>
  <si>
    <t>BALANCE 12-31-02</t>
  </si>
  <si>
    <t>TXNM110866</t>
  </si>
  <si>
    <t>NM200307116</t>
  </si>
  <si>
    <t>TRACT J-1-I PARCEL #2</t>
  </si>
  <si>
    <t>SEE LEASE FOR METES AND BOUNDS</t>
  </si>
  <si>
    <t>TXNM110867</t>
  </si>
  <si>
    <t>NM200307117</t>
  </si>
  <si>
    <t>TRACT J-1-I PARCEL #3</t>
  </si>
  <si>
    <t>TXNM110868</t>
  </si>
  <si>
    <t>NM200307119</t>
  </si>
  <si>
    <t>TRACT J-1-I PARCEL #5</t>
  </si>
  <si>
    <t>TXNM110869</t>
  </si>
  <si>
    <t>NM200307120</t>
  </si>
  <si>
    <t>TRACT J 1-I PARCEL #6</t>
  </si>
  <si>
    <t>BALANCE 12-31-03</t>
  </si>
  <si>
    <t>MSES52218</t>
  </si>
  <si>
    <t>ES-057-06/04</t>
  </si>
  <si>
    <t>HOMOCHITO NATIONAL FOREST</t>
  </si>
  <si>
    <t>SEC 2, TRACT H-82</t>
  </si>
  <si>
    <t>MSES52219</t>
  </si>
  <si>
    <t>ES-058-06/04</t>
  </si>
  <si>
    <t>FRANKLIN</t>
  </si>
  <si>
    <t>T5N, R2E, WASHINGTON MERIDIAN</t>
  </si>
  <si>
    <t xml:space="preserve">SEC 6, E2, NENW, SENW, E2SW;  SEC 7, S2N2, E2SW, W2NWSE </t>
  </si>
  <si>
    <t>MSES52405</t>
  </si>
  <si>
    <t>ES-072-09/04</t>
  </si>
  <si>
    <t>PERRY</t>
  </si>
  <si>
    <t>DESOTO NATIONAL FOREST</t>
  </si>
  <si>
    <t>T1S,R11W, ST. STEPHENS MERIDIAN</t>
  </si>
  <si>
    <t>SEC 4, SESW, NWSE; SEC 5, NENE, NWNE, SWNE, S2NW, S2</t>
  </si>
  <si>
    <t>MSES52406</t>
  </si>
  <si>
    <t>ES-073-09/04</t>
  </si>
  <si>
    <t>SEC. 6, W2NE, NW, N2S2, SWSE; SEC 7, SENE, NENW, NESE, NWSW</t>
  </si>
  <si>
    <t>MSES52407</t>
  </si>
  <si>
    <t>ES-074-09/04</t>
  </si>
  <si>
    <t>SEC 8, N2, N2S2, SWSW</t>
  </si>
  <si>
    <t>MSES52408</t>
  </si>
  <si>
    <t>ES-075-09/04</t>
  </si>
  <si>
    <t>SEC 17, NWNW, SENW, NESW; SEC 18, NE, S2NW, SWSE, SW; SEC 20,NE, N2NW, SENW, E2SE</t>
  </si>
  <si>
    <t>MSES52409</t>
  </si>
  <si>
    <t>ES-076-09/04</t>
  </si>
  <si>
    <t>T1S,R12W, ST. STEPHENS MERIDIAN</t>
  </si>
  <si>
    <t>SEC 1, S2SE, NWSE, N2SW, SWSW; SEC 2, N2, N2N2; SEC 3, S2S2, PT. NENE (LESS SWNENE)</t>
  </si>
  <si>
    <t>MSES52410</t>
  </si>
  <si>
    <t>ES-077-09/04</t>
  </si>
  <si>
    <t>SEC 11, W2NE, E2NW, SWNW, SE, E2SW; SEC 12, SESE; SEC 13, E2, E2W2, NWNW; SEC 14, N2NE,SENW, NESW, SWSW</t>
  </si>
  <si>
    <t>MSES52411</t>
  </si>
  <si>
    <t>ES-078-09/04</t>
  </si>
  <si>
    <t>SEC 23, SESW, W2SW; SEC 24, N2NE, E2NW, N2SE</t>
  </si>
  <si>
    <t>MSES52412</t>
  </si>
  <si>
    <t>ES-079-09/04</t>
  </si>
  <si>
    <t xml:space="preserve">SEC 26, NWNE, NWNW, S2N2, S2; SEC 27, NWSE, SWNW, SW; SEC 28, S2, S2NE, N2NW, SWNW </t>
  </si>
  <si>
    <t>MSES52413</t>
  </si>
  <si>
    <t>ES-080-09/04</t>
  </si>
  <si>
    <t>MSES52414</t>
  </si>
  <si>
    <t>ES-081-09/04</t>
  </si>
  <si>
    <t>SEC11, SE; SEC 12, SW, SWSE</t>
  </si>
  <si>
    <t>MSES52415</t>
  </si>
  <si>
    <t>ES-082-09/04</t>
  </si>
  <si>
    <t>SEC 25, NE, W2NW, E2SW, E2SE; SEC 26, N2NE</t>
  </si>
  <si>
    <t>MSES52416</t>
  </si>
  <si>
    <t>ES-083-09/04</t>
  </si>
  <si>
    <t xml:space="preserve">SEC 35, ALL; SEC 36, W2, NE </t>
  </si>
  <si>
    <t>MSES52418</t>
  </si>
  <si>
    <t>ES-085-09/04</t>
  </si>
  <si>
    <t>BLM</t>
  </si>
  <si>
    <t>T6N, R7W, ST. STEPHENS MERIDIAN</t>
  </si>
  <si>
    <t>SEC 1, E2, E2W2</t>
  </si>
  <si>
    <t>MSES52419</t>
  </si>
  <si>
    <t>ES-086-09/04</t>
  </si>
  <si>
    <t>T7N, R7W, ST. STEPHENS MERIDIAN</t>
  </si>
  <si>
    <t>SEC 2, W2NWNW; SEC 3, E2NENE, SENE</t>
  </si>
  <si>
    <t>MSES52420</t>
  </si>
  <si>
    <t>ES-087-09/04</t>
  </si>
  <si>
    <t>T8N, R9W, ST. STEPHENS MERIDIAN</t>
  </si>
  <si>
    <t>SEC 4, NWSW; SEC 19, SWNE -50% U.S. MINERALS OWNERSHIP</t>
  </si>
  <si>
    <t>GROUP TOTAL</t>
  </si>
  <si>
    <t>NMNM112924</t>
  </si>
  <si>
    <t>NM-200410-052</t>
  </si>
  <si>
    <t>EDDY</t>
  </si>
  <si>
    <t>NM</t>
  </si>
  <si>
    <t>T210S, R300E, NMPM MERIDIAN</t>
  </si>
  <si>
    <t>Sec 34 SE</t>
  </si>
  <si>
    <t>NMNM112946</t>
  </si>
  <si>
    <t>NM-200410-075</t>
  </si>
  <si>
    <t>CURRY</t>
  </si>
  <si>
    <t>T60N, R370E, NMPM MERIDIAN</t>
  </si>
  <si>
    <t>SEC 5, LOTS 5, 6;  SEC 8, LOTS 1, 2</t>
  </si>
  <si>
    <t>NMNM112963</t>
  </si>
  <si>
    <t>NM-200410-092</t>
  </si>
  <si>
    <t>SAN JUAN</t>
  </si>
  <si>
    <t>BUREAU OF INDIAN AFFAIRS IS SURF. MGR.</t>
  </si>
  <si>
    <t>T300N, R160W, NMPM MERIDIAN</t>
  </si>
  <si>
    <t>SEC 11 NWNE</t>
  </si>
  <si>
    <t>OKNM112972</t>
  </si>
  <si>
    <t>NM-200410-101</t>
  </si>
  <si>
    <t>ROGER MILLS</t>
  </si>
  <si>
    <t>USDA FOREST SVC IS SURF. MGR.</t>
  </si>
  <si>
    <t>T150N, R240W, IM MERIDIAN</t>
  </si>
  <si>
    <t>SEC 26 E2,S2SW</t>
  </si>
  <si>
    <t>TXNM112975</t>
  </si>
  <si>
    <t>NM-200410-104</t>
  </si>
  <si>
    <t>ZAPATA</t>
  </si>
  <si>
    <t>INT'L BOUNDARY &amp; WATER COMM IS SURF. MGR.</t>
  </si>
  <si>
    <t>TRACT Z-279-A, Z-280-A</t>
  </si>
  <si>
    <t>SEE EXHIBIT FOR METES &amp; BOUNDS</t>
  </si>
  <si>
    <t>BALANCE 12-31-2004</t>
  </si>
  <si>
    <t>BALANCE 12-31-2005</t>
  </si>
  <si>
    <t>TXNM116082</t>
  </si>
  <si>
    <t>NM-200604093</t>
  </si>
  <si>
    <t>SAM HOUSTON NATIONAL FOREST</t>
  </si>
  <si>
    <t>TR J-38A PARCEL #1 (SEE LEASE)</t>
  </si>
  <si>
    <t>SEE LEASE</t>
  </si>
  <si>
    <t>KSNM117097</t>
  </si>
  <si>
    <t>NM200610-001</t>
  </si>
  <si>
    <t>RUSSELL</t>
  </si>
  <si>
    <t>KS</t>
  </si>
  <si>
    <t>WILSON LAKE</t>
  </si>
  <si>
    <t>T130S,R120W,6TH MERIDIAN</t>
  </si>
  <si>
    <t>SEC 006,SE</t>
  </si>
  <si>
    <t>NMNM117106</t>
  </si>
  <si>
    <t>NM200610-011</t>
  </si>
  <si>
    <t>LINCOLN NATIONAL FOREST</t>
  </si>
  <si>
    <t>T220S,R210E,NMPM MERIDIAN</t>
  </si>
  <si>
    <t>SEC 033 ALL, SEC 034 ALL</t>
  </si>
  <si>
    <t>NMNM117136</t>
  </si>
  <si>
    <t>NM200610-042</t>
  </si>
  <si>
    <t>SANDOVAL</t>
  </si>
  <si>
    <t>T160N,R30W,NMPM MERIDIAN</t>
  </si>
  <si>
    <t>SEC 15,LOT1; SEC 15,NWNE,S2NE,W2SE</t>
  </si>
  <si>
    <t>NMNM117141</t>
  </si>
  <si>
    <t>NM200610-049</t>
  </si>
  <si>
    <t>MCKINLEY</t>
  </si>
  <si>
    <t>T160N,R70W,NMPM MERIDIAN</t>
  </si>
  <si>
    <t>SEC 26,LOTS1-8; SEC 26,N2,N2S2; SEC 34,LOTS1-8; SEC 34,E2,E2W2</t>
  </si>
  <si>
    <t>NMNM117144</t>
  </si>
  <si>
    <t>NM200610-054</t>
  </si>
  <si>
    <t>T170N,R90W,NMPM MERIDIAN</t>
  </si>
  <si>
    <t>SEC 30,LOTS1-4; SEC 30 E2.E2W2; SEC 34 ALL</t>
  </si>
  <si>
    <t>NMNM117145</t>
  </si>
  <si>
    <t>NM200610-055</t>
  </si>
  <si>
    <t>GRANT</t>
  </si>
  <si>
    <t>T180S,R130W,NMPM MERIDIAN</t>
  </si>
  <si>
    <t>SEC 6,LOT3; SEC 6,NESW; SEC20,LOTS1-9; SEC20 NWNW,SWSW,NESE</t>
  </si>
  <si>
    <t>NMNM117151</t>
  </si>
  <si>
    <t>NM200610-064</t>
  </si>
  <si>
    <t>T180S,R140W,NMPM MERIDIAN</t>
  </si>
  <si>
    <t>SEC 23,S2SW,W2SE; SEC 26,SENW,SE</t>
  </si>
  <si>
    <t>TXNM117165</t>
  </si>
  <si>
    <t>NM200610-078</t>
  </si>
  <si>
    <t>MONTGOMERY&amp;WALKER</t>
  </si>
  <si>
    <t>TR J-1-II PARCEL #1;TR SEE EXHIBIT C W/MAP</t>
  </si>
  <si>
    <t>TXNM117166</t>
  </si>
  <si>
    <t>NM200610-079</t>
  </si>
  <si>
    <t>TR J-1-II PARCEL #3;TR SEE EXHIBIT D W/MAP</t>
  </si>
  <si>
    <t>TXNM117167</t>
  </si>
  <si>
    <t>NM200610-080</t>
  </si>
  <si>
    <t>SAM HOUSTON NATIONAL FOREST-50% INT.</t>
  </si>
  <si>
    <t>TR J-1-II PARCEL #4;TR SEE EXHIBIT E W/MAP</t>
  </si>
  <si>
    <t>TXNM117168</t>
  </si>
  <si>
    <t>NM200610-081</t>
  </si>
  <si>
    <t>TR J-1-II PARCEL#5</t>
  </si>
  <si>
    <t>TR SEE EXHIBIT F W/MAP</t>
  </si>
  <si>
    <t>TXNM117169</t>
  </si>
  <si>
    <t>NM200610-082</t>
  </si>
  <si>
    <t>TR J-1-II PARCEL#6</t>
  </si>
  <si>
    <t>TR SEE EXHIBIT G W/MAP</t>
  </si>
  <si>
    <t>TXNM117170</t>
  </si>
  <si>
    <t>NM200610-083</t>
  </si>
  <si>
    <t>TR J-1-V</t>
  </si>
  <si>
    <t>TR SEE EXHIBIT H W/MAP</t>
  </si>
  <si>
    <t>TXNM117171</t>
  </si>
  <si>
    <t>NM200610-084</t>
  </si>
  <si>
    <t>TR J-72</t>
  </si>
  <si>
    <t>TR SEE EXHIBIT I W/MAP</t>
  </si>
  <si>
    <t>TXNM117173</t>
  </si>
  <si>
    <t>NM200610-086</t>
  </si>
  <si>
    <t>WISE</t>
  </si>
  <si>
    <t>LBJ NATIONAL GRASSLANDS</t>
  </si>
  <si>
    <t>TR 689</t>
  </si>
  <si>
    <t>TXNM117174</t>
  </si>
  <si>
    <t>NM200610-087</t>
  </si>
  <si>
    <t>TR 751</t>
  </si>
  <si>
    <t>TR SEE EXHIBIT L W/MAP</t>
  </si>
  <si>
    <t xml:space="preserve">GROUP TOTAL </t>
  </si>
  <si>
    <t>ARES54409</t>
  </si>
  <si>
    <t>ES016-12/06</t>
  </si>
  <si>
    <t>OUACHITA NATL FOREST</t>
  </si>
  <si>
    <t>5TH PRINCIPAL MERIDIAN, T1N, R30W</t>
  </si>
  <si>
    <t>SEC 3, NENW,SW</t>
  </si>
  <si>
    <t>ARES54410</t>
  </si>
  <si>
    <t>SEC 3, TRACT A5481 LYING IN THE NE</t>
  </si>
  <si>
    <t>ARES54411</t>
  </si>
  <si>
    <t>ES018-12/06</t>
  </si>
  <si>
    <t>TRACT A-3089b IN THE W2NW, TRACT A-531 IN E2NW, TRACT A-531a IN SWNE, TRACT A-3064b in SW</t>
  </si>
  <si>
    <t>ARES54412</t>
  </si>
  <si>
    <t>ES019-12/06</t>
  </si>
  <si>
    <t>SEC 17 SWSW; SEC 18 SENW, E2SW, Fr. NWSW, W2SE, SESE</t>
  </si>
  <si>
    <t>ARES54445</t>
  </si>
  <si>
    <t>ES052-12/06</t>
  </si>
  <si>
    <t>CRAWFORD</t>
  </si>
  <si>
    <t>OZARK NATL FOREST</t>
  </si>
  <si>
    <t>5TH PRINCIPAL MERIDIAN, T11N,R32W</t>
  </si>
  <si>
    <t>SEC 4 NENE, SEC 6 NWNW,SWSW, SEC 8 SWNE, SEC 12 SWSW</t>
  </si>
  <si>
    <t>ARES54446</t>
  </si>
  <si>
    <t>ES053-12/06</t>
  </si>
  <si>
    <t>SEC 14 S2SE; SEC 20 SWNW; SEC 24 W2NWNW, W2E2NWNW, S2NW, E2E2NWNW</t>
  </si>
  <si>
    <t>ARES54499</t>
  </si>
  <si>
    <t>ES106-12/06</t>
  </si>
  <si>
    <t>LOGAN &amp; YELL</t>
  </si>
  <si>
    <t>5TH PRINCIPAL MERIDIAN, T6N,R24W</t>
  </si>
  <si>
    <t>SEC 30 ALL</t>
  </si>
  <si>
    <t>ARES54508</t>
  </si>
  <si>
    <t>ES115-12/06</t>
  </si>
  <si>
    <t>5TH PRINCIPAL MERIDIAN, T11N,R26W</t>
  </si>
  <si>
    <t>ARES54509</t>
  </si>
  <si>
    <t>ES116-12/06</t>
  </si>
  <si>
    <t>SEC 2 S2 SWNW LESS 2.5A, SEC 3 NE E2NW NWSW, SEC 4 NWNE SENE NENW PART SWNE CONT. +/-34.69A</t>
  </si>
  <si>
    <t>ARES54510</t>
  </si>
  <si>
    <t>ES117-12/06</t>
  </si>
  <si>
    <t>SEC 5 NW; SEC 6 E2, E2W2, SWNW, NWSW</t>
  </si>
  <si>
    <t>ARES54511</t>
  </si>
  <si>
    <t>ES118-12/06</t>
  </si>
  <si>
    <t>SEC 9 TR B-3184 SENW OF NE +/-141.74A; 3 OTHER SMALL TRACTS; SEC.10 0.31 A IN 2 TRACTS</t>
  </si>
  <si>
    <t>ARES54512</t>
  </si>
  <si>
    <t>ES119-12/06</t>
  </si>
  <si>
    <t>TRACTS IN SEC 13, 14, 19, 20, 21 22, 23, 24, 25; SEE LSE; TOTAL 1670.37 A</t>
  </si>
  <si>
    <t>ARES54513</t>
  </si>
  <si>
    <t>ES120-12/06</t>
  </si>
  <si>
    <t>SEC 29 ALL, SEC 30 E2 E2NW SWNW S2NESW, SEC 32 E2, SEC 33 W2NE N2NW SWNW W2SW, SEC 34 W2NE W2 NWSE</t>
  </si>
  <si>
    <t>ARES54514</t>
  </si>
  <si>
    <t>ES121-12/06</t>
  </si>
  <si>
    <t xml:space="preserve">FRANKLIN </t>
  </si>
  <si>
    <t>5TH PRINCIPAL MERIDIAN, T12N,R26W</t>
  </si>
  <si>
    <t>SEC 9 E2NE NWNE N2SWNE E2SW SE</t>
  </si>
  <si>
    <t>ARES54515</t>
  </si>
  <si>
    <t>ES122-12/06</t>
  </si>
  <si>
    <t>SEC 16 S2</t>
  </si>
  <si>
    <t>LAES54518</t>
  </si>
  <si>
    <t>ES125-12/06</t>
  </si>
  <si>
    <t>CLAIBORNE</t>
  </si>
  <si>
    <t>KISATCHIE NATL FOREST</t>
  </si>
  <si>
    <t>LOUISIANA MERIDIAN, T22N,R6W</t>
  </si>
  <si>
    <t>SEC 28 ALL</t>
  </si>
  <si>
    <t>LAES54519</t>
  </si>
  <si>
    <t>ES129-12/06</t>
  </si>
  <si>
    <t>SEC 29 ALL</t>
  </si>
  <si>
    <t>LAES54520</t>
  </si>
  <si>
    <t>ES127-12/06</t>
  </si>
  <si>
    <t>SEC 3 , S2N2SENE, S2SENE, NESE, S2S2NWSE, S2SE</t>
  </si>
  <si>
    <t>MSES54527</t>
  </si>
  <si>
    <t>ES134-12/06</t>
  </si>
  <si>
    <t>SMITH</t>
  </si>
  <si>
    <t>BIENVILLE NATL FOREST</t>
  </si>
  <si>
    <t>CHOCTAW MERIDIAN, T3N,R7E</t>
  </si>
  <si>
    <t>SEC 22, S2SW,SE</t>
  </si>
  <si>
    <t>MSES54528</t>
  </si>
  <si>
    <t>ES135-12/06</t>
  </si>
  <si>
    <t>CHOCTAW MERIDIAN, T4N,R6E</t>
  </si>
  <si>
    <t>SEC 1, N2NE, SEC 2, SWNE</t>
  </si>
  <si>
    <t>MSES54529</t>
  </si>
  <si>
    <t>ES136-12/06</t>
  </si>
  <si>
    <t>CHOCTAW MERIDIAN, T4N,R7E</t>
  </si>
  <si>
    <t>SEC 6, W2E2, NW, N2SW, SESW</t>
  </si>
  <si>
    <t>MSES54530</t>
  </si>
  <si>
    <t>ES137-12/06</t>
  </si>
  <si>
    <t>CHOCTAW MERIDIAN, T4N,R8E</t>
  </si>
  <si>
    <t>SEC 1, PART, SEC 3, PART, SEC 5, E2E2 (SEE LEASE ATTACHMENT  FOR SEC 1 &amp; 3 DETAILS)</t>
  </si>
  <si>
    <t>MSES54531</t>
  </si>
  <si>
    <t>ES138-12/06</t>
  </si>
  <si>
    <t xml:space="preserve">SEC 2, W2W2,SESW,S2SE; SEC 4, NWNE,NENW,N2SENW,W2W2,SESW </t>
  </si>
  <si>
    <t>MSES54532</t>
  </si>
  <si>
    <t>ES139-12/06</t>
  </si>
  <si>
    <t>SEC 9, W2NW,E2SW,N2NWSW,E2SWSW,S2SE; SEC 10 SEE LEASE ATTACHMENT</t>
  </si>
  <si>
    <t>MSES54533</t>
  </si>
  <si>
    <t>ES140-12/06</t>
  </si>
  <si>
    <t>SEC 11, NENE,N2SENE,W2NE,W2,NWSE,E2SWSE; SEC12 SWNE, W2NW,S2SE</t>
  </si>
  <si>
    <t>MSES54534</t>
  </si>
  <si>
    <t>ES141-12/06</t>
  </si>
  <si>
    <t>SEC 13, W2NE,S2NW,W2SW,SESW,N2SE; SEC 14 W2,NESE,S2SE; SEC 15 SEE LEASE ATTCHMENT</t>
  </si>
  <si>
    <t>MSES54535</t>
  </si>
  <si>
    <t>ES142-12/06</t>
  </si>
  <si>
    <t>SEC 22, SEE LEASE ATTACHMENT; SEC 23, W2NESE</t>
  </si>
  <si>
    <t>MSES54536</t>
  </si>
  <si>
    <t>ES143-12/06</t>
  </si>
  <si>
    <t>SEC 25, W2E2(?),EAST 10 AC OF NENW,NWNW,S2NW.NENSW,E2NWSW</t>
  </si>
  <si>
    <t>MSES54537</t>
  </si>
  <si>
    <t>ES144-12/06</t>
  </si>
  <si>
    <t>SEC 27, SENE, NWNW, E2SE, EAST 30 A OF NWSE</t>
  </si>
  <si>
    <t>MSES54538</t>
  </si>
  <si>
    <t>ES145-12/06</t>
  </si>
  <si>
    <t>ST STEPHENS MERIDIAN, T6N,R7W</t>
  </si>
  <si>
    <t>SEC 12, SWNW</t>
  </si>
  <si>
    <t>MSES54539</t>
  </si>
  <si>
    <t>ES146-12/06</t>
  </si>
  <si>
    <t>SEC 5, ALL</t>
  </si>
  <si>
    <t>MSES54540</t>
  </si>
  <si>
    <t>ES147-12/06</t>
  </si>
  <si>
    <t>SEC 7, N2,N2SW,SWSW,SE</t>
  </si>
  <si>
    <t>MSES54541</t>
  </si>
  <si>
    <t>ES148-12/06</t>
  </si>
  <si>
    <t>SEC 9, E2,N2NW,SW</t>
  </si>
  <si>
    <t>MSES54542</t>
  </si>
  <si>
    <t>ES149-12/06</t>
  </si>
  <si>
    <t>SEC 10, ALL</t>
  </si>
  <si>
    <t>MSES54543</t>
  </si>
  <si>
    <t>ES150-12/06</t>
  </si>
  <si>
    <t>SEC 12, SW,W2SE,SESE</t>
  </si>
  <si>
    <t>MSES54544</t>
  </si>
  <si>
    <t>ES151-12/06</t>
  </si>
  <si>
    <t>SEC 21, ALL</t>
  </si>
  <si>
    <t>MSES54545</t>
  </si>
  <si>
    <t>ES152-12/06</t>
  </si>
  <si>
    <t>SEC 23, NWNE,N2NW,SWNW,NESW,S2SE,SWSW</t>
  </si>
  <si>
    <t>MSES54546</t>
  </si>
  <si>
    <t>ES153-12/06</t>
  </si>
  <si>
    <t>SEC 26, N2,N2S2,S2SW,SWSE</t>
  </si>
  <si>
    <t>MSES54547</t>
  </si>
  <si>
    <t>ES154-12/06</t>
  </si>
  <si>
    <t>SEC 31, NENE</t>
  </si>
  <si>
    <t>MSES54548</t>
  </si>
  <si>
    <t>ES155-12/06</t>
  </si>
  <si>
    <t>SEC 32, N 17A OF NWNW, SWNE</t>
  </si>
  <si>
    <t>MSES54549</t>
  </si>
  <si>
    <t>ES156-12/06</t>
  </si>
  <si>
    <t>SEC 36, ALL</t>
  </si>
  <si>
    <t>MSES54550</t>
  </si>
  <si>
    <t>ES157-12/06</t>
  </si>
  <si>
    <t>ST STEPHENS MERIDIAN, T6N,R10W</t>
  </si>
  <si>
    <t>SEC 1, SENE</t>
  </si>
  <si>
    <t>MSES54551</t>
  </si>
  <si>
    <t>ES158-12/06</t>
  </si>
  <si>
    <t>SEC 2, NWNE,S2NE,NENW,W2NW,W2SW,SESW,NESW LESS 60 A (SEE LSE ATTACHMENT FOR M&amp;B), W2SE</t>
  </si>
  <si>
    <t>MSES54552</t>
  </si>
  <si>
    <t>ES159-12/06</t>
  </si>
  <si>
    <t>SEC 4, ALL</t>
  </si>
  <si>
    <t>MSES54553</t>
  </si>
  <si>
    <t>ES160-12/06</t>
  </si>
  <si>
    <t>MSES54554</t>
  </si>
  <si>
    <t>ES161-12/06</t>
  </si>
  <si>
    <t>SEC 23, SENE, NESE</t>
  </si>
  <si>
    <t>MSES54557</t>
  </si>
  <si>
    <t>ES164-12/06</t>
  </si>
  <si>
    <t>ST STEPHENS MERIDIAN, T2S,R10W</t>
  </si>
  <si>
    <t>SEC 3, N2NE,SWNE,E2SW</t>
  </si>
  <si>
    <t>MSES54558</t>
  </si>
  <si>
    <t>ES165-12/06</t>
  </si>
  <si>
    <t>SEC 17, ALL LESS 0.92 A DESCRIBED IN M&amp;B IN LSE ATTACHMENT</t>
  </si>
  <si>
    <t>MSES54562</t>
  </si>
  <si>
    <t>ES169-12/06</t>
  </si>
  <si>
    <t>HARRISON</t>
  </si>
  <si>
    <t>ST STEPHENS MERIDIAN, T4S,R9W</t>
  </si>
  <si>
    <t>MSES54563</t>
  </si>
  <si>
    <t>ES170-12/06</t>
  </si>
  <si>
    <t>SEC 5, S2,W2NW,NENW</t>
  </si>
  <si>
    <t>MSES54564</t>
  </si>
  <si>
    <t>ES171-12/06</t>
  </si>
  <si>
    <t>SEC 6, NE LESS 14 A IN SENE; E2NW, SWNW, S2</t>
  </si>
  <si>
    <t>MSES54565</t>
  </si>
  <si>
    <t>ES172-12/06</t>
  </si>
  <si>
    <t>SEC 7 ALL  (642.40 A ?)</t>
  </si>
  <si>
    <t>MSES54566</t>
  </si>
  <si>
    <t>ES173-12/06</t>
  </si>
  <si>
    <t>SEC 8, ALL</t>
  </si>
  <si>
    <t>MSES54567</t>
  </si>
  <si>
    <t>ES174-12/06</t>
  </si>
  <si>
    <t>SEC 9, ALL</t>
  </si>
  <si>
    <t>MSES54568</t>
  </si>
  <si>
    <t>ES175-12/06</t>
  </si>
  <si>
    <t>SEC 15, ALL</t>
  </si>
  <si>
    <t>MSES54569</t>
  </si>
  <si>
    <t>ES176-12/06</t>
  </si>
  <si>
    <t>SEC 17, W2SW,E2NE,SWNE,N2SE,N2NW</t>
  </si>
  <si>
    <t>MSES54570</t>
  </si>
  <si>
    <t>ES177-12/06</t>
  </si>
  <si>
    <t>SEC 18, ALL</t>
  </si>
  <si>
    <t>MSES54571</t>
  </si>
  <si>
    <t>ES178-12/06</t>
  </si>
  <si>
    <t>MSES54572</t>
  </si>
  <si>
    <t>ES179-12/06</t>
  </si>
  <si>
    <t>SEC 20, S2NE,NW,E2SW,SE; SEC21, N2</t>
  </si>
  <si>
    <t>MSES54573</t>
  </si>
  <si>
    <t>ES180-12/06</t>
  </si>
  <si>
    <t>MSES54574</t>
  </si>
  <si>
    <t>ES181-12/06</t>
  </si>
  <si>
    <t>SEC 23, NE, S2</t>
  </si>
  <si>
    <t>MSES54575</t>
  </si>
  <si>
    <t>ES182-12/06</t>
  </si>
  <si>
    <t>MSES54576</t>
  </si>
  <si>
    <t>ES183-12/06</t>
  </si>
  <si>
    <t>SEC 25, ALL</t>
  </si>
  <si>
    <t>MSES54577</t>
  </si>
  <si>
    <t>ES184-12/06</t>
  </si>
  <si>
    <t>SEC 29, NE,E2NW,SWNW,E2SW,S2SE</t>
  </si>
  <si>
    <t>MSES54578</t>
  </si>
  <si>
    <t>ES185-12/06</t>
  </si>
  <si>
    <t>SEC 30, ALL</t>
  </si>
  <si>
    <t>MSES54579</t>
  </si>
  <si>
    <t>ES186-12/06</t>
  </si>
  <si>
    <t>SEC 31, W2NW,SW,W2SE</t>
  </si>
  <si>
    <t>MSES54580</t>
  </si>
  <si>
    <t>ES187-12/06</t>
  </si>
  <si>
    <t>SEC 32, N2,SW,N2SE,SESE</t>
  </si>
  <si>
    <t>MSES54581</t>
  </si>
  <si>
    <t>ES188-12/06</t>
  </si>
  <si>
    <t>SEC 35, ALL</t>
  </si>
  <si>
    <t>MSES54582</t>
  </si>
  <si>
    <t>ES189-12/06</t>
  </si>
  <si>
    <t>ST STEPHENS MERIDIAN, T5S,R9W</t>
  </si>
  <si>
    <t>SEC 12, W2SW</t>
  </si>
  <si>
    <t>MSES54584</t>
  </si>
  <si>
    <t>ES191-12-06</t>
  </si>
  <si>
    <t>WASHINGTON MERIDIAN, T6N,R4E</t>
  </si>
  <si>
    <t>SEC 5, N2NE; SEC 6 SWSW, LESS PART DESCRIBED IN M&amp;B; SEC 7, W2NW,NWSW</t>
  </si>
  <si>
    <t>MSES54585</t>
  </si>
  <si>
    <t>ES192-12/06</t>
  </si>
  <si>
    <t>SEC 8, S2NWNE; SEC 9, NE,N2NW,SENW,NESW,N2SE,SESE; SEC 10, W2NW</t>
  </si>
  <si>
    <t>MSES54586</t>
  </si>
  <si>
    <t>ES193-12/06</t>
  </si>
  <si>
    <t>SEC 32, SWNE,SESW,S2SE</t>
  </si>
  <si>
    <t>MSES54587</t>
  </si>
  <si>
    <t>ES194-12/06</t>
  </si>
  <si>
    <t>SEC 33, S2SE</t>
  </si>
  <si>
    <t>TXNM117613</t>
  </si>
  <si>
    <t>NM200701091</t>
  </si>
  <si>
    <t>HOUSTON &amp; TRINITY</t>
  </si>
  <si>
    <t>TRACT K-2v - "TRINITY CO LUMBER CO TRACT"</t>
  </si>
  <si>
    <t>SEE LEASE FOR M&amp;B &amp; MAP</t>
  </si>
  <si>
    <t>TXNM117620</t>
  </si>
  <si>
    <t>NM200701098</t>
  </si>
  <si>
    <t>SABINE</t>
  </si>
  <si>
    <t xml:space="preserve">TR S-17, S-48-50% MI; TR S-2K-IX,25% MI </t>
  </si>
  <si>
    <t>TXNM117621</t>
  </si>
  <si>
    <t>NM200701099</t>
  </si>
  <si>
    <t>SHELBY</t>
  </si>
  <si>
    <t>TR S-1B-I PARCEL #2</t>
  </si>
  <si>
    <t xml:space="preserve">SEE LEASE FOR M&amp;B </t>
  </si>
  <si>
    <t>TXNM117622</t>
  </si>
  <si>
    <t>NM200701100</t>
  </si>
  <si>
    <t>TRINITY</t>
  </si>
  <si>
    <t>TR K-2F- "TRINITY CO LUMBER CO TRACTS"</t>
  </si>
  <si>
    <t>TXNM117623</t>
  </si>
  <si>
    <t>NM200701101</t>
  </si>
  <si>
    <t>TR K-2D- "TRINITY CO LUMBER CO TRACT"</t>
  </si>
  <si>
    <t>TXNM117626</t>
  </si>
  <si>
    <t>NM200701104</t>
  </si>
  <si>
    <t>TR K-2C PARCEL #1</t>
  </si>
  <si>
    <t>TXNM117627</t>
  </si>
  <si>
    <t>NM200701105</t>
  </si>
  <si>
    <t>TR K-2C PARCEL #2</t>
  </si>
  <si>
    <t>TXNM117628</t>
  </si>
  <si>
    <t>NM200701-106</t>
  </si>
  <si>
    <t>TR K-2AG,K-2AH,K-2AR,K-2AS,K-2ASI</t>
  </si>
  <si>
    <t>TXNM117633</t>
  </si>
  <si>
    <t>NM200701111</t>
  </si>
  <si>
    <t>MCMULLEN</t>
  </si>
  <si>
    <t>NUECES RIVER PROJECT - NPRI OUTSTANDING</t>
  </si>
  <si>
    <t>TR NR-68A, NR-68B - 78.125 MI</t>
  </si>
  <si>
    <t>NMNM118115</t>
  </si>
  <si>
    <t>NM200704011</t>
  </si>
  <si>
    <t>CHAVES</t>
  </si>
  <si>
    <t>PUBLIC DOMAIN LANDS</t>
  </si>
  <si>
    <t>NMPM MERIDIAN, T60S,R31E</t>
  </si>
  <si>
    <t>SEC 17, S2SW</t>
  </si>
  <si>
    <t>NMNM118125</t>
  </si>
  <si>
    <t>NM200704021</t>
  </si>
  <si>
    <t>ORRI - 6.25 % UNIFIED, 6.25% AHUJA CHILDREN 2012 LT TRUST</t>
  </si>
  <si>
    <t>LEA</t>
  </si>
  <si>
    <t>NMPM MERIDIAN, T100S,R360E</t>
  </si>
  <si>
    <t>SEC 28, S2S2</t>
  </si>
  <si>
    <t>NMNM118129</t>
  </si>
  <si>
    <t>NM200704026</t>
  </si>
  <si>
    <t>RIO ARRIBA</t>
  </si>
  <si>
    <t>NMPM MERIDIAN, T230N,R70W</t>
  </si>
  <si>
    <t xml:space="preserve">SEC 7, LOTS 1-4; SEC 7, E2W2,SE; SEC 8, SW </t>
  </si>
  <si>
    <t>NMNM118131</t>
  </si>
  <si>
    <t>NM200704028</t>
  </si>
  <si>
    <t>McKINLEY</t>
  </si>
  <si>
    <t>NMPM MERIDIAN, T160N,R80W</t>
  </si>
  <si>
    <t>SEC 2, LOTS1,3,4, S2NW,S2; SEC4, LOTS 1-4, S2N2,S2; SEC 6, LOTS 1-7, S2NE,SENW,E2SW,SE</t>
  </si>
  <si>
    <t>OKNM118143</t>
  </si>
  <si>
    <t>OK200704041</t>
  </si>
  <si>
    <t>BEAVER</t>
  </si>
  <si>
    <t>CM MERIDIAN, T20N,R220E</t>
  </si>
  <si>
    <t>SEC 13, SESW</t>
  </si>
  <si>
    <t>OKNM118144</t>
  </si>
  <si>
    <t>OK200704042</t>
  </si>
  <si>
    <t>CM MERIDIAN, T10N,R230E</t>
  </si>
  <si>
    <t>SEC 1, NESW</t>
  </si>
  <si>
    <t>OKNM118145</t>
  </si>
  <si>
    <t>OK200704043</t>
  </si>
  <si>
    <t>CM MERIDIAN, T60N,R240E</t>
  </si>
  <si>
    <t>SEC 8, SESW; SEC 28, NWNE</t>
  </si>
  <si>
    <t>OKNM118146</t>
  </si>
  <si>
    <t>OK200704044</t>
  </si>
  <si>
    <t>CM MERIDIAN, T60N,R250E</t>
  </si>
  <si>
    <t xml:space="preserve">SEC 8, LOTS 3,4; SEC 9, LOT3; SEC 15, NWNW; SEC22, SENE </t>
  </si>
  <si>
    <t>OKNM118149</t>
  </si>
  <si>
    <t>OK200704047</t>
  </si>
  <si>
    <t>IM MERIDIAN, T50N,R120W</t>
  </si>
  <si>
    <t>SEC 32, SE</t>
  </si>
  <si>
    <t>OKNM118156</t>
  </si>
  <si>
    <t>OK200704054</t>
  </si>
  <si>
    <t>DEWEY</t>
  </si>
  <si>
    <t>OKNM118157</t>
  </si>
  <si>
    <t>OK200704055</t>
  </si>
  <si>
    <t>IM MERIDIAN, T180N,R160W</t>
  </si>
  <si>
    <t>SEC 11, NESE,SWSE</t>
  </si>
  <si>
    <t>OKNM118161</t>
  </si>
  <si>
    <t>OK200704059</t>
  </si>
  <si>
    <t>TILLMAN</t>
  </si>
  <si>
    <t>IM MERIDIAN, T40S,R170W</t>
  </si>
  <si>
    <t>SEC 10, LOTS 1A, 1B, 2A, 2B; SEC15, LOTS A, B</t>
  </si>
  <si>
    <t>OKNM118168</t>
  </si>
  <si>
    <t>OK200704066</t>
  </si>
  <si>
    <t>IM MERIDIAN, T20S,R190W</t>
  </si>
  <si>
    <t>SEC 6, LOTS 3,4; SEC 7, LOTS 9,10; SEC 17, LOT 4; SEC 20, LOT 1</t>
  </si>
  <si>
    <t>OKNM118175</t>
  </si>
  <si>
    <t>OK200704073</t>
  </si>
  <si>
    <t>ELLIS</t>
  </si>
  <si>
    <t>IM MERIDIAN, T170N,R230W</t>
  </si>
  <si>
    <t>SEC 30, NWNE</t>
  </si>
  <si>
    <t>OKNM118176</t>
  </si>
  <si>
    <t>OK200704074</t>
  </si>
  <si>
    <t>IM MERIDIAN, T190N, R230W</t>
  </si>
  <si>
    <t>SEC 24, W2SW; SEC 25, SWSW</t>
  </si>
  <si>
    <t>OKNM118181</t>
  </si>
  <si>
    <t>OK200704079</t>
  </si>
  <si>
    <t>IM MERIDIAN, T160N,R250W</t>
  </si>
  <si>
    <t>SEC 1, LOT 1; SEC 9, NWSW</t>
  </si>
  <si>
    <t>OKNM118182</t>
  </si>
  <si>
    <t>OK200704080</t>
  </si>
  <si>
    <t>ASGN REC. 50%</t>
  </si>
  <si>
    <t>IM MERIDIAN, T170N,R250W</t>
  </si>
  <si>
    <t>SEC 34, NENE, SWNE, SENW, NESW</t>
  </si>
  <si>
    <t>OKNM118185</t>
  </si>
  <si>
    <t>OK200704083</t>
  </si>
  <si>
    <t>IM MERIDIAN, T220N,R250W</t>
  </si>
  <si>
    <t>SEC 30 SENW</t>
  </si>
  <si>
    <t>OKNM118186</t>
  </si>
  <si>
    <t>OK200704084</t>
  </si>
  <si>
    <t>HARPER</t>
  </si>
  <si>
    <t>IM MERIDIAN, T290N,R250W</t>
  </si>
  <si>
    <t>SEC 14, LOT 7; SWSW; SEC17, LOT 8; NWSE; SEC 21 LOT 1; SEC 22, LOT 4, SEC 23, LOST 1,5,6</t>
  </si>
  <si>
    <t>OKNM118190</t>
  </si>
  <si>
    <t>OK200704089</t>
  </si>
  <si>
    <t>IM MERIDIAN, T130N,R190W</t>
  </si>
  <si>
    <t>SEC 23, NW</t>
  </si>
  <si>
    <t>OKNM118192</t>
  </si>
  <si>
    <t>OK200704091</t>
  </si>
  <si>
    <t>WOODWARD</t>
  </si>
  <si>
    <t xml:space="preserve">IM MERIDIAN, R240N,R220W </t>
  </si>
  <si>
    <t>SEC 31, SESE; SEC 32, ALL</t>
  </si>
  <si>
    <t>OKNM118195</t>
  </si>
  <si>
    <t>OK200704094</t>
  </si>
  <si>
    <t>IM MERIDIAN, T140N,R250W</t>
  </si>
  <si>
    <t>SEC 12, NWNW</t>
  </si>
  <si>
    <t>TXNM118196</t>
  </si>
  <si>
    <t>TX200704095</t>
  </si>
  <si>
    <t>NUECES RIVER PROJECT</t>
  </si>
  <si>
    <t>TR 57, (153.8 A) TR65M (844 A)</t>
  </si>
  <si>
    <t xml:space="preserve">TR 57 - 78.125% MINERAL INTEREST; TR 65M - 100% MI </t>
  </si>
  <si>
    <t>TXNM118197</t>
  </si>
  <si>
    <t>TX200704096</t>
  </si>
  <si>
    <t>DAVY CROCKETT NAT'L FOREST</t>
  </si>
  <si>
    <t>TR K-10; TR SEE EXHIBIT A FOR M&amp;B W/MAP</t>
  </si>
  <si>
    <t>TXNM118198</t>
  </si>
  <si>
    <t>TX200704097</t>
  </si>
  <si>
    <t>TR K-10B; TR SEE EXHIBIT B FOR M&amp;B W/MAP</t>
  </si>
  <si>
    <t>TXNM118199</t>
  </si>
  <si>
    <t>TX200704098</t>
  </si>
  <si>
    <t>TR K-10E; TR SEE EXHIBIT C FOR M&amp;B W/MAP</t>
  </si>
  <si>
    <t>TXNM118204</t>
  </si>
  <si>
    <t>TX200704103</t>
  </si>
  <si>
    <t>TR K-52; TR SEE EXHIBIT H FOR M&amp;B W/MAP</t>
  </si>
  <si>
    <t>TXNM118205</t>
  </si>
  <si>
    <t>TX200704104</t>
  </si>
  <si>
    <t>TR K-67; TR SEE EXHIBIT I FOR M&amp;B W/MAP</t>
  </si>
  <si>
    <t>50% INTEREST</t>
  </si>
  <si>
    <t>TXNM118206</t>
  </si>
  <si>
    <t>TX200704105</t>
  </si>
  <si>
    <t>TR K-84; TR SEE EXHIBIT J FOR M&amp;B W/MAP</t>
  </si>
  <si>
    <t>50% NPRI RESERVED</t>
  </si>
  <si>
    <t>TXNM118214</t>
  </si>
  <si>
    <t>TX200704113</t>
  </si>
  <si>
    <t>TR K-1Q; TR SEE EXHIBIT R FOR M&amp;B W/MAP</t>
  </si>
  <si>
    <t>ARES54668</t>
  </si>
  <si>
    <t>ES-2007-06-62</t>
  </si>
  <si>
    <t>ARES54670</t>
  </si>
  <si>
    <t>ES-2007-06-64</t>
  </si>
  <si>
    <t>OUACHITA NATIONAL FOREST</t>
  </si>
  <si>
    <t>5TH PRINCIPAL MERIDIAN, T3N,R21W</t>
  </si>
  <si>
    <t>SEC 31, TRACT A-818b IN NWSE (29.08A); SEC 36, TRACT A-3784 (181.11A)</t>
  </si>
  <si>
    <t>ARES54672</t>
  </si>
  <si>
    <t>ES-2007-06-66</t>
  </si>
  <si>
    <t>5TH PRINCIPAL MERIDIAN, T5N,R25W</t>
  </si>
  <si>
    <t>SEC 28, NENE, S2NE,SENW,W2SW,SESW,NESE,S2SE</t>
  </si>
  <si>
    <t>ARES54673</t>
  </si>
  <si>
    <t>ES-2007-06-67</t>
  </si>
  <si>
    <t>SEC 28, SWNW,NESW,NWSE</t>
  </si>
  <si>
    <t>ARES54681</t>
  </si>
  <si>
    <t>ES-2007-06-75</t>
  </si>
  <si>
    <t>VAN BUREN</t>
  </si>
  <si>
    <t>OZARK NATIONAL FOREST</t>
  </si>
  <si>
    <t>5TH PRINCIPAL MERIDIAN, T11N,R16W</t>
  </si>
  <si>
    <t>SEC 29, N2NE, NENW; SEC 30, E2, NW; SEC 31, NENE, SWNE, N2SE, SESE; SEC 32 W2NW, NWSW, SESE</t>
  </si>
  <si>
    <t>ARES54683</t>
  </si>
  <si>
    <t>ES-2007-06-77</t>
  </si>
  <si>
    <t>POPE</t>
  </si>
  <si>
    <t>5TH PRINCIPAL MERIDIAN, T12N,R17W</t>
  </si>
  <si>
    <t>SEC 31, SWNE, NESW, W2SE</t>
  </si>
  <si>
    <t>LAES54696</t>
  </si>
  <si>
    <t>ES-2007-06-90</t>
  </si>
  <si>
    <t>KISATCHIE NATIONAL FOREST</t>
  </si>
  <si>
    <t>SEC 12, SENW, E2SW, E2SWNE, SE, S2SW</t>
  </si>
  <si>
    <t>MIES54700</t>
  </si>
  <si>
    <t>ES-2007-06-94</t>
  </si>
  <si>
    <t>LAKE</t>
  </si>
  <si>
    <t>MI</t>
  </si>
  <si>
    <t>MANISTEE NATIONAL FOREST</t>
  </si>
  <si>
    <t>MICHIGAN MERIDIAN, T18N,R14W</t>
  </si>
  <si>
    <t>SEC 13, NW; SEC 14, S2NE, E2SENW, N2SW, SWSW</t>
  </si>
  <si>
    <t>MIES54701</t>
  </si>
  <si>
    <t>ES-2007-06-95</t>
  </si>
  <si>
    <t>SEC 22, SENE; SEC 23, NENW, S2NW, E2SE; SEC 24, PT. W2NW, E2SW, SWSW, SE</t>
  </si>
  <si>
    <t>MIES54702</t>
  </si>
  <si>
    <t>ES-2007-06-96</t>
  </si>
  <si>
    <t>SEC 25, SW; SEC 26, N2NE, SE; SEC 27, E2NWSE, PART OF E2SSE EXC 100' PMRR ROW</t>
  </si>
  <si>
    <t>MSES54711</t>
  </si>
  <si>
    <t>ES-2007-06-105</t>
  </si>
  <si>
    <t>HOMOCHITTO NATIONAL FOREST</t>
  </si>
  <si>
    <t>WASHINGTON MERIDIAN, T5N, R1E</t>
  </si>
  <si>
    <t>SEC 19, LOTS 1,2,3,6,7,8 (TRACT H-1)</t>
  </si>
  <si>
    <t>MSES54712</t>
  </si>
  <si>
    <t>ES-2007-06-106</t>
  </si>
  <si>
    <t>ACREAGE AMENDED</t>
  </si>
  <si>
    <t>SEC 20, NE, S2SE (TRACT H-1)</t>
  </si>
  <si>
    <t>MSES54713</t>
  </si>
  <si>
    <t>ES-2007-06-107</t>
  </si>
  <si>
    <t>SEC 20, S2NW</t>
  </si>
  <si>
    <t>MSES54714</t>
  </si>
  <si>
    <t>ES-2007-06-108</t>
  </si>
  <si>
    <t>SEC 34, W2NE, SENE, W2, SE (TRACT H-1, H-146)</t>
  </si>
  <si>
    <t>MSES54715</t>
  </si>
  <si>
    <t>ES-2007-06-109</t>
  </si>
  <si>
    <t>SEC 35, TRACT H-1: ALL</t>
  </si>
  <si>
    <t>MSES54716</t>
  </si>
  <si>
    <t>ES-2007-06-110</t>
  </si>
  <si>
    <t>SEC 46, TRACT H-13: LOT 1; LOTS 5 &amp; 6 LESS 100 ACRES OFF S END</t>
  </si>
  <si>
    <t>MSES54719</t>
  </si>
  <si>
    <t>ES-2007-06-113</t>
  </si>
  <si>
    <t>WASHINGTON MERIDIAN, T5N, R2E</t>
  </si>
  <si>
    <t>SEC 17, N2, SW</t>
  </si>
  <si>
    <t>MSES54720</t>
  </si>
  <si>
    <t>ES-2007-06-114</t>
  </si>
  <si>
    <t>SEC 17, SE</t>
  </si>
  <si>
    <t>MSES54721</t>
  </si>
  <si>
    <t>ES-2007-06-115</t>
  </si>
  <si>
    <t>SEC 19, SE</t>
  </si>
  <si>
    <t>MSES54723</t>
  </si>
  <si>
    <t>ES-2007-06-117</t>
  </si>
  <si>
    <t>WASHINGTON MERIDIAN, T6N, R2E</t>
  </si>
  <si>
    <t>SEC 31, LOTS 13 AND 14</t>
  </si>
  <si>
    <t>MSES54730</t>
  </si>
  <si>
    <t>ES-2007-06-124</t>
  </si>
  <si>
    <t>EXPLORATION AGRMT. MEADVILLE 3D - PETROHUNT</t>
  </si>
  <si>
    <t>WASHINGTON MERIDIAN, T5N, R3E</t>
  </si>
  <si>
    <t>SEC 33, ALL; SEC 34, W2NE, NW</t>
  </si>
  <si>
    <t>MSES54731</t>
  </si>
  <si>
    <t>ES-2007-06-125</t>
  </si>
  <si>
    <t>SEC 35, NWSW, S2SW, SWSE</t>
  </si>
  <si>
    <t>MSES54732</t>
  </si>
  <si>
    <t>ES-2007-06-126</t>
  </si>
  <si>
    <t>SEC 36, SE</t>
  </si>
  <si>
    <t>MSES54733</t>
  </si>
  <si>
    <t>ES-2007-06-127</t>
  </si>
  <si>
    <t xml:space="preserve">SEC 37, NE, NESW, S2SW, N2SE </t>
  </si>
  <si>
    <t>MSES54734</t>
  </si>
  <si>
    <t>ES-2007-06-128</t>
  </si>
  <si>
    <t>SEC 43, N2NE, SENE</t>
  </si>
  <si>
    <t>MSES54735</t>
  </si>
  <si>
    <t>ES-2007-06-129</t>
  </si>
  <si>
    <t>SEC 44, NW</t>
  </si>
  <si>
    <t>MSES54736</t>
  </si>
  <si>
    <t>ES-2007-06-130</t>
  </si>
  <si>
    <t>WASHINGTON MERIDIAN, T5N, R4E</t>
  </si>
  <si>
    <t>SEC 29, NWNW; SEC 30, NWSE</t>
  </si>
  <si>
    <t>MSES54740</t>
  </si>
  <si>
    <t>ES-2007-06-134</t>
  </si>
  <si>
    <t>GEORGE</t>
  </si>
  <si>
    <t>ST STEPHENS MERIDIAN, T3S, R9W</t>
  </si>
  <si>
    <t>SEC 2, W2, NWNE</t>
  </si>
  <si>
    <t>MSES54741</t>
  </si>
  <si>
    <t>ES-2007-06-135</t>
  </si>
  <si>
    <t>SEC 3, NE, N2NW, SW</t>
  </si>
  <si>
    <t>MSES54742</t>
  </si>
  <si>
    <t>ES-2007-06-136</t>
  </si>
  <si>
    <t>SEC 4, N2, W2SW, SE1/4 LESS 10A DESCRIBED BY M&amp;B IN LEASE ATTACHMENT</t>
  </si>
  <si>
    <t>MSES54743</t>
  </si>
  <si>
    <t>ES-2007-06-137</t>
  </si>
  <si>
    <t>SEC 5, NE, W2 LESS PART OF SENW &amp; NESW, APPROX 1.55 A DESCRIBED BY M&amp;B IN LEASE ATTACHMENT</t>
  </si>
  <si>
    <t>MSES54744</t>
  </si>
  <si>
    <t>ES-2007-06-138</t>
  </si>
  <si>
    <t>MSES54745</t>
  </si>
  <si>
    <t>ES-2007-06-139</t>
  </si>
  <si>
    <t>SEC 7, S2</t>
  </si>
  <si>
    <t>MSES54746</t>
  </si>
  <si>
    <t>ES-2007-06-140</t>
  </si>
  <si>
    <t>SEC 8, N2NE &amp; SWNE LESS 1.18 A DESCRIBED BY M&amp;B; NENWSE; S2NWSE; NENESE; S2NESE; SESE</t>
  </si>
  <si>
    <t>MSES54747</t>
  </si>
  <si>
    <t>ES-2007-06-141</t>
  </si>
  <si>
    <t>SEC 9, NE, E2NW, SWSW, NWSE</t>
  </si>
  <si>
    <t>MSES54748</t>
  </si>
  <si>
    <t>ES-2007-06-142</t>
  </si>
  <si>
    <t>SEC 10, E2E2 LESS &amp; EXCEPT E1/4SENE, W2E2, E2W2, W2W2 LESS &amp; EXCEPT S2SWSW</t>
  </si>
  <si>
    <t>MSES54750</t>
  </si>
  <si>
    <t>ES-2007-06-144</t>
  </si>
  <si>
    <t>SEC 12, N2 LESS NENE</t>
  </si>
  <si>
    <t>MSES54751</t>
  </si>
  <si>
    <t>ES-2007-06-145</t>
  </si>
  <si>
    <t>SEC 17,NWSW, S2SW, NESE, S2SE</t>
  </si>
  <si>
    <t>MSES54752</t>
  </si>
  <si>
    <t>ES-2007-06-146</t>
  </si>
  <si>
    <t>MSES54753</t>
  </si>
  <si>
    <t>ES-2007-06-147</t>
  </si>
  <si>
    <t>SEC 19, E2, N2NW, SWNW, SW</t>
  </si>
  <si>
    <t>MSES54754</t>
  </si>
  <si>
    <t>ES-2007-06-148</t>
  </si>
  <si>
    <t>SEC 20. NENE, S2NE, N2NW, SENW, NESW, S2SW, SE</t>
  </si>
  <si>
    <t>MSES54755</t>
  </si>
  <si>
    <t>ES-2007-06-149</t>
  </si>
  <si>
    <t>SEC 22, S2S2, N2SW</t>
  </si>
  <si>
    <t>MSES54756</t>
  </si>
  <si>
    <t>ES-2007-06-150</t>
  </si>
  <si>
    <t>SEC 25, S2NE, W2</t>
  </si>
  <si>
    <t>MSES54757</t>
  </si>
  <si>
    <t>ES-2007-06-151</t>
  </si>
  <si>
    <t>SEC 26, ALL</t>
  </si>
  <si>
    <t>MSES54758</t>
  </si>
  <si>
    <t>ES-2007-06-152</t>
  </si>
  <si>
    <t>SEC 27, ALL</t>
  </si>
  <si>
    <t>MSES54759</t>
  </si>
  <si>
    <t>ES-2007-06-153</t>
  </si>
  <si>
    <t>SEC 28, E2, N2NW, SENW</t>
  </si>
  <si>
    <t>MSES54761</t>
  </si>
  <si>
    <t>ES-2007-06-155</t>
  </si>
  <si>
    <t>SEC 30, N2, SE</t>
  </si>
  <si>
    <t>MSES54762</t>
  </si>
  <si>
    <t>ES-2007-06-156</t>
  </si>
  <si>
    <t>SEC 31, E2W2, SWNW, W2SENE, SE</t>
  </si>
  <si>
    <t>MSES54765</t>
  </si>
  <si>
    <t>ES-2007-06-159</t>
  </si>
  <si>
    <t>SEC 34, ALL</t>
  </si>
  <si>
    <t>MSES54766</t>
  </si>
  <si>
    <t>ES-2007-06-160</t>
  </si>
  <si>
    <t>MSES54777</t>
  </si>
  <si>
    <t>ES-2007-06-171</t>
  </si>
  <si>
    <t>ST STEPHENS MERIDIAN, T4S, R9W</t>
  </si>
  <si>
    <t>SEC 10, N2</t>
  </si>
  <si>
    <t>MSES54779</t>
  </si>
  <si>
    <t>ES-2007-06-173</t>
  </si>
  <si>
    <t>SEC 12, ALL LESS NENE</t>
  </si>
  <si>
    <t>MSES54792</t>
  </si>
  <si>
    <t>ES-2007-06-186</t>
  </si>
  <si>
    <t>MSES54793</t>
  </si>
  <si>
    <t>ES-2007-06-187</t>
  </si>
  <si>
    <t>SEC 28, E2, NESW</t>
  </si>
  <si>
    <t>MSES54797</t>
  </si>
  <si>
    <t>ES-2007-06-191</t>
  </si>
  <si>
    <t>SEC 33, SE</t>
  </si>
  <si>
    <t>MSES54802</t>
  </si>
  <si>
    <t>ES-2007-06-196</t>
  </si>
  <si>
    <t>ST STEPHENS MERIDIAN, T5S, R9W</t>
  </si>
  <si>
    <t>MSES54809</t>
  </si>
  <si>
    <t>ES-2007-06-203</t>
  </si>
  <si>
    <t>ST STEPHENS MERIDIAN, T3S, R10W</t>
  </si>
  <si>
    <t>SEC 1, NE, N2NW, E2SW, NESE</t>
  </si>
  <si>
    <t>MSES54810</t>
  </si>
  <si>
    <t>ES-2007-06-204</t>
  </si>
  <si>
    <t>SEC 2, SENE, S2NW, SW, W2SE, NESE LESS 3.91 A. DESCRIBED BY M&amp;B IN LEASE</t>
  </si>
  <si>
    <t>MSES54811</t>
  </si>
  <si>
    <t>ES-2007-06-205</t>
  </si>
  <si>
    <t>SEC 11, E2NE, SWNE, N2NW, SENW, N2SW, SESW, SE</t>
  </si>
  <si>
    <t>MSES54812</t>
  </si>
  <si>
    <t>ES-2007-06-206</t>
  </si>
  <si>
    <t>SEC 12, N2 LESS +/- 4.10A DESCRIBED BYM&amp;B IN LSE ATTACHMENT, N2SW, SESW, SE</t>
  </si>
  <si>
    <t>MSES54813</t>
  </si>
  <si>
    <t>ES-2007-06-207</t>
  </si>
  <si>
    <t xml:space="preserve">STONE </t>
  </si>
  <si>
    <t>SEC 13, E2, E2NW, SWNW, SW</t>
  </si>
  <si>
    <t>MSES54814</t>
  </si>
  <si>
    <t>ES-2007-06-208</t>
  </si>
  <si>
    <t>SEC 25, ALL LESS E2SE</t>
  </si>
  <si>
    <t>MSES54826</t>
  </si>
  <si>
    <t>ES-2007-06-220</t>
  </si>
  <si>
    <t>CANCELLED</t>
  </si>
  <si>
    <t>ST STEPHENS MERIDIAN, T4S, R10W</t>
  </si>
  <si>
    <t>MSES54827</t>
  </si>
  <si>
    <t>ES-2007-06-221</t>
  </si>
  <si>
    <t>MSES54828</t>
  </si>
  <si>
    <t>ES-2007-06-222</t>
  </si>
  <si>
    <t>SEC 26, N2, NESW, SE</t>
  </si>
  <si>
    <t>MSES54831</t>
  </si>
  <si>
    <t>ES-2007-06-225</t>
  </si>
  <si>
    <t>SEC 34, N2NW, S2SW, SE</t>
  </si>
  <si>
    <t>MSES54832</t>
  </si>
  <si>
    <t>ES-2007-06-226</t>
  </si>
  <si>
    <t>MSES54834</t>
  </si>
  <si>
    <t>ES-2007-06-228</t>
  </si>
  <si>
    <t>ST STEPHENS MERIDIAN, T5S, R10W</t>
  </si>
  <si>
    <t>MSES54835</t>
  </si>
  <si>
    <t>ES-2007-06-229</t>
  </si>
  <si>
    <t>SEC 2, ALL</t>
  </si>
  <si>
    <t>MSES54836</t>
  </si>
  <si>
    <t>ES-2007-06-230</t>
  </si>
  <si>
    <t>SEC 3, ALL</t>
  </si>
  <si>
    <t>MSES54837</t>
  </si>
  <si>
    <t>ES-2007-06-231</t>
  </si>
  <si>
    <t>MSES54838</t>
  </si>
  <si>
    <t>ES-2007-06-232</t>
  </si>
  <si>
    <t>MSES54840</t>
  </si>
  <si>
    <t>ES-2007-06-234</t>
  </si>
  <si>
    <t>MSES54841</t>
  </si>
  <si>
    <t>ES-2007-06-235</t>
  </si>
  <si>
    <t>SEC 10, NWNE, SENE, NENW EXCEPT 2 A DESCRIBED IN METES &amp; BOUNDS, S2SW, E2SE</t>
  </si>
  <si>
    <t>MSES54842</t>
  </si>
  <si>
    <t>ES-2007-06-236</t>
  </si>
  <si>
    <t>SEC 11, ALL</t>
  </si>
  <si>
    <t>MSES54843</t>
  </si>
  <si>
    <t>ES-2007-06-237</t>
  </si>
  <si>
    <t>SEC 12, ALL</t>
  </si>
  <si>
    <t>MSES54844</t>
  </si>
  <si>
    <t>ES-2007-06-238</t>
  </si>
  <si>
    <t>MSES54845</t>
  </si>
  <si>
    <t>ES-2007-06-239</t>
  </si>
  <si>
    <t>MSES54846</t>
  </si>
  <si>
    <t>ES-2007-06-240</t>
  </si>
  <si>
    <t xml:space="preserve">SEC 17, LESS 13.79 A DESCRIBED IN M&amp;B </t>
  </si>
  <si>
    <t>MSES54849</t>
  </si>
  <si>
    <t>ES-2007-06-243</t>
  </si>
  <si>
    <t>MSES54850</t>
  </si>
  <si>
    <t>ES-2007-06-244</t>
  </si>
  <si>
    <t>SEC 23, ALL</t>
  </si>
  <si>
    <t>MSES54851</t>
  </si>
  <si>
    <t>ES-2007-06-245</t>
  </si>
  <si>
    <t>MSES54867</t>
  </si>
  <si>
    <t>ES-2007-06-261</t>
  </si>
  <si>
    <t>ST STEPHENS MERIDIAN, T1S, R12W</t>
  </si>
  <si>
    <t>SEC 3, N2SW</t>
  </si>
  <si>
    <t>MSES54868</t>
  </si>
  <si>
    <t>ES-2007-06-262</t>
  </si>
  <si>
    <t>SEC 33, E2</t>
  </si>
  <si>
    <t>NMNM118672</t>
  </si>
  <si>
    <t>NM200707011</t>
  </si>
  <si>
    <t>SOCORRO</t>
  </si>
  <si>
    <t>NMPM MERIDIAN T30S; R80E</t>
  </si>
  <si>
    <t>SEC. 23, 24, 25, 26 ALL</t>
  </si>
  <si>
    <t>NMNM118673</t>
  </si>
  <si>
    <t>NM200707012</t>
  </si>
  <si>
    <t>SEC. 27, 33, 34 ALL; SEC 35, N2</t>
  </si>
  <si>
    <t>NMNM118674</t>
  </si>
  <si>
    <t>NM200707013</t>
  </si>
  <si>
    <t>NMPM MERIDIAN T40S; R80E</t>
  </si>
  <si>
    <t>SEC 4, LOTS 1-4; S2N2,S2</t>
  </si>
  <si>
    <t>NMNM118675</t>
  </si>
  <si>
    <t>NM200707014</t>
  </si>
  <si>
    <t>SEC 9 ALL; SEC 15 S2NW,SW</t>
  </si>
  <si>
    <t>NMNM118676</t>
  </si>
  <si>
    <t>NM200707015</t>
  </si>
  <si>
    <t>NMPM MERIDIAN T30S; R90E</t>
  </si>
  <si>
    <t>SEC19, LOTS 1-4;E2,E2W2; SEC 20, 21 ALL; SEC 30, LOTS 1-4; E2,E2W2</t>
  </si>
  <si>
    <t>NMNM118677</t>
  </si>
  <si>
    <t>NM200707016</t>
  </si>
  <si>
    <t>SEC 25, 26 ALL; SEC 36, N2WE, NENW</t>
  </si>
  <si>
    <t>NMNM118678</t>
  </si>
  <si>
    <t>NM200707017</t>
  </si>
  <si>
    <t>SEC 27, 28, 29 ALL</t>
  </si>
  <si>
    <t>NMNM118679</t>
  </si>
  <si>
    <t>NM200707018</t>
  </si>
  <si>
    <t>SEC 33 N2; SEC 34, 35 ALL</t>
  </si>
  <si>
    <t>NMNM118680</t>
  </si>
  <si>
    <t>NM200707019</t>
  </si>
  <si>
    <t>NMPM MERIDIAN T40S; R90E</t>
  </si>
  <si>
    <t>SEC 1, LOTS 1-4; S2N2, S2; SEC 12, E2</t>
  </si>
  <si>
    <t>NMNM118686</t>
  </si>
  <si>
    <t>NM200707025</t>
  </si>
  <si>
    <t>NMPM MERIDIAN T150S; R210E</t>
  </si>
  <si>
    <t>SEC 29 N2,NENW,S2SW,SWSE; SEC 30 LOTS 1,3,4; N2NE,NENW,E2SW,SE; SEC 31 LOTS 5-20</t>
  </si>
  <si>
    <t>NMNM118688</t>
  </si>
  <si>
    <t>NM200707027</t>
  </si>
  <si>
    <t>NMPM MERIDIAN T150S; R220E</t>
  </si>
  <si>
    <t>SEC 25 ALL; SEC 26 E2</t>
  </si>
  <si>
    <t>NMNM118689</t>
  </si>
  <si>
    <t>NM200707028</t>
  </si>
  <si>
    <t>SEC 33, S2NE,SE; SEC 34 S2N2,S2; SEC 35 N2NE,S2N2,S2</t>
  </si>
  <si>
    <t>NMNM118711</t>
  </si>
  <si>
    <t>NM200707050</t>
  </si>
  <si>
    <t>HARDING</t>
  </si>
  <si>
    <t>NMPM MERIDIAN T170N; R290E</t>
  </si>
  <si>
    <t>SEC 1 SWNE,S2NW,N2SW,SESW,SE; SEC 12 N2NE,SWNE</t>
  </si>
  <si>
    <t>NMNM118715</t>
  </si>
  <si>
    <t>NM200707054</t>
  </si>
  <si>
    <t>NMPM MERIDIAN T140S; R300E</t>
  </si>
  <si>
    <t>SEC 17 S2</t>
  </si>
  <si>
    <t>NMNM118719</t>
  </si>
  <si>
    <t>NM200707059</t>
  </si>
  <si>
    <t>NMPM MERIDIAN R260S; R310E</t>
  </si>
  <si>
    <t>SEC 19 LOTS 3,4; E2SW</t>
  </si>
  <si>
    <t>NMNM118725</t>
  </si>
  <si>
    <t>NM200707065</t>
  </si>
  <si>
    <t>NMPM MERIDIAN R230S; R330E</t>
  </si>
  <si>
    <t>SEC 30 SESE</t>
  </si>
  <si>
    <t>NMNM118726</t>
  </si>
  <si>
    <t>NM200707066</t>
  </si>
  <si>
    <t>NMPM MERIDIAN T250S; R330E</t>
  </si>
  <si>
    <t>SEC 4 LOT 4; SEC 5 LOTS 1-4, S2N2,S2; SEC 9 ALL</t>
  </si>
  <si>
    <t>NMNM118727</t>
  </si>
  <si>
    <t>NM200707067</t>
  </si>
  <si>
    <t>NMPM MERIDIAN T260S; R330E</t>
  </si>
  <si>
    <t>SEC 20 ALL</t>
  </si>
  <si>
    <t>OKNM118732</t>
  </si>
  <si>
    <t>OK20070772</t>
  </si>
  <si>
    <t>CIMARRON</t>
  </si>
  <si>
    <t>CM MERIDIAN T50N; R30E</t>
  </si>
  <si>
    <t>SEC 4, S2S2; SEC 6 LOT 7; SEC 7 SENW; SEC 9 NW,N2SW; SEC 17 NWSE</t>
  </si>
  <si>
    <t>TXNM118758</t>
  </si>
  <si>
    <t>TX200708098</t>
  </si>
  <si>
    <t>HILL</t>
  </si>
  <si>
    <t>AQUILLA LAKE MID - BRAZOS</t>
  </si>
  <si>
    <t>TRACT 110, 115, 120</t>
  </si>
  <si>
    <t>TXNM118759</t>
  </si>
  <si>
    <t>TX200707099</t>
  </si>
  <si>
    <t>TRACT 111,112,113,114-1,122</t>
  </si>
  <si>
    <t>TXNM118760</t>
  </si>
  <si>
    <t>TX200707100</t>
  </si>
  <si>
    <t>JOHNSON</t>
  </si>
  <si>
    <t>WHITNEY LAKE</t>
  </si>
  <si>
    <t>TRACT W-R 1614, W-R 1616</t>
  </si>
  <si>
    <t>TXNM118761</t>
  </si>
  <si>
    <t>TX200707101</t>
  </si>
  <si>
    <t>TRACT 103,201</t>
  </si>
  <si>
    <t>TXNM118762</t>
  </si>
  <si>
    <t>TX200707102</t>
  </si>
  <si>
    <t>TRACT 68</t>
  </si>
  <si>
    <t>TXNM118765</t>
  </si>
  <si>
    <t>TX200707105</t>
  </si>
  <si>
    <t>TRACT 411-1</t>
  </si>
  <si>
    <t>TXNM118766</t>
  </si>
  <si>
    <t>TX200707106</t>
  </si>
  <si>
    <t>TRACT 648  PARCEL #1</t>
  </si>
  <si>
    <t>TXNM118767</t>
  </si>
  <si>
    <t>TX200707107</t>
  </si>
  <si>
    <t>TRACT 686</t>
  </si>
  <si>
    <t>TXNM118768</t>
  </si>
  <si>
    <t>TX200707108</t>
  </si>
  <si>
    <t>TRACT 805 - US OWNS 50% MI 90 ACRES</t>
  </si>
  <si>
    <t>TXNM118769</t>
  </si>
  <si>
    <t>TX200707109</t>
  </si>
  <si>
    <t>TRACT 806</t>
  </si>
  <si>
    <t>TXNM118770</t>
  </si>
  <si>
    <t>TX200707110</t>
  </si>
  <si>
    <t>LIVE OAK</t>
  </si>
  <si>
    <t>NUECES RIVER</t>
  </si>
  <si>
    <t>TR NR 35-1 NUECES RIVER 50% INTEREST - SEE NOTATIONS IN LEASE</t>
  </si>
  <si>
    <t>TXNM118771</t>
  </si>
  <si>
    <t>TX200707111</t>
  </si>
  <si>
    <t>LIVE OAK &amp; MCMULLEN</t>
  </si>
  <si>
    <t>TR NR-46 NUECES RIVER 100% INTEREST - SEE NOTATIONS IN LEASE</t>
  </si>
  <si>
    <t>TXNM118772</t>
  </si>
  <si>
    <t>TX200707112</t>
  </si>
  <si>
    <t>TR NR-40, NR-48 NUECES RIVER  100% INTEREST - SEE NOTATIONS IN LEASE</t>
  </si>
  <si>
    <t>TXNM118773</t>
  </si>
  <si>
    <t>TX200707113</t>
  </si>
  <si>
    <t>TR W-C 290</t>
  </si>
  <si>
    <t>ARES55005</t>
  </si>
  <si>
    <t>ES-013-09/07</t>
  </si>
  <si>
    <t>PERRY &amp; YELL</t>
  </si>
  <si>
    <t>T4N, R21W, 5TH PRINCIPAL MERIDIAN</t>
  </si>
  <si>
    <t>SEC 6, N2NE,SENE,NW</t>
  </si>
  <si>
    <t>ARES55007</t>
  </si>
  <si>
    <t>ES-015-09/07</t>
  </si>
  <si>
    <t>T5N, R25W, 5TH PRINCIPAL MERIDIAN</t>
  </si>
  <si>
    <t>SEC 32, ALL</t>
  </si>
  <si>
    <t>ARES55008</t>
  </si>
  <si>
    <t>ES-016-09/07</t>
  </si>
  <si>
    <t>SEC 33, ALL</t>
  </si>
  <si>
    <t>ARES55039</t>
  </si>
  <si>
    <t>ES-047-09/07</t>
  </si>
  <si>
    <t>T12N, R30W, 5TH PRINCIPAL MERIDIAN</t>
  </si>
  <si>
    <t>SEC 24, SWNE</t>
  </si>
  <si>
    <t>ARES55056</t>
  </si>
  <si>
    <t>ES-064-09/07</t>
  </si>
  <si>
    <t>SEC 12, SWSE</t>
  </si>
  <si>
    <t>ARES55058</t>
  </si>
  <si>
    <t>ES-066-09/07</t>
  </si>
  <si>
    <t>T11N, R32W, 5TH PRINCIPAL MERIDIAN</t>
  </si>
  <si>
    <t>SEC 27 PART OF SENE, AND E2SE - SEE LSE FOR M&amp;B</t>
  </si>
  <si>
    <t>LAES55060</t>
  </si>
  <si>
    <t>ES-068-09/07</t>
  </si>
  <si>
    <t>QEP. 100% OPERATING RIGHTS (PROD.)</t>
  </si>
  <si>
    <t>T12N, R12W, LOUISIANA MERIDIAN</t>
  </si>
  <si>
    <t>SEC 6, SWSW</t>
  </si>
  <si>
    <t>LAES55061</t>
  </si>
  <si>
    <t>ES-069-09/07</t>
  </si>
  <si>
    <t>LEASE COMMITTED TO CA-LAES57513,56409. PROD. STATUS</t>
  </si>
  <si>
    <t>CADDO PARISH</t>
  </si>
  <si>
    <t>T15N, R16W, LOUISIANA MERIDIAN</t>
  </si>
  <si>
    <t>SEC 6, NENE</t>
  </si>
  <si>
    <t>LAES55062</t>
  </si>
  <si>
    <t>ES-070-09/07</t>
  </si>
  <si>
    <t>JACKSON PARISH</t>
  </si>
  <si>
    <t>T16N, R1W, LOUISIANA MERIDIAN</t>
  </si>
  <si>
    <t>SEC 32, NENE</t>
  </si>
  <si>
    <t>LAES55063</t>
  </si>
  <si>
    <t>ES-071-09/07</t>
  </si>
  <si>
    <t>BIENVILLE PARISH</t>
  </si>
  <si>
    <t>T16N, R7W, LOUISIANA MERIDIAN</t>
  </si>
  <si>
    <t>SEC 15, NESW</t>
  </si>
  <si>
    <t>LAES55064</t>
  </si>
  <si>
    <t>ES-072-09/07</t>
  </si>
  <si>
    <t>T17N, R1W, LOUISIANA MERIDIAN</t>
  </si>
  <si>
    <t>SEC 4, NENE</t>
  </si>
  <si>
    <t>LAES55065</t>
  </si>
  <si>
    <t>ES-073-09/07</t>
  </si>
  <si>
    <t>T17N, R2W, LOUISIANA MERIDIAN</t>
  </si>
  <si>
    <t>SEC 36, SWNW</t>
  </si>
  <si>
    <t>LAES55066</t>
  </si>
  <si>
    <t>ES-074-09/07</t>
  </si>
  <si>
    <t>LINCOLN PARISH</t>
  </si>
  <si>
    <t>T18N, R1W, LOUISIANA MERIDIAN</t>
  </si>
  <si>
    <t>LAES55067</t>
  </si>
  <si>
    <t>ES-075-09/07</t>
  </si>
  <si>
    <t>SOLD TO ENERQUEST CORP</t>
  </si>
  <si>
    <t>T19N, R15W, LOUISIANA MERIDIAN</t>
  </si>
  <si>
    <t>SEC 4, SESW, SWSE; SEC 6, S2NW, W2SW, NESE; SEC 8, SESW, SWSE, NENE</t>
  </si>
  <si>
    <t>LAES55069</t>
  </si>
  <si>
    <t>ES-077-09/07</t>
  </si>
  <si>
    <t>WEBSTER PARISH</t>
  </si>
  <si>
    <t>T21N, R10W, LOUISIANA MERIDIAN</t>
  </si>
  <si>
    <t>SEC 19, S2NE</t>
  </si>
  <si>
    <t>LAES55078</t>
  </si>
  <si>
    <t>ES-086-09/07</t>
  </si>
  <si>
    <t>OUACHITA PARISH</t>
  </si>
  <si>
    <t>T19N, R5E, LOUISIANA MERIDIAN</t>
  </si>
  <si>
    <t>SEC 18, S2NW</t>
  </si>
  <si>
    <t>LAES55079</t>
  </si>
  <si>
    <t>ES-087-09/07</t>
  </si>
  <si>
    <t>SEC 20, SWNW</t>
  </si>
  <si>
    <t>LAES55080</t>
  </si>
  <si>
    <t>ES-088-09/07</t>
  </si>
  <si>
    <t xml:space="preserve">SEC 30, SWSE </t>
  </si>
  <si>
    <t>LAES55081</t>
  </si>
  <si>
    <t>ES-089-09/07</t>
  </si>
  <si>
    <t>CALCASIEU PARISH</t>
  </si>
  <si>
    <t>T7S, R11W, LOUISIANA MERIDIAN</t>
  </si>
  <si>
    <t>SEC 34, NESE, SWSE</t>
  </si>
  <si>
    <t>LAES55082</t>
  </si>
  <si>
    <t>ES-090-09/07</t>
  </si>
  <si>
    <t>T8S, R9W, LOUISIANA MERIDIAN</t>
  </si>
  <si>
    <t>SEC 29, SWNE</t>
  </si>
  <si>
    <t>LAES55083</t>
  </si>
  <si>
    <t>ES-091-09/07</t>
  </si>
  <si>
    <t>T10S, R9W, LOUISIANA MERIDIAN</t>
  </si>
  <si>
    <t>SEC 15, LOT 2</t>
  </si>
  <si>
    <t>LAES55084</t>
  </si>
  <si>
    <t>ES-092-09/07</t>
  </si>
  <si>
    <t>ST LANDRY PARISH</t>
  </si>
  <si>
    <t>T7S, R6E, LOUISIANA MERIDIAN</t>
  </si>
  <si>
    <t>SEC 20, NENE, W2NE,NENW, SENE, NESE</t>
  </si>
  <si>
    <t>LAES55085</t>
  </si>
  <si>
    <t>ES-093-09/07</t>
  </si>
  <si>
    <t>IBERVILLE PARISH</t>
  </si>
  <si>
    <t>T10S, R14E, LOUISIANA MERIDIAN</t>
  </si>
  <si>
    <t>SEC 10, ALL OF FRACTIONAL SECTION</t>
  </si>
  <si>
    <t>LAES55086</t>
  </si>
  <si>
    <t>ES-094-09/07</t>
  </si>
  <si>
    <t>T11S, R14E, LOUISIANA MERIDIAN</t>
  </si>
  <si>
    <t>SEC 1, LOTS 4 AND 5</t>
  </si>
  <si>
    <t>LAES55088</t>
  </si>
  <si>
    <t>ES-096-09/07</t>
  </si>
  <si>
    <t>CALDWELL PARISH</t>
  </si>
  <si>
    <t>T15N, R3E, LOUISIANA MERIDIAN</t>
  </si>
  <si>
    <t>SEC 34, LOT 8</t>
  </si>
  <si>
    <t>LAES55089</t>
  </si>
  <si>
    <t>ES-097-09/07</t>
  </si>
  <si>
    <t>ST CHARLES PARISH</t>
  </si>
  <si>
    <t>T12S, R8E, LOUISIANA MERIDIAN</t>
  </si>
  <si>
    <t>SEC 1 AND SEC 22, ALL; SEC 2,3,4,5,6,21, ALL OF SECS 2-6 &amp; 21 WEST OF EAST GUIDE LEVEE, INCLUDING SAID LEVEE</t>
  </si>
  <si>
    <t>LAES55090</t>
  </si>
  <si>
    <t>ES-098-09/07</t>
  </si>
  <si>
    <t>SEC, 23, 24, 25, 26, ALL; SEC 27 ALL OF SEC 27 WEST OF EAST GUIDE LEVEE, INCLUDING SAID LEVEE</t>
  </si>
  <si>
    <t>LAES55091</t>
  </si>
  <si>
    <t>ES-099-09/07</t>
  </si>
  <si>
    <t>SEC 46, 47, 48 &amp; 49, ALL</t>
  </si>
  <si>
    <t>LAES55092</t>
  </si>
  <si>
    <t>ES-100-09/07</t>
  </si>
  <si>
    <t>T12S, R7E, LOUISIANA MERIDIAN</t>
  </si>
  <si>
    <t>ALL OF SEC 12 WEST OF EAST GUIDE LEVEE INCLUDING SAID LEVEE, SEC 13, 14, ALL</t>
  </si>
  <si>
    <t>LAES55093</t>
  </si>
  <si>
    <t>ES-101-09/07</t>
  </si>
  <si>
    <t>T11S, R8E, LOUISIANA MERIDIAN</t>
  </si>
  <si>
    <t>ALL OF SECS 21 AND 29 EAST OF WEST GUIDE LEVEE] INCLUDING LEVEE; SEC 22, 28,28, ALL</t>
  </si>
  <si>
    <t>LAES55094</t>
  </si>
  <si>
    <t>ES-102-09/07</t>
  </si>
  <si>
    <t>SECS 31, 32, 33, ALL</t>
  </si>
  <si>
    <t>LAES55095</t>
  </si>
  <si>
    <t>ES-103-09/07</t>
  </si>
  <si>
    <t>SEC 34, 35, 39, 40 ALL OF SECTIONS WEST OF EAST GUIDE LEVEE, INCLUDING SAID LEVEE; SEC 41, ALL</t>
  </si>
  <si>
    <t>UNIFIED ASSETS PARTICIPATION DROPS TO 25% FROM 50% BEGINNING WITH 10-17-2007 NM SALE</t>
  </si>
  <si>
    <t>KSNM119260</t>
  </si>
  <si>
    <t>NM200710001</t>
  </si>
  <si>
    <t>WOODSON &amp; WILSON</t>
  </si>
  <si>
    <t>T0260S,R0140E; T0270S,R0140E; 6TH MERIDIAN</t>
  </si>
  <si>
    <t>SEE LEASE FOR LEGAL DESCRIPTIONS</t>
  </si>
  <si>
    <t>KSNM119261</t>
  </si>
  <si>
    <t>NM200710002</t>
  </si>
  <si>
    <t>LEBETTE</t>
  </si>
  <si>
    <t>T0310S, R0180E; T0320S, R0180E; 6TH MERIDIAN</t>
  </si>
  <si>
    <t>NMNM119275</t>
  </si>
  <si>
    <t>NM200710016</t>
  </si>
  <si>
    <t>T0260S,R0300E; NM PRINCIPAL MERIDIAN</t>
  </si>
  <si>
    <t>SEC 4, SE; SEC 9 W2</t>
  </si>
  <si>
    <t>NMNM119278</t>
  </si>
  <si>
    <t>NM200710019</t>
  </si>
  <si>
    <t xml:space="preserve">NOTE 80A (E/2SW/4) LEASED TO ENDEAVOR 2010  </t>
  </si>
  <si>
    <t>T0260S,R0330E; NM PRINCIPAL MERIDIAN</t>
  </si>
  <si>
    <t xml:space="preserve">SEC 3, E2NE,NW,E2SW;  </t>
  </si>
  <si>
    <t>NMNM119283</t>
  </si>
  <si>
    <t>NM200710024</t>
  </si>
  <si>
    <t>T0240N,R0080W; NM PRINCIPAL MERIDIAN</t>
  </si>
  <si>
    <t>SEC 4, LOTS 7-10, SW; SEC 5, LOTS 1-2, S2N2,SE; SEC 9, NE; SEC 33, NW,SE</t>
  </si>
  <si>
    <t>OKNM119298</t>
  </si>
  <si>
    <t>NM200710039</t>
  </si>
  <si>
    <t>MUSKOGEE &amp; WAGONER</t>
  </si>
  <si>
    <t>T0150N,R0170E,; &amp; T0160N, 0170E; IM</t>
  </si>
  <si>
    <t>T0150-SEC33, SEE LSE FOR M&amp;B - 75% MI; T0160-SEC3, W2SW -25% MI</t>
  </si>
  <si>
    <t>OKNM119299</t>
  </si>
  <si>
    <t>NM200710040</t>
  </si>
  <si>
    <t>PUSHMATAHA</t>
  </si>
  <si>
    <t>T0260S,R0300E; IM</t>
  </si>
  <si>
    <t>SEC 18, E2NENW - 75%MI; SEC 19,N2NE - 50% MI; SEC 18, W2 LOT3, SE LOT 3, W2NESW - 25% MI</t>
  </si>
  <si>
    <t>OKNM119307</t>
  </si>
  <si>
    <t>NM200710048</t>
  </si>
  <si>
    <t>LE FLORE</t>
  </si>
  <si>
    <t>T0050N, R0240E; IM</t>
  </si>
  <si>
    <t>SEC 3, LOTS 1-4, S2N2,S2; SEC 4, LOTS 1-4, S2N2,S2; SEC 10, ALL</t>
  </si>
  <si>
    <t>OKNM119308</t>
  </si>
  <si>
    <t>NM200710049</t>
  </si>
  <si>
    <t>SEC 5.6,7 &amp; 8; SEE ATTACHMENT TO LEASE FOR FURTHER DETAILS</t>
  </si>
  <si>
    <t>OKNM119309</t>
  </si>
  <si>
    <t>NM200710050</t>
  </si>
  <si>
    <t>SEC 25,26 &amp; 27; SEE ATTACHMENT TO LEASE FOR FURTHER DETAILS</t>
  </si>
  <si>
    <t>OKNM119311</t>
  </si>
  <si>
    <t>NM200710052</t>
  </si>
  <si>
    <t>OKNM119315</t>
  </si>
  <si>
    <t>NM200710056</t>
  </si>
  <si>
    <t>T0250N, R0220W; IM</t>
  </si>
  <si>
    <t>SEC 20,28,29; SEE LEASE FOR DETAILS</t>
  </si>
  <si>
    <t>TXNM119317</t>
  </si>
  <si>
    <t>NM200710058</t>
  </si>
  <si>
    <t>TR K-1B-II PARCEL #3</t>
  </si>
  <si>
    <t>TXNM119319</t>
  </si>
  <si>
    <t>NM200710060</t>
  </si>
  <si>
    <t>MC MULLEN &amp; LIVE OAK</t>
  </si>
  <si>
    <t>TR NR-42-1, NR-42-2</t>
  </si>
  <si>
    <t>TRACTS MAY HAVE NPRI RESERVED</t>
  </si>
  <si>
    <t>TXNM119320</t>
  </si>
  <si>
    <t>NM200710061</t>
  </si>
  <si>
    <t>MC MULLEN</t>
  </si>
  <si>
    <t>TR CAL-1M</t>
  </si>
  <si>
    <t>TXNM119322</t>
  </si>
  <si>
    <t>NM200710063</t>
  </si>
  <si>
    <t>SABINE NAT'L FOREST</t>
  </si>
  <si>
    <t>TR S-2K-I PARCEL #6</t>
  </si>
  <si>
    <t>TXNM119324</t>
  </si>
  <si>
    <t>NM200710065</t>
  </si>
  <si>
    <t xml:space="preserve">LIVE OAK </t>
  </si>
  <si>
    <t>TR 9-1, 33-1, 33-2</t>
  </si>
  <si>
    <t>BALANCE 12-31-2007</t>
  </si>
  <si>
    <t>ALES55113</t>
  </si>
  <si>
    <t>ES-001-12/07</t>
  </si>
  <si>
    <t>EXP. AGREEMENT - PRUET 3D/CRAIN</t>
  </si>
  <si>
    <t>CONECUH NATL FOREST</t>
  </si>
  <si>
    <t>T1N,R15E,ST.STEPHENS MERIDAN</t>
  </si>
  <si>
    <t>SEC 5, N2NW; SEC 6, SESW; SEC 8, NWSW</t>
  </si>
  <si>
    <t>ALES55116</t>
  </si>
  <si>
    <t>ES-004-12/07</t>
  </si>
  <si>
    <t>ACREAGE IN SEC 15, 16, 18, 21 &amp; 22; SEE LSE FOR DETAILS</t>
  </si>
  <si>
    <t>ALES55117</t>
  </si>
  <si>
    <t>ES-005-12/07</t>
  </si>
  <si>
    <t>SEC 27,SENW,SW; SEC 28,E2NE; SEC 33, NENE; SEC 34, NW</t>
  </si>
  <si>
    <t>ALES55118</t>
  </si>
  <si>
    <t>ES-006-12/07</t>
  </si>
  <si>
    <t>ESCAMBIA</t>
  </si>
  <si>
    <t>T2N,R13E,ST.STEPHENS MERIDAN</t>
  </si>
  <si>
    <t>SEC 8,N2NW,E2SE; SEC 9,SENE, S2; SEC15,N2,SW,W2SE</t>
  </si>
  <si>
    <t>ALES55119</t>
  </si>
  <si>
    <t>ES-007-12/07</t>
  </si>
  <si>
    <t>SEC 16,ALL; SEC 19,E2SW; SEC20,W2NE,SENE,NW,SE; SEC21N2, SW,E2SE</t>
  </si>
  <si>
    <t>ALES55121</t>
  </si>
  <si>
    <t>SEC 27,ALL; SEC 28,ALL; SEC29 SENW,SW</t>
  </si>
  <si>
    <t>ALES55122</t>
  </si>
  <si>
    <t>ES-010-12/07</t>
  </si>
  <si>
    <t>SEC 30,E2SE, E2E2W2SE; SEC32,E2; SEC33,ALL; SEC34,N2NE,SWNE,NW,SW,NWSE,S2SE; SEC 35,N2NE,SWNE,E2NW,NWNW</t>
  </si>
  <si>
    <t>ALES55123</t>
  </si>
  <si>
    <t>ES-11-12/07</t>
  </si>
  <si>
    <t>T2N,R15E,ST.STEPHENS MERIDIAN</t>
  </si>
  <si>
    <t>SEC 2,SWN2,SWNW,S2; SEC 3,ALL; SEC4,ALL; SEC 5,E2,NW,N2SW,E2SESW</t>
  </si>
  <si>
    <t>ALES55124</t>
  </si>
  <si>
    <t>ES-12-12/07</t>
  </si>
  <si>
    <t>SEC 6,SE; SEC 7,SWNW,S2; SEC 8,NE, Pt.E2NW,SW,N2SE,NW1/4SE1/4; SEC 9,ALL; SEC 10, N2N2,SENE,SWNW,W2SW,W2SESW</t>
  </si>
  <si>
    <t>ALES55125</t>
  </si>
  <si>
    <t>ES-13-12/07</t>
  </si>
  <si>
    <t>SEC 11, ALL; SEC 12,NE,SWNW,W2SW,SESW,SWSE; SEC 13,ALL; SEC 14, E2NE,S2SW,SE</t>
  </si>
  <si>
    <t>ALES55126</t>
  </si>
  <si>
    <t>ES-14-12/07</t>
  </si>
  <si>
    <t xml:space="preserve">SEC 15,PT.OF.NW; SEC 16,ALL; SEC 17,SEN2,PT.OF.S2NW,S2 </t>
  </si>
  <si>
    <t>ALES55128</t>
  </si>
  <si>
    <t>ES-16-12/07</t>
  </si>
  <si>
    <t xml:space="preserve">SEC 22,W2SE.LESS.4.03.ACRES.LYING.IN.NWSE; SEC 23,ALL; SEC 24,ALL; SEC 25, NENE,W2,W2SE </t>
  </si>
  <si>
    <t>ALES55129</t>
  </si>
  <si>
    <t>ES-17-12/07</t>
  </si>
  <si>
    <t>SEC 26, ALL; SEC28 - SEE LEASE FOR DETAILS (NOTE 50% OF MINERALS FOR PART OF TRACT).</t>
  </si>
  <si>
    <t>ALES55130</t>
  </si>
  <si>
    <t>ES-18-12/07</t>
  </si>
  <si>
    <t>SEC 29, SW,NWSE</t>
  </si>
  <si>
    <t>ALES55131</t>
  </si>
  <si>
    <t>ES-19-12/07</t>
  </si>
  <si>
    <t>SEC 32,S2SW</t>
  </si>
  <si>
    <t>ALES55132</t>
  </si>
  <si>
    <t>ES-20-12/07</t>
  </si>
  <si>
    <t>SEC 34,ALL; SEC 35,ALL; SEC36,W2NW,SENW,NESW LESS 4 ACRES IN THE SE 1/4,E2SE</t>
  </si>
  <si>
    <t>ALES55138</t>
  </si>
  <si>
    <t>ES-26-12/07</t>
  </si>
  <si>
    <t>TALLADEGA, NATL FOREST</t>
  </si>
  <si>
    <t>T18S,R1E,HUNTSVILLE MERIDIAN</t>
  </si>
  <si>
    <t>LAES55140</t>
  </si>
  <si>
    <t>ES-28-12/07</t>
  </si>
  <si>
    <t>VERMILLION</t>
  </si>
  <si>
    <t>T12S,R1E,LOUISIANA MERIDIAN</t>
  </si>
  <si>
    <t>SEC 28, LOT 6</t>
  </si>
  <si>
    <t>MIES55141</t>
  </si>
  <si>
    <t>ES-29-12/07</t>
  </si>
  <si>
    <t>MUSKEGON</t>
  </si>
  <si>
    <t>MANISTEE, NATL FOREST</t>
  </si>
  <si>
    <t>T12N,R15W, MICHIGAN MERIDIAN</t>
  </si>
  <si>
    <t>SEE LEASE FOR LAND DESCRIPTIONS AND STIPULATIONS.  NOTE: NOT 100% OF MINERALS IN SOME CASES</t>
  </si>
  <si>
    <t>MIES55142</t>
  </si>
  <si>
    <t>ES-30-12/07</t>
  </si>
  <si>
    <t>SEC 7,NWNE,SENE,NW,NESW,NWSW,SWSW,W4SESW,N2SE; SEC 8,E60a.N2NW,S2NW,NESW,NWSW,E2SE,PT.W2SE</t>
  </si>
  <si>
    <t>MIES55143</t>
  </si>
  <si>
    <t>ES-31-12/07</t>
  </si>
  <si>
    <t>MIES55144</t>
  </si>
  <si>
    <t>ES-32-12/07</t>
  </si>
  <si>
    <t>MIES55145</t>
  </si>
  <si>
    <t>ES-33-12/07</t>
  </si>
  <si>
    <t>T12N,R15W&amp;16W, MICHIGAN MERIDIAN</t>
  </si>
  <si>
    <t xml:space="preserve">SEE LEASE FOR LAND DESCRIPTIONS AND STIPULATIONS.  </t>
  </si>
  <si>
    <t>MIES55146</t>
  </si>
  <si>
    <t>ES-34-12/07</t>
  </si>
  <si>
    <t>MIES55147</t>
  </si>
  <si>
    <t>ES-35-12/07</t>
  </si>
  <si>
    <t>T12N,R16W, MICHIGAN MERIDIAN</t>
  </si>
  <si>
    <t>SEC 4, N3/4W2SESW,W2NESW,SWSW; SEC 5,PT.S2SW,PTSE; SEC 7,SWNE,SENW,SESW; SEC 8,N2N2,E3/4SENE</t>
  </si>
  <si>
    <t>MIES55148</t>
  </si>
  <si>
    <t>ES-36-12/07</t>
  </si>
  <si>
    <t>SEC 18,E2E2SWNE,W2SWNE,S2NW,E4NWSW,W5/8NWSW; SEC 19,NE,N2SW,N2SE,SESE; SEC 20,NWSW</t>
  </si>
  <si>
    <t>MIES55149</t>
  </si>
  <si>
    <t>ES-37-12/07</t>
  </si>
  <si>
    <t>MIES55150</t>
  </si>
  <si>
    <t>ES-38-12/07</t>
  </si>
  <si>
    <t>MANISTEE</t>
  </si>
  <si>
    <t>T22N,R13W, MICHIGAN MERIDIAN</t>
  </si>
  <si>
    <t>SEC 28,LOT 8; SEC 29,SWSE</t>
  </si>
  <si>
    <t>MIES55151</t>
  </si>
  <si>
    <t>ES-39-12/07</t>
  </si>
  <si>
    <t>MIES55152</t>
  </si>
  <si>
    <t>ES-40-12/07</t>
  </si>
  <si>
    <t>MIES55153</t>
  </si>
  <si>
    <t>ES-41-12/07</t>
  </si>
  <si>
    <t>MIES55154</t>
  </si>
  <si>
    <t>ES-42-12/07</t>
  </si>
  <si>
    <t>T22N,R14W, MICHIGAN MERIDIAN</t>
  </si>
  <si>
    <t>MIES55155</t>
  </si>
  <si>
    <t>ES-43-12/07</t>
  </si>
  <si>
    <t>SEC 1,SWSE NOTE: 25% U S MINERAL INTEREST</t>
  </si>
  <si>
    <t>MIES55156</t>
  </si>
  <si>
    <t>ES-44-12/07</t>
  </si>
  <si>
    <t>T22N,R15W, MICHIGAN MERIDIAN</t>
  </si>
  <si>
    <t>SEC 20,LOT 3 NORTH OF INDIAN LINE; SEC 21, PART OF LOT 4 LYING N OF HWY AND W OF CHIEF CREEK</t>
  </si>
  <si>
    <t>VAES55157</t>
  </si>
  <si>
    <t>ES-45-12/07</t>
  </si>
  <si>
    <t>VIRGINIA HIGHLAND</t>
  </si>
  <si>
    <t>VA</t>
  </si>
  <si>
    <t>GEORGE WASHINGTON NATL FOREST</t>
  </si>
  <si>
    <t>TRACT S-84i-I</t>
  </si>
  <si>
    <t>VAES55158</t>
  </si>
  <si>
    <t>ES-46-12/07</t>
  </si>
  <si>
    <t>TRACT S-84i</t>
  </si>
  <si>
    <t>VAES55159</t>
  </si>
  <si>
    <t>ES-47-12/07</t>
  </si>
  <si>
    <t>TRACT S-212c</t>
  </si>
  <si>
    <t>VAES55160</t>
  </si>
  <si>
    <t>ES-48-12/07</t>
  </si>
  <si>
    <t>TRACT S-212m</t>
  </si>
  <si>
    <t>VAES55161</t>
  </si>
  <si>
    <t>ES-49-12/07</t>
  </si>
  <si>
    <t>TRACT S-212L</t>
  </si>
  <si>
    <t>VAES55162</t>
  </si>
  <si>
    <t>ES-50-12/07</t>
  </si>
  <si>
    <t>TRACT S-212k</t>
  </si>
  <si>
    <t>VAES55163</t>
  </si>
  <si>
    <t>ES-51-12/07</t>
  </si>
  <si>
    <t>TRACT S-212i; TRACT S-212h</t>
  </si>
  <si>
    <t>VAES55164</t>
  </si>
  <si>
    <t>ES-52-12/07</t>
  </si>
  <si>
    <t>TRACT S-212d</t>
  </si>
  <si>
    <t>VAES55165</t>
  </si>
  <si>
    <t>ES-53-12/07</t>
  </si>
  <si>
    <t>TRACT S-209</t>
  </si>
  <si>
    <t>VAES55166</t>
  </si>
  <si>
    <t>ES-54-12/07</t>
  </si>
  <si>
    <t>TRACT S-1256</t>
  </si>
  <si>
    <t>VAES55167</t>
  </si>
  <si>
    <t>ES-55-12/07</t>
  </si>
  <si>
    <t>TRACT S-1241</t>
  </si>
  <si>
    <t>VAES55168</t>
  </si>
  <si>
    <t>ES-56-12/07</t>
  </si>
  <si>
    <t>TRACT S-1238</t>
  </si>
  <si>
    <t>VAES55169</t>
  </si>
  <si>
    <t>ES-57-12/07</t>
  </si>
  <si>
    <t>TRACT S-1228</t>
  </si>
  <si>
    <t>VAES55170</t>
  </si>
  <si>
    <t>ES-58-12/07</t>
  </si>
  <si>
    <t>TRACT S-1224</t>
  </si>
  <si>
    <t>VAES55171</t>
  </si>
  <si>
    <t>ES-59-12/07</t>
  </si>
  <si>
    <t>TRACT O-458</t>
  </si>
  <si>
    <t>VAES55172</t>
  </si>
  <si>
    <t>ES-60-12/07</t>
  </si>
  <si>
    <t>TRACT O-397a-I</t>
  </si>
  <si>
    <t>VAES55173</t>
  </si>
  <si>
    <t>ES-61-12/07</t>
  </si>
  <si>
    <t>TRACT O-361-V</t>
  </si>
  <si>
    <t>VAES55174</t>
  </si>
  <si>
    <t>ES-62-12/07</t>
  </si>
  <si>
    <t>TRACT O-361-III</t>
  </si>
  <si>
    <t>VAES55175</t>
  </si>
  <si>
    <t>ES-63-12/07</t>
  </si>
  <si>
    <t>TRACT G-1489</t>
  </si>
  <si>
    <t>VAES55176</t>
  </si>
  <si>
    <t>ES-64-12/07</t>
  </si>
  <si>
    <t>TRACTS G-1236, G1237 &amp; G1239</t>
  </si>
  <si>
    <t>WVES55177</t>
  </si>
  <si>
    <t>ES-65-12/07</t>
  </si>
  <si>
    <t>PENDLETON</t>
  </si>
  <si>
    <t>WV</t>
  </si>
  <si>
    <t>TRACT S-212j</t>
  </si>
  <si>
    <t>WVES55178</t>
  </si>
  <si>
    <t>ES-66-12/07</t>
  </si>
  <si>
    <t>TRACT S-84i-III</t>
  </si>
  <si>
    <t>AXP 12-20-07</t>
  </si>
  <si>
    <t>ACA CK TO BLM</t>
  </si>
  <si>
    <t>KSNM119699</t>
  </si>
  <si>
    <t>NM200801-001</t>
  </si>
  <si>
    <t>GOVE</t>
  </si>
  <si>
    <t>T0150S, R0260W, 6TH MERIDIAN</t>
  </si>
  <si>
    <t>SEC 20, NESE; SEC 21, W2NW</t>
  </si>
  <si>
    <t>KSNM119700</t>
  </si>
  <si>
    <t>NM200801-002</t>
  </si>
  <si>
    <t>HAMILTON</t>
  </si>
  <si>
    <t>T0260S, R0410W, 6TH MERIDIAN</t>
  </si>
  <si>
    <t>SEC 6, LOT 5</t>
  </si>
  <si>
    <t>NMNM119709</t>
  </si>
  <si>
    <t>NM200801-011</t>
  </si>
  <si>
    <t>GUADALUPE</t>
  </si>
  <si>
    <t>T0050N, R0220E, NMPM MERIDIAN</t>
  </si>
  <si>
    <t>SEC 1, LOT1; SEC 1, SWNW, NWSW, E2SE; SEC 11, E2, E2NW, SW; SEC 12, S2; SEC 13, NE,N2SE; SEC 14, ALL</t>
  </si>
  <si>
    <t>NMNM119710</t>
  </si>
  <si>
    <t>NM200801-012</t>
  </si>
  <si>
    <t>SEC 3, LOT 2; SEC 3, SWNE; SEC 4, LOTS 1-4; SEC 4, SWNW, NWSW; SEC 10, SENE,E2NW,SWNW; SEC 15, ALL</t>
  </si>
  <si>
    <t>NMNM119711</t>
  </si>
  <si>
    <t>NM200801-013</t>
  </si>
  <si>
    <t>SEC 5, LOTS 1-4; SEC 5, S2N2SW; SEC 6, LOTS 1-3; SEC 6, S2NE,SENW,NESE; SEC 8, NW; SEC 17, E2,NWNW,SW; SEC 18, LOTS 3-4; SEC 18, NESE,SWNE,E2SW,SE</t>
  </si>
  <si>
    <t>NMNM119712</t>
  </si>
  <si>
    <t>NM200801-014</t>
  </si>
  <si>
    <t xml:space="preserve">SEC 19, LOTS 1,2,4; SEC 19, SWNE,E2NW,SESW,S2SE; SEC 20, W2SW, SESW; SEC 29, NENE,NW,N2SW,SWSW; SEC 30,LOTS 1-4; SEC 30,E2,E2W2; SEC 31, LOTS 1-4; SEC 31, SENW,E2SW,S2SE </t>
  </si>
  <si>
    <t>NMNM119713</t>
  </si>
  <si>
    <t>NM200801-015</t>
  </si>
  <si>
    <t xml:space="preserve">SEC 21, NE,E2NW,NESE; SEC 22, E2,N2SW,SESW; SEC 27, NENE; SEC 28, ALL; SEC 33, NE,SENW,N2SE,SWSE; SEC 34, NESE </t>
  </si>
  <si>
    <t>NMNM119714</t>
  </si>
  <si>
    <t>NM200801-016</t>
  </si>
  <si>
    <t xml:space="preserve">SEC 23, W2,SE; SEC 25, S2NE,W2,SE; SEC 26, E2NE, NWNW, SESW,SE; SEC 35, NWNE,E2NW,N2SW </t>
  </si>
  <si>
    <t>NMNM119715</t>
  </si>
  <si>
    <t>NM200801-017</t>
  </si>
  <si>
    <t>T0060N, R0220E, NPNM MERIDIAN</t>
  </si>
  <si>
    <t>SEC 3, LOTS 1-4; SEC 3, S2N2,SE; SEC 4, LOTS 1-4; SEC 4, S2N2,N2SW,SWSW,NWSE; SEC 5, LOTS1,3; SEC 5, SENE,SE</t>
  </si>
  <si>
    <t>NMNM119716</t>
  </si>
  <si>
    <t>NM200801-018</t>
  </si>
  <si>
    <t>SEC 8, NE,S2NW,SW,N2SE,SWSE; SEC 9, S2NW, NWSW; SEC 11, SESE; SEC 12, S2SW; SEC 13, NE,N2NW,SWNW,W2SW,N2SE; SEC 14, E2NE</t>
  </si>
  <si>
    <t>NMNM119717</t>
  </si>
  <si>
    <t>NM200801-019</t>
  </si>
  <si>
    <t>SEC 15, N2NE,SWNE,S2NW,SW; SEC 17, N2NE,NW; SEC 18, SENE; SEC 24, NWNW,S2N2,N2SW,SE; SEC 25, NE,S2</t>
  </si>
  <si>
    <t>NMNM119718</t>
  </si>
  <si>
    <t>NM200801-020</t>
  </si>
  <si>
    <t>T0070N, R0220E, NPNM MERIDIAN</t>
  </si>
  <si>
    <t>SEC 1, LOTS 3,4; SEC 1, S2NW,SW</t>
  </si>
  <si>
    <t>NMNM119719</t>
  </si>
  <si>
    <t>NM200801-021</t>
  </si>
  <si>
    <t>SEC 23, S2NE,SENW,S2; SEC 24, S2N2,N2S2; SEC 25, NWNE,S2NE,SESW,SE; SEC 26,NE,N2NW; SEC 26, E2SENW; SEC 27, NENE; SEC 35, E2NENW</t>
  </si>
  <si>
    <t>NMNM119720</t>
  </si>
  <si>
    <t>NM200801-022</t>
  </si>
  <si>
    <t>SEC 28, SESW; SEC 29, NWSW; SEC 30</t>
  </si>
  <si>
    <t>NMNM119721</t>
  </si>
  <si>
    <t>NM200801-023</t>
  </si>
  <si>
    <t>T0080N, R0220E, NPNM MERIDIAN</t>
  </si>
  <si>
    <t>SEE ATTACHMENT TO LEASE</t>
  </si>
  <si>
    <t>NMNM119722</t>
  </si>
  <si>
    <t>NM200801-024</t>
  </si>
  <si>
    <t>SEE DESCRIPTIONS IN LEASE</t>
  </si>
  <si>
    <t>NMNM119723</t>
  </si>
  <si>
    <t>NM200801-025</t>
  </si>
  <si>
    <t>SEC 26, SENW, SEC 27, N2NW,SWNW,NWSW; SEC 28, E2,E2W2,W2NW,NWSW; SEC 29, N2SE,SWSE; SEC 31, LOTS 2,4; E2SW; SEC 35 ALL</t>
  </si>
  <si>
    <t>NMNM119725</t>
  </si>
  <si>
    <t>NM200801-027</t>
  </si>
  <si>
    <t>T0050N, R0230E, NPNM MERIDIAN</t>
  </si>
  <si>
    <t>SEC 4, LOTS 1-4; S2N2,N2S2,S2SW,SWSE; SEC 9, NWNE,N2NW,S2N2,S2; SEC 10, SENE,S2NW,SW; SEC 11, SWNW</t>
  </si>
  <si>
    <t>NMNM119726</t>
  </si>
  <si>
    <t>NM200801-028</t>
  </si>
  <si>
    <t>SEC 5, LOTS1-4; SEC 5, S2NE,SWSW,SE; SEC 6, LOTS 3.4.6.7; SENE,SENW,E2SW,SE; SEC 7, LOTS 1-4; E2,E2W2; SEC 8, E2,W2W2,SESW</t>
  </si>
  <si>
    <t>NMNM119727</t>
  </si>
  <si>
    <t>NM200801-029</t>
  </si>
  <si>
    <t>SEC 13, W2E2SE,W2SE; SEC 23, NE,S2NW,S2; SEC 24, W2E2NE,W2NE,SE</t>
  </si>
  <si>
    <t>NMNM119728</t>
  </si>
  <si>
    <t>NM200801-030</t>
  </si>
  <si>
    <t>SEC 17, W2; SEC 18, LOTS 1-4; W2E2,E2W2; SEC 19, LOTS 3,4; E2SW,S2SE</t>
  </si>
  <si>
    <t>NMNM119729</t>
  </si>
  <si>
    <t>NM200801-031</t>
  </si>
  <si>
    <t>SEC 21, N2NE,E2NW,S2SE; SEC 22, N2NW, S2S2</t>
  </si>
  <si>
    <t>NMNM119730</t>
  </si>
  <si>
    <t>NM200801-032</t>
  </si>
  <si>
    <t>SEC 25, ALL; SEC 26, NE,E2NW,S2; SEC 35, ALL</t>
  </si>
  <si>
    <t>NMNM119731</t>
  </si>
  <si>
    <t>NM200801-03</t>
  </si>
  <si>
    <t>SEC 27, N2NE,W2; SEC 28 W2NW,SW,S2SE; SEC 33, ALL; SEC 34 N2NE,E2NW,W2W2</t>
  </si>
  <si>
    <t>NMNM119732</t>
  </si>
  <si>
    <t>NM200801-034</t>
  </si>
  <si>
    <t xml:space="preserve">SEC 29, ALL; SEC 30, LOTS 1-4; E2,E2W2; SEC 31, LOTS 1-4; E2,E2W2 </t>
  </si>
  <si>
    <t>NMNM119733</t>
  </si>
  <si>
    <t>NM200801-035</t>
  </si>
  <si>
    <t>T0060N, R0230E, NPNM MERIDIAN</t>
  </si>
  <si>
    <t>SEC 2, W2SW; SEC 3, S2SW,E2SE,SWSE; SEC 10 N2NW,SENW; SEC 11, W2SW; SEC 12, SWNE; SEC 15, NWNE</t>
  </si>
  <si>
    <t>NMNM119734</t>
  </si>
  <si>
    <t>NM200801-036</t>
  </si>
  <si>
    <t xml:space="preserve">SEC 4, SW; SEC 5, E2SE,SWSE; SEC 6, LOTS 1,2; SEC 7, LOT 1; SEC 8, NENE,E2SE,SWSE; SEE LSE FOR SEC 17 &amp; SEC 18 </t>
  </si>
  <si>
    <t>NMNM119735</t>
  </si>
  <si>
    <t>NM200801-037</t>
  </si>
  <si>
    <t>NMNM119736</t>
  </si>
  <si>
    <t>NM200801-038</t>
  </si>
  <si>
    <t>SEC 22, NWNE; SEC  23, E2</t>
  </si>
  <si>
    <t>NMNM119737</t>
  </si>
  <si>
    <t>NM200801-039</t>
  </si>
  <si>
    <t>T0070N, R0230E, NPNM MERIDIAN</t>
  </si>
  <si>
    <t>SEC 11, SESW,NESE; SEC 13, W2SW; SEC 22, SWSW; SEC 24, N2NW,SWNW; SEC 25, NE; SEC 26, NWNW,W2SW; SEC 27, NENE; SEC34, N2; SEC 35, W2W2</t>
  </si>
  <si>
    <t>NMNM119738</t>
  </si>
  <si>
    <t>NM200801-040</t>
  </si>
  <si>
    <t>NMNM119739</t>
  </si>
  <si>
    <t>NM200801-041</t>
  </si>
  <si>
    <t>T0080N, R0230E, NPNM MERIDIAN</t>
  </si>
  <si>
    <t>SEC 1, SESE; SEC 12, E2NE,NESE; SEC 13, W2SW; SEC 23, NE</t>
  </si>
  <si>
    <t>NMNM119740</t>
  </si>
  <si>
    <t>NM200801-042</t>
  </si>
  <si>
    <t>SEC 3, S2SW; SEC 4, S2; SEC 5, SWNE; SEC 7, LOTS 1,2; NWNE,NENW,SWSE; SEC 9, NE; SEC 10, N2NW</t>
  </si>
  <si>
    <t>NMNM119741</t>
  </si>
  <si>
    <t>NM200801-043</t>
  </si>
  <si>
    <t>T0090N, R0230E, NPNM MERIDIAN</t>
  </si>
  <si>
    <t>SEC 1, LOTS 1-3; SEC 11, E2SE; SEC 12, NESW; SEC 13, SENW,W2SW; SEC 14, W2NE,E2SE</t>
  </si>
  <si>
    <t>NMNM119742</t>
  </si>
  <si>
    <t>NM200801-044</t>
  </si>
  <si>
    <t>SEC 6, LOT 3</t>
  </si>
  <si>
    <t>NMNM119763</t>
  </si>
  <si>
    <t>NM200801-065</t>
  </si>
  <si>
    <t>ORRI - 3.125 % UNIFIED, 9.375% AHUJA CHILDREN 2012 LT TRUST</t>
  </si>
  <si>
    <t>T0260S, R0360E, NPNM MERIDIAN</t>
  </si>
  <si>
    <t>SEC 24, E2,E2W2; SEC 25, N2NE,SENE,NENW</t>
  </si>
  <si>
    <t>NMNM119766</t>
  </si>
  <si>
    <t>NM200801-068</t>
  </si>
  <si>
    <t>DONA ANA</t>
  </si>
  <si>
    <t>T0210S, R0010W, NPNM MERIDIAN</t>
  </si>
  <si>
    <t>SEC 31, LOTS 1-4;E2,E2W2</t>
  </si>
  <si>
    <t>NMNM119767</t>
  </si>
  <si>
    <t>NM200801-069</t>
  </si>
  <si>
    <t>T0220S, R0010W, NPNM MERIDIAN</t>
  </si>
  <si>
    <t>SEC 5, LOTS 5-8; S2N2,S2; SEC 6, LOTS 8-14; S2NE,SENW,E2SW,SE; SEC 7, LOTS 5-8; E2,E2W2; SEC 8, ALL</t>
  </si>
  <si>
    <t>NMNM119768</t>
  </si>
  <si>
    <t>NM200801-070</t>
  </si>
  <si>
    <t>SEC 17, ALL; SEC 21, N2</t>
  </si>
  <si>
    <t>NMNM119769</t>
  </si>
  <si>
    <t>NM200801-071</t>
  </si>
  <si>
    <t>SEC 27, W2; SEC 28, ALL; SEC 33, ALL; SEC 34, W2</t>
  </si>
  <si>
    <t>NMNM119770</t>
  </si>
  <si>
    <t>NM200801-072</t>
  </si>
  <si>
    <t>T0230S, R0010W, NPNM MERIDIAN</t>
  </si>
  <si>
    <t>SEC 1, LOTS 1-7; S2NW,W2SW; SEC 2, LOTS 7-11; SENE,E2SE</t>
  </si>
  <si>
    <t>NMNM119771</t>
  </si>
  <si>
    <t>NM200801-073</t>
  </si>
  <si>
    <t>SEC 3, LOTS 5-8; S2N2,S2; SEC 4, LOTS 5-8; S2N2,S2; SEC 5, LOTS 5-8, S2N2, S2</t>
  </si>
  <si>
    <t>NMNM119772</t>
  </si>
  <si>
    <t>NM200801-074</t>
  </si>
  <si>
    <t>SEC 6, LOTS 8-14; S2NE,SENEW,E2SW,SE</t>
  </si>
  <si>
    <t>NMNM119773</t>
  </si>
  <si>
    <t>NM200801-083</t>
  </si>
  <si>
    <t>T0210S, R0020W, NPNM MERIDIAN</t>
  </si>
  <si>
    <t>SEC 31, LOTS 1-4; NE,E2W2; SEC 33, ALL; SEC 34, W2; SEC 35, ALL</t>
  </si>
  <si>
    <t>NMNM119774</t>
  </si>
  <si>
    <t>NM200801-084</t>
  </si>
  <si>
    <t>T0220S, R0020W, NPNM MERIDIAN</t>
  </si>
  <si>
    <t>SEC 1, LOTS 1-4; S2N2,S2; SEC 11, ALL; SEC 12, ALL</t>
  </si>
  <si>
    <t>NMNM119775</t>
  </si>
  <si>
    <t>NM200801-085</t>
  </si>
  <si>
    <t>SEC 3, LOTS 3-4; S2NW,SW; SEC 4, LOTS 1-4; S2N2,S2; SEC 9, ALL</t>
  </si>
  <si>
    <t>NMNM119776</t>
  </si>
  <si>
    <t>NM200801-086</t>
  </si>
  <si>
    <t>SEC 5, LOTS 1-4; S2N2,S2; SEC 6, LOTS 1-7; S2NE,SENW,E2SW,SE; SEC 7, LOTS 1-4; E2,E2W2; SEC 8, ALL</t>
  </si>
  <si>
    <t>NMNM119777</t>
  </si>
  <si>
    <t>NM200801-090</t>
  </si>
  <si>
    <t>T0210S, R0030W, NPNM MERIDIAN</t>
  </si>
  <si>
    <t>SEC 25, N2; SEC 26, ALL; SEC 35, ALL</t>
  </si>
  <si>
    <t>NMNM119778</t>
  </si>
  <si>
    <t>NM200801-091</t>
  </si>
  <si>
    <t>SEC 27, LOTS 1-4; E2SW; SEC 28, ALL</t>
  </si>
  <si>
    <t>NMNM119779</t>
  </si>
  <si>
    <t>NM200801-092</t>
  </si>
  <si>
    <t>SEC 33, ALL; SEC 34, ALL</t>
  </si>
  <si>
    <t>NMNM119780</t>
  </si>
  <si>
    <t>NM200801-093</t>
  </si>
  <si>
    <t>T0220S, R0030W, NPNM MERIDIAN</t>
  </si>
  <si>
    <t>NMNM119781</t>
  </si>
  <si>
    <t>NM200801-094</t>
  </si>
  <si>
    <t>SEC 3, LOTS 1-4; S2N2,SE; SEC 4, S2N2,S2; SEC 9, ALL</t>
  </si>
  <si>
    <t>NMNM119782</t>
  </si>
  <si>
    <t>NM200801-095</t>
  </si>
  <si>
    <t>NMNM119783</t>
  </si>
  <si>
    <t>NM200801-096</t>
  </si>
  <si>
    <t>T0180S, R0060W, NPNM MERIDIAN</t>
  </si>
  <si>
    <t>SEC 2, S2N2,S2; SEC 10, ALL</t>
  </si>
  <si>
    <t>NMNM119784</t>
  </si>
  <si>
    <t>NM200801-097</t>
  </si>
  <si>
    <t>T0190S, R0070W, NPNM MERIDIAN</t>
  </si>
  <si>
    <t>SEC 24, LOTS 1-4; W2E2,W2</t>
  </si>
  <si>
    <t>OKNM119791</t>
  </si>
  <si>
    <t>NM200801-104</t>
  </si>
  <si>
    <t>T0220N, R0190W, IM MERIDIAN</t>
  </si>
  <si>
    <t>SEC 6, LOT 2</t>
  </si>
  <si>
    <t>OKNM119796</t>
  </si>
  <si>
    <t>NM200801-109</t>
  </si>
  <si>
    <t>LEFLORE</t>
  </si>
  <si>
    <t>T0050N, R0230E, IM MERIDIAN</t>
  </si>
  <si>
    <t>SEE LEASE FOR TRACTS WITHIN SECS 4, 9 AND 16.</t>
  </si>
  <si>
    <t>OKNM119810</t>
  </si>
  <si>
    <t>NM200801-124</t>
  </si>
  <si>
    <t>T0030N, R0270E, IM MERIDIAN</t>
  </si>
  <si>
    <t>SEE LEASE FOR TRACTS WITHIN SECS 27, 28, 29 AND 30..</t>
  </si>
  <si>
    <t>TXNM119822</t>
  </si>
  <si>
    <t>NM200801-136</t>
  </si>
  <si>
    <t>DAVY CROCKETT NATIONAL FOREST</t>
  </si>
  <si>
    <t>TR K-I-II PRCEL # 5</t>
  </si>
  <si>
    <t>SEE LEASE FOR METES AND BOUNDS DESCRIPTION</t>
  </si>
  <si>
    <t>TXNM119823</t>
  </si>
  <si>
    <t>NM200801-137</t>
  </si>
  <si>
    <t>TR K-I-II PRCEL # 6</t>
  </si>
  <si>
    <t>TXNM119824</t>
  </si>
  <si>
    <t>NM200801-138</t>
  </si>
  <si>
    <t>TR K-I-II PRCEL # 7</t>
  </si>
  <si>
    <t>TXNM119826</t>
  </si>
  <si>
    <t>NM200801-140</t>
  </si>
  <si>
    <t>TR NR 9-2, NR 39-1, NR 47-4</t>
  </si>
  <si>
    <t>NOTE:  TRACTS MAY HAVE A NPRI RESERVED</t>
  </si>
  <si>
    <t>FROM BANK</t>
  </si>
  <si>
    <t>CREDIT CARD</t>
  </si>
  <si>
    <t>PD BY MPLP</t>
  </si>
  <si>
    <t>NMNM120356</t>
  </si>
  <si>
    <t>200804-015</t>
  </si>
  <si>
    <t>T0140S,R0310E, NMPM MERIDIAN</t>
  </si>
  <si>
    <t>SEC 8, W2NE</t>
  </si>
  <si>
    <t>NMNM120358</t>
  </si>
  <si>
    <t>200804-017</t>
  </si>
  <si>
    <t>ORRI - 12.5%  AHUJA CHILDREN 2012 LT TRUST</t>
  </si>
  <si>
    <t>T0120S,R0320E, NMPM MERIDIAN</t>
  </si>
  <si>
    <t>SEC 21, NE; SEC 22, W2</t>
  </si>
  <si>
    <t>NMNM120360</t>
  </si>
  <si>
    <t>200804-019</t>
  </si>
  <si>
    <t>QUAY</t>
  </si>
  <si>
    <t>T0080N,R0330E, NMPM MERIDIAN</t>
  </si>
  <si>
    <t>SEC 7, NESE; SEC 8, W2SW,SESW,NESE; SEC 18, LOTS 2-3; SENW,NESW,N2SE,SESE; SEC 25, S2</t>
  </si>
  <si>
    <t>NMNM120361</t>
  </si>
  <si>
    <t>200804-020</t>
  </si>
  <si>
    <t>T0090N,R0330E, NMPM MERIDIAN</t>
  </si>
  <si>
    <t>SEC 18, LOT 4; NWSE,SESE; SEC 19, LOT 3; SWNE; SEC 20, SWNW,E2SW,SWSE</t>
  </si>
  <si>
    <t>NMNM120364</t>
  </si>
  <si>
    <t>200804-023</t>
  </si>
  <si>
    <t>T0090N,R0350E, NMPM MERIDIAN</t>
  </si>
  <si>
    <t>SEC 9, E2SW; SEC 24, SW; SE  25, SWNE,SENW,SW; SEC34, E2NE,E2NW; SEC 35, SW</t>
  </si>
  <si>
    <t>NMNM120366</t>
  </si>
  <si>
    <t>200804-025</t>
  </si>
  <si>
    <t>T0100S,R0360E, NMPM MERIDIAN</t>
  </si>
  <si>
    <t>SEC 20, W2</t>
  </si>
  <si>
    <t>NMNM120367</t>
  </si>
  <si>
    <t>200804-026</t>
  </si>
  <si>
    <t>T0160S,R0360E, NMPM MERIDIAN</t>
  </si>
  <si>
    <t>SEC 5, LOT 1</t>
  </si>
  <si>
    <t>NMNM120368</t>
  </si>
  <si>
    <t>200804-059</t>
  </si>
  <si>
    <t>T0170N,R0050W, NMPM MERIDIAN</t>
  </si>
  <si>
    <t>NMNM120369</t>
  </si>
  <si>
    <t>200804-060</t>
  </si>
  <si>
    <t>SEC 13, N2,SE</t>
  </si>
  <si>
    <t>NMNM120370</t>
  </si>
  <si>
    <t>200804-061</t>
  </si>
  <si>
    <t>T0200N,R0070W, NMPM MERIDIAN</t>
  </si>
  <si>
    <t>SEC 1, LOTS 1-4; S2N2,S2</t>
  </si>
  <si>
    <t>NMNM120371</t>
  </si>
  <si>
    <t>200804-062</t>
  </si>
  <si>
    <t>T0200N,R0080W, NMPM MERIDIAN</t>
  </si>
  <si>
    <t>SEC 13, TR 69; SEC 15, TR 73 ,77.78</t>
  </si>
  <si>
    <t>NMNM120372</t>
  </si>
  <si>
    <t>200804-063</t>
  </si>
  <si>
    <t>SEC 22, TR 92; SEC 23, TR 85; SEC 25, TR 95,96</t>
  </si>
  <si>
    <t>NMNM120373</t>
  </si>
  <si>
    <t>200804-064</t>
  </si>
  <si>
    <t>SEC 26, TR 97; SEC 27, TR 98,102; SEC 34, TR 105</t>
  </si>
  <si>
    <t>NMNM120376</t>
  </si>
  <si>
    <t>200804-067</t>
  </si>
  <si>
    <t>T0230N,R0080W, NMPM MERIDIAN</t>
  </si>
  <si>
    <t>SEC 27, N2; SEC 34, SW</t>
  </si>
  <si>
    <t>NMNM120377</t>
  </si>
  <si>
    <t>200804-068</t>
  </si>
  <si>
    <t>SEC 30, LOTS 1-4; NE,E2W2; SEC 31 SE</t>
  </si>
  <si>
    <t>NMNM120379</t>
  </si>
  <si>
    <t>200804-070</t>
  </si>
  <si>
    <t>T0220N,R0100W, NMPM MERIDIAN</t>
  </si>
  <si>
    <t>SEC 24, E2; SEC 25, ALL</t>
  </si>
  <si>
    <t>OKNM120388</t>
  </si>
  <si>
    <t>200804-086</t>
  </si>
  <si>
    <t>HBP SKYE</t>
  </si>
  <si>
    <t>WOODS</t>
  </si>
  <si>
    <t>T0290N,R0160W, IM MERIDIAN</t>
  </si>
  <si>
    <t>SEC 34, NWSW</t>
  </si>
  <si>
    <t>OKNM120389</t>
  </si>
  <si>
    <t>200804-087</t>
  </si>
  <si>
    <t>SEC 12 , SEE LEASE FOR DETAILS</t>
  </si>
  <si>
    <t>OKNM120390</t>
  </si>
  <si>
    <t>200804-088</t>
  </si>
  <si>
    <t>U S OWNS 50% MINERALS IN CERTAIN LANDS</t>
  </si>
  <si>
    <t>T0030N,R0260E, IM MERIDIAN</t>
  </si>
  <si>
    <t>SEE LEASE FOR DESCRIPTION OF TRACTS</t>
  </si>
  <si>
    <t>OKNM120391</t>
  </si>
  <si>
    <t>200804-089</t>
  </si>
  <si>
    <t>OKNM120392</t>
  </si>
  <si>
    <t>200804-090</t>
  </si>
  <si>
    <t>T0010N,R0270E, IM MERIDIAN</t>
  </si>
  <si>
    <t xml:space="preserve">SEC 4, LOTS 1-2; S2NE; SEC 5, LOTS 1-2; S2NE; SEC 8, S2; SEC 9, S2NE; SEC 10, LOTS 1-4 </t>
  </si>
  <si>
    <t>OKNM120393</t>
  </si>
  <si>
    <t>200804-091</t>
  </si>
  <si>
    <t>OKNM120394</t>
  </si>
  <si>
    <t>200804-092</t>
  </si>
  <si>
    <t>TXNM120399</t>
  </si>
  <si>
    <t>200804-097</t>
  </si>
  <si>
    <t>SABINE NATIONAL FOREST</t>
  </si>
  <si>
    <t>SEE LEASE FOR DETAILS</t>
  </si>
  <si>
    <t>TXNM120400</t>
  </si>
  <si>
    <t>200804-098</t>
  </si>
  <si>
    <t xml:space="preserve">TR S-2N; SEE LSE ATTACHMENT </t>
  </si>
  <si>
    <t>TXNM120401</t>
  </si>
  <si>
    <t>200804-099</t>
  </si>
  <si>
    <t xml:space="preserve">TR S-2K-VIII; ; SEE LSE ATTACHMENT </t>
  </si>
  <si>
    <t>CK DE 1100-1190</t>
  </si>
  <si>
    <t>ARES53220</t>
  </si>
  <si>
    <t>ARES55231</t>
  </si>
  <si>
    <t>ARES55232</t>
  </si>
  <si>
    <t>R&amp;R WAS SUCCESSFUL BIDDER AT 4/24/2008 EASTERN STATES LEASE</t>
  </si>
  <si>
    <t>LAES55245</t>
  </si>
  <si>
    <t>MIES55247</t>
  </si>
  <si>
    <t>MIES55248</t>
  </si>
  <si>
    <t xml:space="preserve">PAYMENT FOR THE BALANCE DUE WAS NOT MADE TIMELY.  THE </t>
  </si>
  <si>
    <t>MIES55249</t>
  </si>
  <si>
    <t>MIES55250</t>
  </si>
  <si>
    <t>WAS AWARDED TO R&amp;R.  THE INITIAL PAYMENT OF $75,943.00 IS</t>
  </si>
  <si>
    <t>MIES55251</t>
  </si>
  <si>
    <t>RECORDED AS AN EXPENSE IN 2008 IN ACCOUNT 5120-1190.</t>
  </si>
  <si>
    <t>MIES55253</t>
  </si>
  <si>
    <t>MIES55254</t>
  </si>
  <si>
    <t>MIES55255</t>
  </si>
  <si>
    <t>MIES55256</t>
  </si>
  <si>
    <t>MIES55257</t>
  </si>
  <si>
    <t>MIES55258</t>
  </si>
  <si>
    <t>MIES55259</t>
  </si>
  <si>
    <t>MIES55260</t>
  </si>
  <si>
    <t>MIES55261</t>
  </si>
  <si>
    <t>MIES55262</t>
  </si>
  <si>
    <t>MIES55263</t>
  </si>
  <si>
    <t>MIES55264</t>
  </si>
  <si>
    <t>MIES55266</t>
  </si>
  <si>
    <t>MIES55267</t>
  </si>
  <si>
    <t>MIES55268</t>
  </si>
  <si>
    <t>MIES55269</t>
  </si>
  <si>
    <t>MIES55270</t>
  </si>
  <si>
    <t>MIES55272</t>
  </si>
  <si>
    <t>MIES55273</t>
  </si>
  <si>
    <t>MIES55274</t>
  </si>
  <si>
    <t>MIES55275</t>
  </si>
  <si>
    <t>MIES55277</t>
  </si>
  <si>
    <t>WVES55281</t>
  </si>
  <si>
    <t>ALES55311</t>
  </si>
  <si>
    <t>Escambia</t>
  </si>
  <si>
    <t>Conecuh National Forest</t>
  </si>
  <si>
    <t>T2N R13E St. Stephens Meridian</t>
  </si>
  <si>
    <t>Sec. 22, NWNENE, S2NENE, SENE, W2NE, E2NW, S2; Subject to F.S. Notice to Lessee No. 3 and No. 4</t>
  </si>
  <si>
    <t>ARES55315</t>
  </si>
  <si>
    <t>Crawford</t>
  </si>
  <si>
    <t>Ozark National Forest</t>
  </si>
  <si>
    <t>T12N, R33W, 5th Principal Meridian</t>
  </si>
  <si>
    <t>Sec. 1, NENE, E2NW, SWSW, S2SE; Sec. 2, SENE, S2SE; Subject to F.S. Controlled Surface Use Stipulations #1, #1A and #1B</t>
  </si>
  <si>
    <t>ARES55316</t>
  </si>
  <si>
    <t>Sec, 10, SENE, Frl. SE; Sec. 11, N2NE, SENE, NENW, S2NW, NESW, NESE, W2SE; Subject to F.S. Controlled Surface Use Stipulations #1, #1A and #1B</t>
  </si>
  <si>
    <t>ARES55317</t>
  </si>
  <si>
    <t>Sec. 12, NE, NENW, S2NW, SW, N2SE, SESE; Subject to Controlled Surface Use Stipulation #1</t>
  </si>
  <si>
    <t>ARES55318</t>
  </si>
  <si>
    <t>Sec. 13, N2, SW, NWSE; Subject to F.S. Controlled Surface Use Stipulations #1 and #1A</t>
  </si>
  <si>
    <t>ARES55319</t>
  </si>
  <si>
    <t>Sec. 14, E2, E2SW; Sec. 15, Frl. N2; Subject to F.S. Controlled Surface Use Stipulations #1 and #1A</t>
  </si>
  <si>
    <t>ARES55320</t>
  </si>
  <si>
    <t>Sec. 23, All; Subject to F.S. Controlled Surface Use Stipulations #1 and #1A</t>
  </si>
  <si>
    <t>ARES55321</t>
  </si>
  <si>
    <t>Sec. 24, SENE, NW, S2; Subject to F.S. Controlled Surface Use Stipulations #1 and #1B</t>
  </si>
  <si>
    <t>ARES55322</t>
  </si>
  <si>
    <t>Sec. 25, NWNE, S2NE, NW, NESE, S2SE; Subject to F.S. Controlled Surface Use Stipulations #1, #1A and #1B</t>
  </si>
  <si>
    <t>ARES55323</t>
  </si>
  <si>
    <t>Sec. 26, See Lease for Details; Subject to F.S. Controlled Surface Use Stipulations #1 and #1A</t>
  </si>
  <si>
    <t>ARES55324</t>
  </si>
  <si>
    <t>Sec. 35, S2NE, NWNE, Frl. NW, SESW, SE; Subject to F.S. Controlled Surface Use Stipulation #1</t>
  </si>
  <si>
    <t>ARES55325</t>
  </si>
  <si>
    <t>Sec. 36, *N2N2SENE. *50% U.S. Mineral Interests; Subject to F.S. Controlled Surface Use Stipulation</t>
  </si>
  <si>
    <t>ARES55326</t>
  </si>
  <si>
    <t>Sec. 36, See Lease for Details; Subject to F.S. Controlled Surface Use Stipulations #1 and #1A</t>
  </si>
  <si>
    <t>ARES55327</t>
  </si>
  <si>
    <t>Sec. 1, SENE, W2NW, NESE; Sec. 2, NENE, S2SW, Sec. 3, W2NE, Frl. E2NW; Subject to F.S. Controlled Surface Use Stipulations #1C and #1D</t>
  </si>
  <si>
    <t>ARES55328</t>
  </si>
  <si>
    <t>Sec. 11, NWNW, NWSW; Sec. 12, SWSW; Subject to Controlled Surface Use Stipulation #1D</t>
  </si>
  <si>
    <t>ARES55329</t>
  </si>
  <si>
    <t>Sec. 26, SWSE; Sec. 36, NENW; Subject to F.S. Controlled Surface Use Stipulation #1D</t>
  </si>
  <si>
    <t>KYES55330</t>
  </si>
  <si>
    <t>LEASE NOT ISSUED</t>
  </si>
  <si>
    <t>Pulaski</t>
  </si>
  <si>
    <t>KY</t>
  </si>
  <si>
    <t>Daniel Boone National Forest</t>
  </si>
  <si>
    <t>Tract T-1042C.</t>
  </si>
  <si>
    <t>LAES55332</t>
  </si>
  <si>
    <t>Rapides Parish</t>
  </si>
  <si>
    <t>Kisatchie National Forest</t>
  </si>
  <si>
    <t>T1N, R2W, Louisiana Meridian</t>
  </si>
  <si>
    <t>Sec. 1, W2NE, NW, NWSW, S2SW, W2NESE, W2SE; Subject to F.S. Controlled Surface Use Stipulations #1 and #2; Subject to F.S. Lease Notice No. 3</t>
  </si>
  <si>
    <t>LAES55333</t>
  </si>
  <si>
    <t>Sec. 1, *NESW; *50% U.S. Mineral Interests; Subject to F.S. Controlled Surface Use Stipulations #1 and #2; Subject to F.S. Lease Notice No. 3</t>
  </si>
  <si>
    <t>LAES55334</t>
  </si>
  <si>
    <t>Sec. 2, N2NE, SENE, W2, S2SE, NWSE; Subject to F.S. Controlled Surface Use Stipulations #1 and @3; Subject to F.S. Lease Notice No. 3</t>
  </si>
  <si>
    <t>LAES55335</t>
  </si>
  <si>
    <t>Sec. 3, All. Subject to F.S. No Surface Occupancy Stipulation #1; Subject to F.S. Controlled Surface Use Stipulation; Subject to F.S. Lease Notice No. 3</t>
  </si>
  <si>
    <t>LAES55336</t>
  </si>
  <si>
    <t>Sec. 4, All. Subject to F.S. No Surface Occupancy Stipulation #1; Subject to F.S. Controlled Surface Use Stipulations #1 and #2; Subject to F.S. Lease Notice No. 3</t>
  </si>
  <si>
    <t>LAES55337</t>
  </si>
  <si>
    <t>Sec. 5, S2NE, W2NWNE, NENW, N2NWNW, E2SW, SE; Subject to F.S. Controlled Surface Use Stipulations #1 and #2; Subject to F.S. Lease Notice No. 3</t>
  </si>
  <si>
    <t>LAES55338</t>
  </si>
  <si>
    <t>Sec. 6, N2NE, SWNE, NWSE; Sec. 7, SENE, E2NW, N2S2N2SW, N2N2SW, SE; Subject to F.S. Controlled Surface Use Stipulations #1 and #2; Subject to F.S. Lease Notice No. 3</t>
  </si>
  <si>
    <t>LAES55339</t>
  </si>
  <si>
    <t>Sec.8, All. Subject to F.S. Controlled Surface Use Stipulations #1 and #2; Subject to F.S. Lease Notice No. 3</t>
  </si>
  <si>
    <t>LAES55340</t>
  </si>
  <si>
    <t>Sec. 9, All.  Subject to F.S. No Surface Occupancy Stipulation #1; Subject to F.S. Controlled Surface Use Stipulations #1 and #2; Subject to F.S. Lease Notice #3</t>
  </si>
  <si>
    <t>LAES55341</t>
  </si>
  <si>
    <t>Sec. 10, All. Subject to F.S. Controlled Surface Use Stipulations #1 and #2; Subject to F.S. Lease Notice No. 3</t>
  </si>
  <si>
    <t>LAES55342</t>
  </si>
  <si>
    <t>Sec. 11, All. Subject to F.S. Controlled Surface Use Stipulation #1; Subject to F.S. Lease Notice No. 3</t>
  </si>
  <si>
    <t>LAES55344</t>
  </si>
  <si>
    <t>Sec. 13; Sec. 14; See Lease for Details</t>
  </si>
  <si>
    <t>LAES55345</t>
  </si>
  <si>
    <t>Sec. 15; All. Subject to F.S. Controlled Surface Use Stipulations #1 and #2; Subject to F.S. Lease Notice No. 3</t>
  </si>
  <si>
    <t>LAES55347</t>
  </si>
  <si>
    <t>T2N, R2W, Louisiana Meridian</t>
  </si>
  <si>
    <t>Sec. 6, NWNW; Sec. 8, NESW, Subject to F.S. Controlled Surface Use Stipulations #1 and #2; Subject to F.S. Lease Notices Nos. 3 and 4</t>
  </si>
  <si>
    <t>LAES55348</t>
  </si>
  <si>
    <t>Sec. 29, N2SW; Subject to F.S. Controlled Surface Use Stipulations #1 and #2; Subject to F.S. Lease Notices Nos. 3 and 4</t>
  </si>
  <si>
    <t>LAES55349</t>
  </si>
  <si>
    <t>Sec. 1, All, except 2 ac. In NENE (Tr. E-08); Subject to F.S. Controlled Surface Use Stipulations #1 and #2; Subject to F.S. Lease Notice Nos. 3 and 4</t>
  </si>
  <si>
    <t>LAES55350</t>
  </si>
  <si>
    <t>Sec. 2, All. Subject to F.S. Controlled Surface Use Stipulation #1; Subject to F.S. Lease Notice Nos. 3 and 4</t>
  </si>
  <si>
    <t>LAES55351</t>
  </si>
  <si>
    <t>Sec. 3, All. Subject to F.S. Controlled Surface Use Stipulation #1; Subject to F.S. Lease Notice Nos. 3 and 4</t>
  </si>
  <si>
    <t>LAES55352</t>
  </si>
  <si>
    <t>Sec. 4, All. Subject to F.S. Controlled Surface Use Stipulation #1; Subject to F.S. Lease Notice Nos. 3 and 4</t>
  </si>
  <si>
    <t>LAES55353</t>
  </si>
  <si>
    <t>Sec. 5, All. Subject to F.S. Controlled Surface Use Stipulations #1 and #2; Subject to F.S. Lease Notice Nos. 3 and 4</t>
  </si>
  <si>
    <t>LAES55354</t>
  </si>
  <si>
    <t>Sec. 6, NE, E2NW, SWNW, S2; Subject to F.S. Controlled Surface Use Stipulations #1, #2 and #3; Subject to F.S. Lease Notice Nos. 3 and 4</t>
  </si>
  <si>
    <t>LAES55355</t>
  </si>
  <si>
    <t>Sec. 7, All. Subject to F.S. Controlled Surface Use Stipulations #1, #2 and #3; Subject to F.S. Lease Notices Nos. 3 and 4</t>
  </si>
  <si>
    <t>LAES55356</t>
  </si>
  <si>
    <t>Sec. 8, NENE, NW, NESW, S2S2; Subject to F.S. Controlled Surface Use Stipulations #1, #2 and #3; Subject to F.S. Lease Notices Nos. 3 and 4</t>
  </si>
  <si>
    <t>LAES55357</t>
  </si>
  <si>
    <t>Sec. 9, All.  Subject to F.S. Controlled Surface Use Stipulation #1; Subject to F.S. Lease Notices Nos. 3 and 4</t>
  </si>
  <si>
    <t>LAES55358</t>
  </si>
  <si>
    <t>Sec. 10, All. Subject to F.S. Controlled Surface Use Stipulation #1; Subject to F.S. Lease Notices Nos. 3 and 4</t>
  </si>
  <si>
    <t>LAES55359</t>
  </si>
  <si>
    <t>Sec. 11, All. Subject to F.S. Controlled Surface Use Stipulation #1; Subject to F.S. Lease Notices Nos. 3 and 4</t>
  </si>
  <si>
    <t>LAES55360</t>
  </si>
  <si>
    <t>Sec. 12, All. Subject to F.S. Controlled Surface Use Stipulation #1; Subject to F.S. Lease Notices Nos. 3 and 4</t>
  </si>
  <si>
    <t>LAES55361</t>
  </si>
  <si>
    <t>Sec. 13, NW, S2; Subject to F.S. Controlled Surface Use Stipulation #1; Subject to F.S. Lease Notices Nos. 3 and 4</t>
  </si>
  <si>
    <t>LAES55362</t>
  </si>
  <si>
    <t>Sec. 14, All. Subject to F.S. Controlled Surface Use Stipulation #1; Subject to F.S. Lease Notices Nos. 3 and 4</t>
  </si>
  <si>
    <t>LAES55363</t>
  </si>
  <si>
    <t>Sec, 15, All. Subject to F.S. Controlled Surface Use Stipulation #1; Subject to F.S. Lease Notices Nos. 3 and 4</t>
  </si>
  <si>
    <t>LAES55364</t>
  </si>
  <si>
    <t>Sec. 16, All.  Subject to F.S. Controlled Suface Use Stipulation #1; Subject to F.S. Lease Notices Nos. 3 and 4</t>
  </si>
  <si>
    <t>LAES55365</t>
  </si>
  <si>
    <t>Sec. 17, All. Subject to F.S. Controlled Surface Use Stipulations #1, #2 and #3; Subjet to F.S. Lease Notices Nos. 3 and 4</t>
  </si>
  <si>
    <t>LAES55366</t>
  </si>
  <si>
    <t>Sec. 18, NE, N2SE, SWSE, W2; Subject to F.S. Controlled Surface Use Stipulations #1, #2 and #3; Subject to F.S. Lease Notices Nos. 3 and 4</t>
  </si>
  <si>
    <t>LAES55367</t>
  </si>
  <si>
    <t>Sec. 19, All; Subject to F.S. Controlled Surface Use Stipulations #1 and #2; Subject to F.S. Lease Notices Nos. 3 and 4</t>
  </si>
  <si>
    <t>LAES55368</t>
  </si>
  <si>
    <t>Sec. 20, All; Subject to F.S. Controlled Surface Use Stipulations #1 and #2; Subject to F.S. Lease Notices Nos. 3 and 4</t>
  </si>
  <si>
    <t>LAES55369</t>
  </si>
  <si>
    <t>Sec. 21; All.  Subject to F.S. Controlled Surface Use Stipulations #1 and #2; Subject to F.S. Lease Notices Nos. 3 and 4</t>
  </si>
  <si>
    <t>LAES55370</t>
  </si>
  <si>
    <t>Sec. 22, NE, N2NW, SW. Subject to F.S. Controlled Surface Use Stipulation #1; Subject to F.S. Lease Notices Nos. 3 and 4</t>
  </si>
  <si>
    <t>LAES55371</t>
  </si>
  <si>
    <t>Sec. 23, N2NE, W2SENE, SENE, NW NESW; Subject to F.S. Controlled Surface Use Stipulation #1; Subject to F.S. Lease Notices Nos. 3 and 4</t>
  </si>
  <si>
    <t>LAES55372</t>
  </si>
  <si>
    <t>Sec. 24, NENE, N2NWNE, N2NW, E2SWNW, W2SENW; See Lease for Details</t>
  </si>
  <si>
    <t>LAES55373</t>
  </si>
  <si>
    <t>Sec. 27, All. Subject to F.S. Lease Notices Nos. 3 and 4</t>
  </si>
  <si>
    <t>LAES55374</t>
  </si>
  <si>
    <t>Sec. 28, All. Subject to F.S. Lease Notices Nos. 3 and 4</t>
  </si>
  <si>
    <t>LAES55375</t>
  </si>
  <si>
    <t>Sec. 29, N2, S2SW, SE; Subject F.S. Lease Notices Nos. 3 and 4</t>
  </si>
  <si>
    <t>LAES55376</t>
  </si>
  <si>
    <t>Sec. 30, All.  Subject to F.S. Controlled Surface Use Stipulations #1 and #2; Subject to F.S. Lease Notices Nos. 3 and 4</t>
  </si>
  <si>
    <t>LAES55377</t>
  </si>
  <si>
    <t>Sec. 32, N2, E2SWSW, N2SE, W 12 acres in W2SWSW, SE. Subject to F.S. Controlled Surface Use Stipulations #1 and #2; Subject to F.S. Lease Notices Nos. 3 and 4</t>
  </si>
  <si>
    <t>LAES55378</t>
  </si>
  <si>
    <t>Sec. 33, All. See Lease for Details.</t>
  </si>
  <si>
    <t>LAES55379</t>
  </si>
  <si>
    <t>Sec. 34, All. See Lease for Details.</t>
  </si>
  <si>
    <t>LAES55380</t>
  </si>
  <si>
    <t xml:space="preserve">Sec. 35; S2NE, NWNE, NW, S2. Subject to F.S. Controlled Surface Use Stipulation #1; Subject to F.S. Lease Notices Nos. 3 and 4. </t>
  </si>
  <si>
    <t>MSES55381</t>
  </si>
  <si>
    <t>Smith</t>
  </si>
  <si>
    <t>T1N, R9E, Choctaw Meridian</t>
  </si>
  <si>
    <t>Sec. 1, W2NE, SENE, N2SE; Sec. 4, SESW; Sec. 6, pt of NWSW. Subject to BLM Controlled Surface Use Stipulations and Lease Notices</t>
  </si>
  <si>
    <t>MSES55384</t>
  </si>
  <si>
    <t>T3N, R7E, Choctaw Meridian</t>
  </si>
  <si>
    <t>Sec. 36, NESE, N2W2SESE; Subject to BLM Controlled Surface Use Stipulations and Lease Notices</t>
  </si>
  <si>
    <t>MSES55385</t>
  </si>
  <si>
    <t>T4N, R6E, Choctaw Meridian</t>
  </si>
  <si>
    <t>Sec. 15, N2SE; Subject to BLM Controlled Surface Use Stipulations and Lease Notices</t>
  </si>
  <si>
    <t>MSES55386</t>
  </si>
  <si>
    <t>Bienville National Forest</t>
  </si>
  <si>
    <t>T4N, R7E, Choctaw Meridian</t>
  </si>
  <si>
    <t>Sec. 23, See Lease for Details</t>
  </si>
  <si>
    <t>MSES55387</t>
  </si>
  <si>
    <t>T4N, R9E, Choctaw Meridian</t>
  </si>
  <si>
    <t>Sec. 31, NENE; Subject to BLM Controlled Surface Use Stipulations and Lease Notices</t>
  </si>
  <si>
    <t>MSES55391</t>
  </si>
  <si>
    <t>Forrest</t>
  </si>
  <si>
    <t>T1S, R12W, St. Stephens Meridian</t>
  </si>
  <si>
    <t>Sec. 21, SESW; Subject to BLM Controlled Surface Use Stipulations and Lease Notices</t>
  </si>
  <si>
    <t>MSES55392</t>
  </si>
  <si>
    <t>T1S, R13W, St. Stephens Meridian</t>
  </si>
  <si>
    <t>Sec. 9, E2NW; Subject to BLM Controlled Suface Use Stipulations and Lease Notices</t>
  </si>
  <si>
    <t>MSES55393</t>
  </si>
  <si>
    <t>DeSoto National Forest</t>
  </si>
  <si>
    <t>Sec. 10, NESE; Subject to BLM Controlled Surface Use Stipulations and Lease Notices</t>
  </si>
  <si>
    <t>POSTED FROM RECEIPTS</t>
  </si>
  <si>
    <t>MPLP AXP</t>
  </si>
  <si>
    <t>CK 3374</t>
  </si>
  <si>
    <t>NMNM120889</t>
  </si>
  <si>
    <t>200807-007</t>
  </si>
  <si>
    <t>T0250S,R0280E, NMPM Meridian</t>
  </si>
  <si>
    <t>Sec. 025, SENE</t>
  </si>
  <si>
    <t>NMNM120896</t>
  </si>
  <si>
    <t>200807-014</t>
  </si>
  <si>
    <t>T0160S, R0300E, NMPM Meridian</t>
  </si>
  <si>
    <t>Sec. 025, S2NW</t>
  </si>
  <si>
    <t>NMNM120905</t>
  </si>
  <si>
    <t>200807-023</t>
  </si>
  <si>
    <t>T0210S, R0320E, NMPM Meridian</t>
  </si>
  <si>
    <t>Sec. 035, N2</t>
  </si>
  <si>
    <t>NMNM120911</t>
  </si>
  <si>
    <t>200807-029</t>
  </si>
  <si>
    <t>T0090N, R0330E, NMPM Meridian</t>
  </si>
  <si>
    <t>Sec. 027, N2NE, E2NW, SW, S2SE; Sec. 028, S2; Sec. 033, S2NE, W2, SE; Sec. 034, NE, S2NW, SW</t>
  </si>
  <si>
    <t>NMNM120915</t>
  </si>
  <si>
    <t>200807-033</t>
  </si>
  <si>
    <t>T0250S, R0380E, NMPM Meridian</t>
  </si>
  <si>
    <t>Sec. 017, SE</t>
  </si>
  <si>
    <t>NMNM120917</t>
  </si>
  <si>
    <t>200807-035</t>
  </si>
  <si>
    <t>BIA</t>
  </si>
  <si>
    <t>T0200N, R0080W, NMPM Meridian</t>
  </si>
  <si>
    <t>Sec. 001, TR 37; Sec. 003, TR 40, 41, 48</t>
  </si>
  <si>
    <t>NMNM120920</t>
  </si>
  <si>
    <t>200807-038</t>
  </si>
  <si>
    <t>T0210N, R0080W, NMPM Meridian</t>
  </si>
  <si>
    <t>Sec. 025, All; Sec. 027, Lots 1-4; Sec. 027, SE</t>
  </si>
  <si>
    <t>NMNM120921</t>
  </si>
  <si>
    <t>200807-039</t>
  </si>
  <si>
    <t>Sec. 035, All</t>
  </si>
  <si>
    <t>OKNM120939</t>
  </si>
  <si>
    <t>200807-059</t>
  </si>
  <si>
    <t>USDA Forest Service; Ouachita National Forest</t>
  </si>
  <si>
    <t>T0030N, R0260E, IM Meridian</t>
  </si>
  <si>
    <t>Sec. 025, 026, 035, 036, See lease for details</t>
  </si>
  <si>
    <t>OKNM120940</t>
  </si>
  <si>
    <t>200807-060</t>
  </si>
  <si>
    <t>T0040N, R0270E, IM Meridian</t>
  </si>
  <si>
    <t>Sec. 021, All; Sec. 022, Lots 1, 2; Sec. 022, W2</t>
  </si>
  <si>
    <t>OKNM120941</t>
  </si>
  <si>
    <t>200807-061</t>
  </si>
  <si>
    <t>Sec. 027, Lots 1, 3; Sec. 027, SW; Sec. 028, N2NE, NW, NESW, SE; Sec. 033, All; Sec. 034, Lots 1-4; Sec. 034, W2</t>
  </si>
  <si>
    <t>OKNM120942</t>
  </si>
  <si>
    <t>200807-062</t>
  </si>
  <si>
    <t>Sec. 029, W2, W2SE, SESE; Sec. 030, N2NE, S2SE; Sec. 031, N2NE; Sec. 032, N2N2, SENE; Sec. 032, E2NESE, S2SWSE; Sec. 032, SESE</t>
  </si>
  <si>
    <t>TXNM120950</t>
  </si>
  <si>
    <t>200807-070</t>
  </si>
  <si>
    <t>BURLESON</t>
  </si>
  <si>
    <t>Corps of Engineers; Somerville Lake</t>
  </si>
  <si>
    <t>TX Meridian</t>
  </si>
  <si>
    <t>TR 107, 108, 109, 110, 111; TR 146, 147</t>
  </si>
  <si>
    <t>TXNM120951</t>
  </si>
  <si>
    <t>200807-071</t>
  </si>
  <si>
    <t>USDA Forest Service; Sam Houston National Forest</t>
  </si>
  <si>
    <t>TR J-1B Parcel #2; See lease for details</t>
  </si>
  <si>
    <t>TXNM120952</t>
  </si>
  <si>
    <t>200807-072</t>
  </si>
  <si>
    <t>USDA Forest Service, Sam Houston National Forest</t>
  </si>
  <si>
    <t>TR J-1B Parcel #3; See lease for details</t>
  </si>
  <si>
    <t>TXNM120953</t>
  </si>
  <si>
    <t>200807-073</t>
  </si>
  <si>
    <t>TR J-1B Parcel #5; See lease for details</t>
  </si>
  <si>
    <t>TXNM120954</t>
  </si>
  <si>
    <t>200807-074</t>
  </si>
  <si>
    <t>TR J-1-III Parcel #2; See lease for details</t>
  </si>
  <si>
    <t>TXNM120959</t>
  </si>
  <si>
    <t>200807-079</t>
  </si>
  <si>
    <t>Corps of Engineers; Whitney Lake, Mid-Brazos</t>
  </si>
  <si>
    <t>TR W-G 601, 604, 605, 606, 608; TR 609, 616, 619-1, 619-2; TR 619-3, 619-4, 619-5, 619-6; TR 619-7, 619-8, 619-9, 619-10; TR 619-11; See lease for details</t>
  </si>
  <si>
    <t>AMENDMENT - REFUND RECEIVED 8-3-2009 RECORDED LINE 942</t>
  </si>
  <si>
    <t>TXNM120960</t>
  </si>
  <si>
    <t>200807-080</t>
  </si>
  <si>
    <t>See lease for details</t>
  </si>
  <si>
    <t>AXP 07-17-08</t>
  </si>
  <si>
    <t>AXP 7-22-08</t>
  </si>
  <si>
    <t xml:space="preserve">ACA CK 1263 WACHOVIA </t>
  </si>
  <si>
    <t>LAES55447</t>
  </si>
  <si>
    <t>ES-025-09/08</t>
  </si>
  <si>
    <t>WINN</t>
  </si>
  <si>
    <t>T9N, R4W, LA MERIDIAN</t>
  </si>
  <si>
    <t>SEC 16, NWSE</t>
  </si>
  <si>
    <t>LAES55448</t>
  </si>
  <si>
    <t>ES-026-09/08</t>
  </si>
  <si>
    <t>T20N, R9W, LA MERIDIAN</t>
  </si>
  <si>
    <t>SEE LEASE 494.6 A IN SEC 1</t>
  </si>
  <si>
    <t>LAES55449</t>
  </si>
  <si>
    <t>ES-027-09/08</t>
  </si>
  <si>
    <t>SEC 2, N2N2, W2SE, SW; SEC 3, NENE</t>
  </si>
  <si>
    <t>LAES55450</t>
  </si>
  <si>
    <t>ES-028-09/08</t>
  </si>
  <si>
    <t>SEC 9, SESE; SEC 10, E2, NESW, S2SW, NENW, SENW, NWNW</t>
  </si>
  <si>
    <t>LAES55452</t>
  </si>
  <si>
    <t>ES-030-09/08</t>
  </si>
  <si>
    <t>SEC 13, NE, S2, SENW; SEC 14, W2NW</t>
  </si>
  <si>
    <t>LAES55453</t>
  </si>
  <si>
    <t>ES-031-09/08</t>
  </si>
  <si>
    <t>SEC 15, NE, NESE, W2SE, S2SW, N2NW</t>
  </si>
  <si>
    <t>LAES55454</t>
  </si>
  <si>
    <t>ES-032-09/08</t>
  </si>
  <si>
    <t>SEC 16, S2</t>
  </si>
  <si>
    <t>LAES55455</t>
  </si>
  <si>
    <t>ES-033-09/08</t>
  </si>
  <si>
    <t>SEC 20, E2SWNE, SENE, NESE, S2S2, NESW</t>
  </si>
  <si>
    <t>LAES55457</t>
  </si>
  <si>
    <t>ES-035-09/08</t>
  </si>
  <si>
    <t>SEC 22, W2N2, SENE, SE (LESS 12 A-SEE LSE), SW, NW</t>
  </si>
  <si>
    <t>LAES55458</t>
  </si>
  <si>
    <t>ES-036-09/08</t>
  </si>
  <si>
    <t>SEC23, N2N2, SESE, SENE, NESE (LESS 1A -SEE LSE), N2SWNE, S2SWNE, W2SE, N2SW, SESW, S2NW</t>
  </si>
  <si>
    <t>LAES55459</t>
  </si>
  <si>
    <t>ES-037-09/08</t>
  </si>
  <si>
    <t>SEC 24, E, SE, SW, E2NW, SWNW (LESS 0.71A FOR CEMETERY)</t>
  </si>
  <si>
    <t>LAES55460</t>
  </si>
  <si>
    <t>ES-038-09/08</t>
  </si>
  <si>
    <t>SEC 25, N2; SEC 26, NENE, SENE, NWNE, &amp; TRACT IN SWNW, N2NW</t>
  </si>
  <si>
    <t>LAES55461</t>
  </si>
  <si>
    <t>ES-039-09/08</t>
  </si>
  <si>
    <t xml:space="preserve">SEC 27, W2SW; SEC 28, NE, SE, S2SW, NENW </t>
  </si>
  <si>
    <t>LAES55462</t>
  </si>
  <si>
    <t>ES-040-09/08</t>
  </si>
  <si>
    <t>SEC 29, N2N2, SESE; SEC 32, NENE, S2SE</t>
  </si>
  <si>
    <t>LAES55463</t>
  </si>
  <si>
    <t>ES-041-09/08</t>
  </si>
  <si>
    <t>SEC 33, NE, NESE, S2S2, E2NWSE, N2SENW, N2NW</t>
  </si>
  <si>
    <t>LAES55464</t>
  </si>
  <si>
    <t>ES-042-09/08</t>
  </si>
  <si>
    <t>SEC 34. SWNE, SE, SW, SENW, W2NW</t>
  </si>
  <si>
    <t>LAES55465</t>
  </si>
  <si>
    <t>ES-043-09/08</t>
  </si>
  <si>
    <t>SEC 35, SWNE,NWSE, S2SE, SW, SENW, NENESWNW, S2N2SWNW, S2SWNW</t>
  </si>
  <si>
    <t>LAES55466</t>
  </si>
  <si>
    <t>ES-044-09/08</t>
  </si>
  <si>
    <t>T22N, R6W, LA MERIDIAN</t>
  </si>
  <si>
    <t>SEC 27, NW</t>
  </si>
  <si>
    <t>MIES55474</t>
  </si>
  <si>
    <t>ES-052-09/08</t>
  </si>
  <si>
    <t>ALCONA</t>
  </si>
  <si>
    <t>HURON NATIONAL FOREST</t>
  </si>
  <si>
    <t>T27N &amp; T28N, R9E, MI MERIDIAN</t>
  </si>
  <si>
    <t xml:space="preserve">SEE LEASE </t>
  </si>
  <si>
    <t>MIES55476</t>
  </si>
  <si>
    <t>ES-054-09/08</t>
  </si>
  <si>
    <t>NEWAYGO</t>
  </si>
  <si>
    <t>T14N, R13W, MI MERIDIAN</t>
  </si>
  <si>
    <t>SEC 3, W2NE, W3/4SW; SEC 8, NWNE; SEC 9, PART NE (EXCEPT S2SESENE- 4.99A) E2SW, W2SE</t>
  </si>
  <si>
    <t>MIES55490</t>
  </si>
  <si>
    <t>ES-068-09/08</t>
  </si>
  <si>
    <t>OCEANA</t>
  </si>
  <si>
    <t>T14N, R15W, MI MERIDIAN</t>
  </si>
  <si>
    <t>SEC 17, N2NW, N2S2NW; SEC 18, NENE, SWNE, SENW, E2NESE, NENW, S2SE</t>
  </si>
  <si>
    <t>MIES55491</t>
  </si>
  <si>
    <t>ES-069-09/08</t>
  </si>
  <si>
    <t>SEC 27, S2NW; SEC 28, W2NW; SEC29, E2NW, NE; SEC 32, NW</t>
  </si>
  <si>
    <t>MIES55492</t>
  </si>
  <si>
    <t>ES-070-09/08</t>
  </si>
  <si>
    <t>T14N, R16W, MI MERIDIAN</t>
  </si>
  <si>
    <t>SEC 1, NENW; SEC 11, SENE; SEC 12, NWSE, SESE; SEC 13, S2NENE; SEC 24, SWNE, NENE, SENE</t>
  </si>
  <si>
    <t>MIES55493</t>
  </si>
  <si>
    <t>ES-071-09/08</t>
  </si>
  <si>
    <t>SEC 31, E2NE, NESE; SEC 32, S2SW</t>
  </si>
  <si>
    <t>MIES55494</t>
  </si>
  <si>
    <t>ES-072-09/08</t>
  </si>
  <si>
    <t>T16N, R14W, MI MERIDIAN</t>
  </si>
  <si>
    <t>SEC 3, ALL; SEC 4, N2NE, NENW</t>
  </si>
  <si>
    <t>MIES55495</t>
  </si>
  <si>
    <t>ES-073-09/08</t>
  </si>
  <si>
    <t>SEC 5, SW; SEC 7, N2NW (EXCL 1A),S2NW, N2SW, S2S2SW</t>
  </si>
  <si>
    <t>MIES55496</t>
  </si>
  <si>
    <t>ES-074-09/08</t>
  </si>
  <si>
    <t>SEC 16, S2SW, NWSW; SEC 17, W2NE; SEC 21, W2</t>
  </si>
  <si>
    <t>MIES55497</t>
  </si>
  <si>
    <t>ES-075-09/08</t>
  </si>
  <si>
    <t>SEC 27, W2NW, SW; SEC 28, NWSW; SEC 34, S2SE; SEC35, W2, EXCL NENW</t>
  </si>
  <si>
    <t>MIES55498</t>
  </si>
  <si>
    <t>ES-076-09/08</t>
  </si>
  <si>
    <t>T16N, R15W, MI MERIDIAN</t>
  </si>
  <si>
    <t xml:space="preserve">SEC 4, W2SE, SWSW, E2SW; SEC7, ALL; </t>
  </si>
  <si>
    <t>MIES55499</t>
  </si>
  <si>
    <t>ES-077-09/08</t>
  </si>
  <si>
    <t>SEC 10, E4, NWNE; SEC 11, W2, SE; SEC 12, NENE, S2NE</t>
  </si>
  <si>
    <t>MIES55500</t>
  </si>
  <si>
    <t>ES-078-09/08</t>
  </si>
  <si>
    <t>SEC 14, ALL; SEC 23, N2SW; SEC 24, S2NW, NWNE, N2NW</t>
  </si>
  <si>
    <t>MIES55501</t>
  </si>
  <si>
    <t>ES-079-09/08</t>
  </si>
  <si>
    <t>SEC 21, N2SENE, SESENE, E2SWSENE; SEC 22, S2SW; SEC 27, NWNW, NENW; SEC 28, N2NE, N2NW, S2NE</t>
  </si>
  <si>
    <t>MIES55502</t>
  </si>
  <si>
    <t>ES-080-09/08</t>
  </si>
  <si>
    <t>T16N, R16W, MI MERIDIAN</t>
  </si>
  <si>
    <t>SEC 1, ALL; SEC 2, ALL EXCEPT S2NWNW</t>
  </si>
  <si>
    <t>MIES55503</t>
  </si>
  <si>
    <t>ES-081-09/08</t>
  </si>
  <si>
    <t>SEC 9, ALL; SEC 10, ALL; SEC 15, NE</t>
  </si>
  <si>
    <t>MIES55504</t>
  </si>
  <si>
    <t>ES-082-09/08</t>
  </si>
  <si>
    <t>MASON</t>
  </si>
  <si>
    <t>T17N, R15W, MI MERIDIAN</t>
  </si>
  <si>
    <t xml:space="preserve">SEC 5, E2;  PORTIONS OF SEC 6, 7 &amp; 8 - SEE LEASE FOR DETAILS </t>
  </si>
  <si>
    <t>MIES55505</t>
  </si>
  <si>
    <t>ES-083-09/08</t>
  </si>
  <si>
    <t>SEC 14, 2SW, W2SW</t>
  </si>
  <si>
    <t>MIES55506</t>
  </si>
  <si>
    <t>ES-084-09/08</t>
  </si>
  <si>
    <t>T17N, R15W &amp; 16W, MI MERIDIAN</t>
  </si>
  <si>
    <t>R15W: SEC 19 ALL; R16W: SEC24, E2</t>
  </si>
  <si>
    <t>MIES55507</t>
  </si>
  <si>
    <t>ES-085-09/08</t>
  </si>
  <si>
    <t>T17N, R16W, MI MERIDIAN</t>
  </si>
  <si>
    <t>SEC 33, W2NESE, S2SE, SESW, E2NESE; SEC 34, NWNE, SWNE, SENW, S2, SENE</t>
  </si>
  <si>
    <t>MIES55508</t>
  </si>
  <si>
    <t>ES-086-09/08</t>
  </si>
  <si>
    <t>SEC 35, E2SE, SWSE, NESW, NWSE, N2NW, NE, S2NW, W2SW, SESW</t>
  </si>
  <si>
    <t>AXP</t>
  </si>
  <si>
    <t>CHECK</t>
  </si>
  <si>
    <t>TXNM121523</t>
  </si>
  <si>
    <t>200810-057</t>
  </si>
  <si>
    <t>Jackson</t>
  </si>
  <si>
    <t>TR I-C-12, I-C-32</t>
  </si>
  <si>
    <t>TXNM121524</t>
  </si>
  <si>
    <t>200810-058</t>
  </si>
  <si>
    <t>TR I-C-127; TR I-C-128; TR I-C-129; TR I-C-130; See lease for details</t>
  </si>
  <si>
    <t>TXNM121526</t>
  </si>
  <si>
    <t>200810-060</t>
  </si>
  <si>
    <t>TR I-C-131-1; TR I-C-131-2; TR I-C-132; TR I-C-133-1; TR I-C-133-2; TR I-C-135; TR I-C-137</t>
  </si>
  <si>
    <t>TXNM121527</t>
  </si>
  <si>
    <t>200810-061</t>
  </si>
  <si>
    <t>TR I-C-124-1; TR I-C-125-1; TR I-C-125-2; TR I-C-125-3; TR I-C-126; TR I-C-155</t>
  </si>
  <si>
    <t>TXNM121528</t>
  </si>
  <si>
    <t>200810-062</t>
  </si>
  <si>
    <t>TR I-C-143; TR I-C-144-4; TR I-C-150; TR I-C-200; TR I-C-202; TR I-C-203; TR I-C-217</t>
  </si>
  <si>
    <t>TXNM121529</t>
  </si>
  <si>
    <t>200810-063</t>
  </si>
  <si>
    <t>TR I-C-175; TR I-C-218; TR I-C-29-1; TR I-C-29-2</t>
  </si>
  <si>
    <t>TXNM121530</t>
  </si>
  <si>
    <t>200810-064</t>
  </si>
  <si>
    <t>TR I-C-31; TR I-C-39; TR I-C-39-A; TR I-C-40</t>
  </si>
  <si>
    <t>TXNM121531</t>
  </si>
  <si>
    <t>200810-065</t>
  </si>
  <si>
    <t>TR I-C-14; TR I-C-168; TR I-C-222; See lease for details</t>
  </si>
  <si>
    <t>TXNM121532</t>
  </si>
  <si>
    <t>200810-066</t>
  </si>
  <si>
    <t>TR I-C-214-1; TR I-C-214-2; TR I-C-219-1; TR I-C-219-2</t>
  </si>
  <si>
    <t>CREDIT FROM MMS</t>
  </si>
  <si>
    <t>ALES55543</t>
  </si>
  <si>
    <t>BLM; Conecuh National Forest</t>
  </si>
  <si>
    <t>T0010N, R0130E; 25 Meridian</t>
  </si>
  <si>
    <t>Sec. 003, N2NE, N2SE</t>
  </si>
  <si>
    <t>ALES55546</t>
  </si>
  <si>
    <t>Sec. 021, All</t>
  </si>
  <si>
    <t>ALES55551</t>
  </si>
  <si>
    <t>Perry</t>
  </si>
  <si>
    <t>BLM; Talledega National Forest</t>
  </si>
  <si>
    <t>T0220N; R0070E; 25 Meridian</t>
  </si>
  <si>
    <t>Sec. 021, SW</t>
  </si>
  <si>
    <t>INES55563</t>
  </si>
  <si>
    <t>Crawford; Perry</t>
  </si>
  <si>
    <t>IN</t>
  </si>
  <si>
    <t>BLM; Hoosier National Forest</t>
  </si>
  <si>
    <t>INES55564</t>
  </si>
  <si>
    <t>INES55569</t>
  </si>
  <si>
    <t>T0060S, R0010W; 02 Meridian</t>
  </si>
  <si>
    <t>Sec. 005; See Lease for details</t>
  </si>
  <si>
    <t>INES55570</t>
  </si>
  <si>
    <t>T0060S, R0020W; 01 Meridian</t>
  </si>
  <si>
    <t>Sec. 001; See lease for details</t>
  </si>
  <si>
    <t>BALANCE 12-31-2008</t>
  </si>
  <si>
    <t>NMNM121919</t>
  </si>
  <si>
    <t>Guadalupe</t>
  </si>
  <si>
    <t>T 0070N; R0190E; NMPM Meridian</t>
  </si>
  <si>
    <t>Sec. 013, SESE; Sec. 023, NESE, SWSE; Sec. 024, N2NE, SENW; Sec. 026, NWNW; Sec. 027, S2NE, NESW; Sec. 028, SESE; Sec. 033, N2NE, NENW, S2NW; Sec. 034, N2SW, Sec. 025, All</t>
  </si>
  <si>
    <t>NMNM121920</t>
  </si>
  <si>
    <t>Sec. 017, N2; Sec. 018, Lots 1-4; Sec. 018, NE, E2W2, NESE, W2SE; Sec. 019, Lots 1, 2; Sec. 019, NE, E2NW; Sec. 020, N2NW, SWNW</t>
  </si>
  <si>
    <t>NMNM121938</t>
  </si>
  <si>
    <t>T0090S; R0270E &amp; R0280E; NMPM Meridian</t>
  </si>
  <si>
    <t>Sec. 013, S2N2, S2; Sec. 023, N2, SW, N2SE, SWSE; Sec. 024, NWNE, NW; Sec. 026, NWNW; Sec. 018, Lot 4</t>
  </si>
  <si>
    <t>NMNM121959</t>
  </si>
  <si>
    <t>Lea</t>
  </si>
  <si>
    <t>T0090S, R0360E, NMPM Meridian</t>
  </si>
  <si>
    <t>Sec. 034, SW</t>
  </si>
  <si>
    <t>OKNM121970</t>
  </si>
  <si>
    <t>Corps of Engineers; Wister Lake</t>
  </si>
  <si>
    <t>T0050N, R0250E, IM Meridian</t>
  </si>
  <si>
    <t>TXNM121974</t>
  </si>
  <si>
    <t>Burleson</t>
  </si>
  <si>
    <t>TXNM121976</t>
  </si>
  <si>
    <t>Shelby, San Augustine</t>
  </si>
  <si>
    <t>U.S. Forest Service; Sabine National Forest</t>
  </si>
  <si>
    <t>TR S-1B-C; See lease for details</t>
  </si>
  <si>
    <t>TXNM121983</t>
  </si>
  <si>
    <t>Sabine</t>
  </si>
  <si>
    <t>TR S-23; See lease for details</t>
  </si>
  <si>
    <t>TXNM121987</t>
  </si>
  <si>
    <t>Montgomery</t>
  </si>
  <si>
    <t>U.S. Forest Service; Sam Houston National Forest</t>
  </si>
  <si>
    <t>T 339; TR J-1-III Parcel #4; See lease for details</t>
  </si>
  <si>
    <t>TXNM121988</t>
  </si>
  <si>
    <t>T 339; TR J-1-III Parcel #6; See lease for details</t>
  </si>
  <si>
    <t>TXNM121990</t>
  </si>
  <si>
    <t>T 339; TR J-1-IV Parcel A; See lease for details</t>
  </si>
  <si>
    <t>TXNM121992</t>
  </si>
  <si>
    <t>Sabine River Authority</t>
  </si>
  <si>
    <t>T 403; TR S-2-I, S-2-III; See lease for details</t>
  </si>
  <si>
    <t>TXNM121999</t>
  </si>
  <si>
    <t>J-1-IV Parcel #3; See lease for details</t>
  </si>
  <si>
    <t>TXNM122000</t>
  </si>
  <si>
    <t>TR J-1-IV Parcel #4; See lease for details</t>
  </si>
  <si>
    <t>TXNM122001</t>
  </si>
  <si>
    <t>TR J-1-IV Parcel #5; See lease for details</t>
  </si>
  <si>
    <t>AXP CHGS</t>
  </si>
  <si>
    <t>CHECK 14068</t>
  </si>
  <si>
    <t>ARES55679</t>
  </si>
  <si>
    <t>ES-007-06/09</t>
  </si>
  <si>
    <t>OZARK N.F., FIFTH PRINCIPAL MERIDIAN</t>
  </si>
  <si>
    <t>T10N, R18W; SEC. 34, N2N2,SENW</t>
  </si>
  <si>
    <t>ARES55682</t>
  </si>
  <si>
    <t>ES-010-06/09</t>
  </si>
  <si>
    <t>OUACHITA N.F., FIFTH PRINCIPAL MERIDIAN</t>
  </si>
  <si>
    <t>T02N, R30W; SEC.17, NENE,SESE</t>
  </si>
  <si>
    <t>ARES55683</t>
  </si>
  <si>
    <t>ES-011-06/09</t>
  </si>
  <si>
    <t>T02N, R30W; SEC.5, NWSE, W3/4SWSW; SEC 6 SEE LEASE</t>
  </si>
  <si>
    <t>ARES55684</t>
  </si>
  <si>
    <t>ES-012-06/09</t>
  </si>
  <si>
    <t>T02N, R30W; SEC 7 &amp; 8 SEE LEASE FOR DETAIL</t>
  </si>
  <si>
    <t>ARES55685</t>
  </si>
  <si>
    <t>ES-013-06/09</t>
  </si>
  <si>
    <t>T02N, R30W; SEC 15 &amp; SEC 18 SEE LEASE</t>
  </si>
  <si>
    <t>ARES55686</t>
  </si>
  <si>
    <t>ES-014-06/09</t>
  </si>
  <si>
    <t>T02N, R31W; SEC 24, N2N2,SWNE</t>
  </si>
  <si>
    <t>ARES55687</t>
  </si>
  <si>
    <t>ES-015-06/09</t>
  </si>
  <si>
    <t>T02M, R31W; SEC 33, NWNWSW</t>
  </si>
  <si>
    <t>ARES55688</t>
  </si>
  <si>
    <t>ES-016-06/09</t>
  </si>
  <si>
    <t>T02N, R31W, SEC 31, N2SE, SENE</t>
  </si>
  <si>
    <t>LAES55689</t>
  </si>
  <si>
    <t>ES-017-06/09</t>
  </si>
  <si>
    <t>KISATCHIE N.F., LOUISIANA MERIDIAN</t>
  </si>
  <si>
    <t>T20N, R 9W, SEC 21, N2, SE, N2SW, SESW</t>
  </si>
  <si>
    <t>LAES55690</t>
  </si>
  <si>
    <t>ES-018-06/09</t>
  </si>
  <si>
    <t>T22N, T 5W, SEC 6, SEE LEASE</t>
  </si>
  <si>
    <t>LAES55691</t>
  </si>
  <si>
    <t>ES-019-06/09</t>
  </si>
  <si>
    <t>T22N, R 5W, SEC 16, SEE LEASE</t>
  </si>
  <si>
    <t>LAES55692</t>
  </si>
  <si>
    <t>ES-020-06/09</t>
  </si>
  <si>
    <t>T22N, R 5W, SEC 17, S2</t>
  </si>
  <si>
    <t>LAES55693</t>
  </si>
  <si>
    <t>ES-021-06/09</t>
  </si>
  <si>
    <t>T22N, R 5W, SEC 7 &amp; SEC 18, SEE LEASE</t>
  </si>
  <si>
    <t>LAES55694</t>
  </si>
  <si>
    <t>ES-022-06/09</t>
  </si>
  <si>
    <t>T22N, R 5W, SEC 19, NE,W2NENW,SENW,W2NW, SEC 20 SWNW</t>
  </si>
  <si>
    <t>MIES55695</t>
  </si>
  <si>
    <t>ES-023-06/09</t>
  </si>
  <si>
    <t>MANISTEE N.F. MICHIGAN MERIDAIN</t>
  </si>
  <si>
    <t>SEC. 4,5,7,8,9 SEE LEASE FOR DETAILS</t>
  </si>
  <si>
    <t xml:space="preserve">AXP CHGS </t>
  </si>
  <si>
    <t>CK # 1401</t>
  </si>
  <si>
    <t>KSNM123506</t>
  </si>
  <si>
    <t>NM200907-003</t>
  </si>
  <si>
    <t>CHEYENNE</t>
  </si>
  <si>
    <t>MERIDIAN 06TH       T0010S, R0410W</t>
  </si>
  <si>
    <t>SECS. 001,004,005,009,010,011,012,014 SEE LEASE</t>
  </si>
  <si>
    <t>KSNM123509</t>
  </si>
  <si>
    <t>NM200907-007</t>
  </si>
  <si>
    <t>SHERMAN</t>
  </si>
  <si>
    <t>MERIDIAN 06TH       T0060S, R0410W</t>
  </si>
  <si>
    <t>SEC 004, S2</t>
  </si>
  <si>
    <t>KSNM123510</t>
  </si>
  <si>
    <t>NM200907-008</t>
  </si>
  <si>
    <t>MERIDIAN 06TH       T0040S, R0420W</t>
  </si>
  <si>
    <t>SEC 022, SW, SEC 027, N2NW</t>
  </si>
  <si>
    <t>NMNM123536</t>
  </si>
  <si>
    <t>NM200907-040</t>
  </si>
  <si>
    <t>MERIDIAN NMPM    T0260S, R0370W</t>
  </si>
  <si>
    <t>SEC 19, NE, NENW</t>
  </si>
  <si>
    <t>VARIOUS</t>
  </si>
  <si>
    <t>BALANCE 12-31-2009</t>
  </si>
  <si>
    <t>ALES56200</t>
  </si>
  <si>
    <t>CONECUH</t>
  </si>
  <si>
    <t>ST STEPHENS MERIDIAN, T5N, R13E</t>
  </si>
  <si>
    <t>SEC 32, N2SE,NESW+2A.E.OF.ROAD.IN.NWSW</t>
  </si>
  <si>
    <t>ALES56201</t>
  </si>
  <si>
    <t>BLOUNT</t>
  </si>
  <si>
    <t>HUNTSVILLE MERIDIAN, T11S, R1E</t>
  </si>
  <si>
    <t>SEC 32,NENE</t>
  </si>
  <si>
    <t>ALES56202</t>
  </si>
  <si>
    <t>HUNTSVILLE MERIDIAN, T12S, R1W</t>
  </si>
  <si>
    <t>SEC 18,NWNW</t>
  </si>
  <si>
    <t>ALES56203</t>
  </si>
  <si>
    <t>HUNTSVILLE MERIDIAN, T12S, R2W</t>
  </si>
  <si>
    <t>SEC 14,SWSE,E2SW,SENW; SEC. 36,NENE</t>
  </si>
  <si>
    <t>ALES56204</t>
  </si>
  <si>
    <t>HUNTSVILLE MERIDIAN, T14S, R2E</t>
  </si>
  <si>
    <t>SEC 7,SWNW</t>
  </si>
  <si>
    <t>ALES56206</t>
  </si>
  <si>
    <t>HUNTSVILLE MERIDIAN, T15S, R15W</t>
  </si>
  <si>
    <t>SEC 13,SESE</t>
  </si>
  <si>
    <t>ALES56207</t>
  </si>
  <si>
    <t>HUNTSVILLE MERIDIAN, T15S, R16W</t>
  </si>
  <si>
    <t>SEC 14,SENE; SEC 18,ALL OS SEC E OF STATE LINE</t>
  </si>
  <si>
    <t>ALES56208</t>
  </si>
  <si>
    <t>SALE CANCELLED - $542.50 T/B REFUNDED PER LTR 6-28-2010</t>
  </si>
  <si>
    <t>ALES56209</t>
  </si>
  <si>
    <t>TUSCALOOSA</t>
  </si>
  <si>
    <t>HUNTSVILLE MERIDIAN, T18S, R10W</t>
  </si>
  <si>
    <t>SEE LEASE ACREAGE IS IN 9 SECTIONS</t>
  </si>
  <si>
    <t>ALES56210</t>
  </si>
  <si>
    <t>HUNTSVILLE MERIDIAN, T19S, R1E</t>
  </si>
  <si>
    <t>SEC 8,NWNW</t>
  </si>
  <si>
    <t>ALES56212</t>
  </si>
  <si>
    <t>HUNTSVILLE MERIDIAN, T21S, R9W</t>
  </si>
  <si>
    <t>TRACTS IN SECS 1, 2 &amp; 3</t>
  </si>
  <si>
    <t>MSES56249</t>
  </si>
  <si>
    <t>GREENE</t>
  </si>
  <si>
    <t>ST STEPHENS MERIDIAN, T1N, R5W &amp; 6W</t>
  </si>
  <si>
    <t>SEC 7,NWNE,NENW,W2SW,SWSE; SEC 13,SE</t>
  </si>
  <si>
    <t>MSES56251</t>
  </si>
  <si>
    <t xml:space="preserve">ST STEPHENS MERIDIAN, T9N, R8W </t>
  </si>
  <si>
    <t xml:space="preserve">SEC 1,  LOT 3; SEC 8, NWNW; SEC 13, SENE; SEC 22, SWSW </t>
  </si>
  <si>
    <t>MSES56253</t>
  </si>
  <si>
    <t>NEWTON</t>
  </si>
  <si>
    <t>CHOCTAW MERIDIAN, T6N, R11E</t>
  </si>
  <si>
    <t>SEC 17,W2SW;SEC 18,SESE+STRIP S.OF.NESE; SEC 22,NWNW</t>
  </si>
  <si>
    <t>OHES56255</t>
  </si>
  <si>
    <t>MONROE</t>
  </si>
  <si>
    <t>OH</t>
  </si>
  <si>
    <t>WAYNE NF, T1N, R4W; T2N,R4W; T2N,R5W</t>
  </si>
  <si>
    <t>SEE LEASE - TRACTS ARE IN 4 SECTIONS</t>
  </si>
  <si>
    <t>OHES56256</t>
  </si>
  <si>
    <t>WAYNE NF, T2N,R4W</t>
  </si>
  <si>
    <t>SEC 32, PT.W2SW;SEC 33,NESW; SEC 34,PT.E2NW</t>
  </si>
  <si>
    <t>OHES56257</t>
  </si>
  <si>
    <t>OHIO RIVER SURVEY; T2N,R4W</t>
  </si>
  <si>
    <t>SEC 34,PT.NENW</t>
  </si>
  <si>
    <t>OHES56258</t>
  </si>
  <si>
    <t>LAWRENCE</t>
  </si>
  <si>
    <t>OHIO RIVER SURVEY; T3N,R16W</t>
  </si>
  <si>
    <t>SEE LEASE ACREAGE IS IN 6 SECS 9, 10, 11, 12, 14, 15</t>
  </si>
  <si>
    <t>OHES56259</t>
  </si>
  <si>
    <t>OHIO RIVER SURVEY; T4N,R17W</t>
  </si>
  <si>
    <t>SEE LEASE ACREAGE IS IN 4 SECS 6, 7, 18, 19</t>
  </si>
  <si>
    <t>OHES56260</t>
  </si>
  <si>
    <t>SEC 27,W2NE</t>
  </si>
  <si>
    <t>SALE CANCELLED - $280.00  T/B REFUNDED PER LTR 7-14-2010</t>
  </si>
  <si>
    <t>OHES56261</t>
  </si>
  <si>
    <t>GALLIA</t>
  </si>
  <si>
    <t>OHIO RIVER SURVEY; T6N,R17W</t>
  </si>
  <si>
    <t>SEC 20,E2NE; SEC 29,NENW,W2NW,PT.NENE;SEC33,SEE.LSE</t>
  </si>
  <si>
    <t>OHES56262</t>
  </si>
  <si>
    <t>SEE LEASE ACREAGE IS IN 7 SECS 4, 5, 8, 9, 10, 16, 17</t>
  </si>
  <si>
    <t>OHES56263</t>
  </si>
  <si>
    <t>SEE LEASE ACREAGE IS IN 5 SECS 21, 27, 28, 33, 34</t>
  </si>
  <si>
    <t>OHES56264</t>
  </si>
  <si>
    <t>SEE LEASE ACREAGE IS IN 5 SECS 12, 13, 23, 24, 25</t>
  </si>
  <si>
    <t>OHES56265</t>
  </si>
  <si>
    <t>SEE LEASE ACREAGE IS IN 3 SECS 19, 30, 31</t>
  </si>
  <si>
    <t>OHES56266</t>
  </si>
  <si>
    <t>OHIO RIVER SURVEY; T5N,R17W</t>
  </si>
  <si>
    <t>SEE LEASE ACREAGE IS IN 6 SECS 4, 5, 6, 7, 8, 9</t>
  </si>
  <si>
    <t>OHES56267</t>
  </si>
  <si>
    <t>SEE LEASE ACREAGE IS IN 4 SECS 2, 3, 10, 11</t>
  </si>
  <si>
    <t>OHES56268</t>
  </si>
  <si>
    <t>SEE LEASE ACREAGE IS IN 7 SECS 16, 17, 18, 19, 20, 30, 31</t>
  </si>
  <si>
    <t>OHES56269</t>
  </si>
  <si>
    <t>SEC 21,NENE; SEC 28,PT.E2NE</t>
  </si>
  <si>
    <t>OHES56270</t>
  </si>
  <si>
    <t>SEE LEASE ACREAGE IS IN 5 SECS 22, 23, 24, 26, 27</t>
  </si>
  <si>
    <t>OHES56271</t>
  </si>
  <si>
    <t>OHIO RIVER SURVEY; T4N,R16W</t>
  </si>
  <si>
    <t>SEC 16, N2SW,EX.5.AC; SEC 20,NWNE,EX..5.AC</t>
  </si>
  <si>
    <t>5.AC; SEC</t>
  </si>
  <si>
    <t>OHES56272</t>
  </si>
  <si>
    <t>SALE CANCELLED - $561.50 ? ($416.50 EX FEE) T/B REFUNDED PER LTR 7-08-2010</t>
  </si>
  <si>
    <t>OHES56278</t>
  </si>
  <si>
    <t>OHIO RIVER SURVEY; T3N,R7W</t>
  </si>
  <si>
    <t>SEC 7, NWNW; SEC 13, NENE,PT.SENE</t>
  </si>
  <si>
    <t>MPLP AXP CHGS</t>
  </si>
  <si>
    <t>R&amp;R CK 2276</t>
  </si>
  <si>
    <t>NMNM124665</t>
  </si>
  <si>
    <t>20100040 22</t>
  </si>
  <si>
    <t>MERIDIAN NMPM, T70N, R350E</t>
  </si>
  <si>
    <t>SEC.30NE</t>
  </si>
  <si>
    <t>NMNM124668</t>
  </si>
  <si>
    <t>2010004 025</t>
  </si>
  <si>
    <t>MERIDIAN NMPM, T200N, T30W</t>
  </si>
  <si>
    <t>SEC.19,LT.1-4;E2,E2W2; SEC.30.LT.1-4;E2,E2W2</t>
  </si>
  <si>
    <t>NMNM124669</t>
  </si>
  <si>
    <t>2010004 026</t>
  </si>
  <si>
    <t>SEC.20ALL;SEC29ALL</t>
  </si>
  <si>
    <t>OKNM124670</t>
  </si>
  <si>
    <t>2010004 027</t>
  </si>
  <si>
    <t>PITTSBURG</t>
  </si>
  <si>
    <t>MERIDIAN IM, T50N, R160E</t>
  </si>
  <si>
    <t>SEC.16,W2SESW;E2,LOT78.WITHIN,TOWNSITE13</t>
  </si>
  <si>
    <t>OKNM124671</t>
  </si>
  <si>
    <t>2010004 028</t>
  </si>
  <si>
    <t>MERIDIAN IM, T260N, R70W</t>
  </si>
  <si>
    <t>SEC.23, REMAINDER OF LOT 7, RIPARIAN ACREAGE TO LOT 7,SEE LSE FOR M&amp;B</t>
  </si>
  <si>
    <t>TXNM124676</t>
  </si>
  <si>
    <t>2010004 033</t>
  </si>
  <si>
    <t>MERIDIAN TX</t>
  </si>
  <si>
    <t>TRACT S-2k-II PARCEL #24, SEE LSE FOR M&amp;B</t>
  </si>
  <si>
    <t>R&amp;R CK 2520</t>
  </si>
  <si>
    <t>LAES056361</t>
  </si>
  <si>
    <t>GRANT PARISH</t>
  </si>
  <si>
    <t>MERIDIAN LA , T8N, R1W</t>
  </si>
  <si>
    <t>SEC.28, SESE</t>
  </si>
  <si>
    <t>LAES056362</t>
  </si>
  <si>
    <t>WINN PARISH</t>
  </si>
  <si>
    <t>MERIDIAN LA , T12N, R5W</t>
  </si>
  <si>
    <t>SEC.28, NESE</t>
  </si>
  <si>
    <t>LAES056363</t>
  </si>
  <si>
    <t>MERIDIAN LA, T12N , R5W</t>
  </si>
  <si>
    <t>SEC.29, SW, S2NW</t>
  </si>
  <si>
    <t>LAES056364</t>
  </si>
  <si>
    <t>SEC.35, NWNE, S2NE, S2, E2NW</t>
  </si>
  <si>
    <t>LAES056365</t>
  </si>
  <si>
    <t>MERIDIAN LA, T12N , R6W</t>
  </si>
  <si>
    <t>SEC. 3, SESE</t>
  </si>
  <si>
    <t>LAES056366</t>
  </si>
  <si>
    <t>MERIDIAN LA, T12N, R6W</t>
  </si>
  <si>
    <t>SEC. 13, W2E2NENW, W2NENW</t>
  </si>
  <si>
    <t>LAES056367</t>
  </si>
  <si>
    <t>SEC.23, ALL LESS &amp; EXCEPT 12.40 AC. IN RR ROW IN N2N2</t>
  </si>
  <si>
    <t>LAES056369</t>
  </si>
  <si>
    <t>MERIDIAN LA, T13N, R5W</t>
  </si>
  <si>
    <t>SEC.5, SWNW, NWSW, N2SWSW</t>
  </si>
  <si>
    <t>LAES056371</t>
  </si>
  <si>
    <t>SEC.13, S2NENE</t>
  </si>
  <si>
    <t>LAES056372</t>
  </si>
  <si>
    <t>SEC.19, E2NW, SWNW, NESE</t>
  </si>
  <si>
    <t>LAES056373</t>
  </si>
  <si>
    <t>SEC.29, Part of the W2 lying west of the creek</t>
  </si>
  <si>
    <t>MSES056384</t>
  </si>
  <si>
    <t>COPIAH</t>
  </si>
  <si>
    <t>MERIDIAN CHOCTAW, T2N , R2W</t>
  </si>
  <si>
    <t>SEC.22, W2NW</t>
  </si>
  <si>
    <t>MSES056385</t>
  </si>
  <si>
    <t>MERIDIAN CHOCTAW, T2N , R3W</t>
  </si>
  <si>
    <t>SEC. 21 , SWNE</t>
  </si>
  <si>
    <t>MSES056387</t>
  </si>
  <si>
    <t>MERIDIAN CHOCTAW, T1N, R2W</t>
  </si>
  <si>
    <t>SEC.22, SWSE, SEC.27, N2NE, SWNE 50% MINERAL INT.</t>
  </si>
  <si>
    <t>MSES056389</t>
  </si>
  <si>
    <t>SIMPSON</t>
  </si>
  <si>
    <t>MERIDIAN CHOCTAW, T2N, R1E</t>
  </si>
  <si>
    <t>SEC.1, N2SW, SEC.2 NESE, 50% MINERAL INT.</t>
  </si>
  <si>
    <t>MSES056392</t>
  </si>
  <si>
    <t>MERIDIAN WASHINGTON, T9N, R9E</t>
  </si>
  <si>
    <t>SEC.4 , NENW</t>
  </si>
  <si>
    <t>MSES056393</t>
  </si>
  <si>
    <t>SEC.17 , NESE, SEC.20, SWSW</t>
  </si>
  <si>
    <t>MSES056395</t>
  </si>
  <si>
    <t>MERIDIAN WASHINGTON, T9N, R10E</t>
  </si>
  <si>
    <t>SEC.13, E2S2 OF LOT 3</t>
  </si>
  <si>
    <t>MSES056396</t>
  </si>
  <si>
    <t>SEC.26. E2SE</t>
  </si>
  <si>
    <t>MSES056397</t>
  </si>
  <si>
    <t>MERIDIAN WASHINGTON, T10N, R6E</t>
  </si>
  <si>
    <t>SEC.25, NWNE</t>
  </si>
  <si>
    <t>MSES056398</t>
  </si>
  <si>
    <t>SEC.28, NWSW, SESW, SEC.32, W2SW</t>
  </si>
  <si>
    <t>MSES056399</t>
  </si>
  <si>
    <t>MERIDIAN WASHINGTON, T10N, R10E</t>
  </si>
  <si>
    <t>SEC.14, SESW</t>
  </si>
  <si>
    <t>MSES056400</t>
  </si>
  <si>
    <t>CLAIBORNE &amp; COPIAH</t>
  </si>
  <si>
    <t>MERIDIAN WASHINGTON, T12N, R5E</t>
  </si>
  <si>
    <t>SEC.4, N2 OF LOT 1, SEC.5, NWNE.</t>
  </si>
  <si>
    <t>MSES056401</t>
  </si>
  <si>
    <t>SEC.2, SWNW, NWSW</t>
  </si>
  <si>
    <t>NMNM125144</t>
  </si>
  <si>
    <t>201007 007</t>
  </si>
  <si>
    <t>MERIDIAN NMPM, T0030S, R0290E</t>
  </si>
  <si>
    <t>SEC.022, S2NW, W2SW</t>
  </si>
  <si>
    <t>NMNM125145</t>
  </si>
  <si>
    <t>201007 008</t>
  </si>
  <si>
    <t>SEC.034, W2</t>
  </si>
  <si>
    <t>NMNM125146</t>
  </si>
  <si>
    <t>MERIDIAN NMPM, T0090N, R0290E</t>
  </si>
  <si>
    <t>SEC.001, LOTS 4</t>
  </si>
  <si>
    <t>NMNM125147</t>
  </si>
  <si>
    <t>201007 010</t>
  </si>
  <si>
    <t>MERIDIAN NMPM, T0100N, R0290E</t>
  </si>
  <si>
    <t>SEC.025, NENE</t>
  </si>
  <si>
    <t>NMNM125148</t>
  </si>
  <si>
    <t>201007 011</t>
  </si>
  <si>
    <t>SEC.025, NWNW</t>
  </si>
  <si>
    <t>NMNM125149</t>
  </si>
  <si>
    <t>201007 012</t>
  </si>
  <si>
    <t>SEC.025, SWSE</t>
  </si>
  <si>
    <t>NMNM125150</t>
  </si>
  <si>
    <t>201007 013</t>
  </si>
  <si>
    <t>SEC.035, N2,NWSW,S2SW</t>
  </si>
  <si>
    <t>NMNM125151</t>
  </si>
  <si>
    <t>201007 014</t>
  </si>
  <si>
    <t>SEC.035, SESE</t>
  </si>
  <si>
    <t>NMNM125164</t>
  </si>
  <si>
    <t>201007 027</t>
  </si>
  <si>
    <t>MERIDIAN NMPM, T0100N, R0300E</t>
  </si>
  <si>
    <t>SEC.028, E2SW, SE</t>
  </si>
  <si>
    <t>NMNM125165</t>
  </si>
  <si>
    <t>201007 028</t>
  </si>
  <si>
    <t>SEC.030, W2NE, SENW</t>
  </si>
  <si>
    <t>NMNM125175</t>
  </si>
  <si>
    <t>201007 040</t>
  </si>
  <si>
    <t>MERIDIAN NMPM, T0090N, R0330E</t>
  </si>
  <si>
    <t>SEC.003, SWNE</t>
  </si>
  <si>
    <t>NMNM125176</t>
  </si>
  <si>
    <t>201007 041</t>
  </si>
  <si>
    <t>SEC.003 NESE</t>
  </si>
  <si>
    <t>NMNM125177</t>
  </si>
  <si>
    <t>SEC.006 SENE</t>
  </si>
  <si>
    <t>NMNM125178</t>
  </si>
  <si>
    <t>SEC. 011 NE, S2NW, E2SE, NWSE, SEC 012, SWNW, W2SW</t>
  </si>
  <si>
    <t>SEC.013, NWNW</t>
  </si>
  <si>
    <t>NMNM125179</t>
  </si>
  <si>
    <t>SEC.013 S2NE, SESW, SE, SEC.024 E2NW, NESW</t>
  </si>
  <si>
    <t>NMNM125180</t>
  </si>
  <si>
    <t>SEC.014 NESE</t>
  </si>
  <si>
    <t>NMNM125181</t>
  </si>
  <si>
    <t>SEC.021 E2NE, SEC.022 NW, N2SW, SE</t>
  </si>
  <si>
    <t>SEC.023, SWNW, W2SW. NOTE: A WIND TURBINE IS LOCATED WITHIN THE PARCEL BOUNDARIES</t>
  </si>
  <si>
    <t>NMNM125182</t>
  </si>
  <si>
    <t>SEC.021, NWNW</t>
  </si>
  <si>
    <t>NMNM125183</t>
  </si>
  <si>
    <t>SEC.023 W2NE, NWSE</t>
  </si>
  <si>
    <t>NMNM125184</t>
  </si>
  <si>
    <t>SEC.026 NWNE, NENW, W2W2, SEC.035 NWNW</t>
  </si>
  <si>
    <t>NOTE: A WIND TURBINE IS LOCATED WITHIN THE PARCEL BOUNDARIES</t>
  </si>
  <si>
    <t>NMNM125185</t>
  </si>
  <si>
    <t>SEC.030, LOTS 3</t>
  </si>
  <si>
    <t>NMNM125186</t>
  </si>
  <si>
    <t>SEC.031, NENE</t>
  </si>
  <si>
    <t>NMNM125187</t>
  </si>
  <si>
    <t>MERIDIAN NMPM, T0100N, R0330E</t>
  </si>
  <si>
    <t xml:space="preserve">SEC.001, SESW </t>
  </si>
  <si>
    <t>NMNM125188</t>
  </si>
  <si>
    <t>SEC.002 SWSE</t>
  </si>
  <si>
    <t>NMNM125189</t>
  </si>
  <si>
    <t>SEC.002 SWSW</t>
  </si>
  <si>
    <t>NMNM125190</t>
  </si>
  <si>
    <t>SEC.002 NESE</t>
  </si>
  <si>
    <t>NMNM125191</t>
  </si>
  <si>
    <t>SEC.003, SWNW</t>
  </si>
  <si>
    <t>NMNM125192</t>
  </si>
  <si>
    <t>SEC.003, SWSW, SEC.004, NWSW, S2S2</t>
  </si>
  <si>
    <t>SEC.009 E2, E2W2, NWNW</t>
  </si>
  <si>
    <t>NMNM125193</t>
  </si>
  <si>
    <t>SEC.005 S2, SEC.008 NW, E2SW, NWSE</t>
  </si>
  <si>
    <t>NMNM125194</t>
  </si>
  <si>
    <t>SEC.006 LOTS 2-7, SEC.006 SWNE, SENW, E2SW, W2SE</t>
  </si>
  <si>
    <t>SEC.007, LOTS 1-2, SEC.007 NWNE, E2NW</t>
  </si>
  <si>
    <t>NMNM125195</t>
  </si>
  <si>
    <t>SEC.010, NENW, W2NW, N2S2</t>
  </si>
  <si>
    <t>NMNM125196</t>
  </si>
  <si>
    <t>SEC.014, NWNE</t>
  </si>
  <si>
    <t>NMNM125197</t>
  </si>
  <si>
    <t>SEC.015 NWNE, S2NE, W2, NWSE</t>
  </si>
  <si>
    <t>SEC.021, E2NE, N2SE, SEC.022, W2NW</t>
  </si>
  <si>
    <t>NMNM125198</t>
  </si>
  <si>
    <t>SEC.017 SWNW, SEC.018 LOTS 1-4</t>
  </si>
  <si>
    <t>SEC.018 NWNE, S2NE, E2W2, NWSE</t>
  </si>
  <si>
    <t>NMNM125199</t>
  </si>
  <si>
    <t>SEC.019 LOTS 1-4, SEC.019 S2NE, E2W2, SE</t>
  </si>
  <si>
    <t>SEC.020 SWNW, W2SW</t>
  </si>
  <si>
    <t>NMNM125200</t>
  </si>
  <si>
    <t>SEC.020 SWSE</t>
  </si>
  <si>
    <t>NMNM125201</t>
  </si>
  <si>
    <t>SEC.021 SWSW</t>
  </si>
  <si>
    <t>NMNM125202</t>
  </si>
  <si>
    <t>SEC.028,NW, SEC.029, S2NE, SENW, W2W2,E2SW,W2SE</t>
  </si>
  <si>
    <t>SEC.030 LOTS 3, E2,E2W2, SEC.031 E2NE, N2SE, SEC.032, W2NE</t>
  </si>
  <si>
    <t>NMNM125203</t>
  </si>
  <si>
    <t>SEC.034,NENE</t>
  </si>
  <si>
    <t>NMNM125204</t>
  </si>
  <si>
    <t>SEC.027, NWNE</t>
  </si>
  <si>
    <t>NMNM125205</t>
  </si>
  <si>
    <t>MERIDIAN NMPM, T0110N, R0330E</t>
  </si>
  <si>
    <t>SEC.027, SENE</t>
  </si>
  <si>
    <t>NMNM125206</t>
  </si>
  <si>
    <t>SEC.029, NENW, S2N2, NWSW, S2SW, SEC.032, NE, E2NW, NESE</t>
  </si>
  <si>
    <t>SEC.033, SW, W2SE</t>
  </si>
  <si>
    <t>NMNM125207</t>
  </si>
  <si>
    <t>SEC.030, LOTS 2,4, SEC.030 SENW, E2SW, SEC.031 LOTS 1-4</t>
  </si>
  <si>
    <t>SEC.031, E2W2, W2SE</t>
  </si>
  <si>
    <t>NMNM125208</t>
  </si>
  <si>
    <t>MERIDIAN NMPM, T0090N, R0340E</t>
  </si>
  <si>
    <t>SEC.006, LOTS 3, 4</t>
  </si>
  <si>
    <t>NMNM125209</t>
  </si>
  <si>
    <t>SEC.009, NE, E2SE</t>
  </si>
  <si>
    <t>NMNM125210</t>
  </si>
  <si>
    <t>SEC.018, LOTS 1, 2, SEC.018, NENW</t>
  </si>
  <si>
    <t>NMNM125211</t>
  </si>
  <si>
    <t>SEC.020, NWNE</t>
  </si>
  <si>
    <t>NMNM125212</t>
  </si>
  <si>
    <t>SEC.020 W2NW, SENW</t>
  </si>
  <si>
    <t>NMNM125213</t>
  </si>
  <si>
    <t>SEC.020 SENE, E2SE, SWSE</t>
  </si>
  <si>
    <t>SEC.021 SWNW, W2SW</t>
  </si>
  <si>
    <t>NMNM125214</t>
  </si>
  <si>
    <t>MERIDIAN NMPM, T0130S, R0340E</t>
  </si>
  <si>
    <t>SEC.014,S2SW</t>
  </si>
  <si>
    <t>NMNM125215</t>
  </si>
  <si>
    <t>SEC.014, E2SE</t>
  </si>
  <si>
    <t>NMNM125216</t>
  </si>
  <si>
    <t>SEC.014, N2NE</t>
  </si>
  <si>
    <t>NMNM125217</t>
  </si>
  <si>
    <t>SEC.014, W2NW, SEC.015 NENE</t>
  </si>
  <si>
    <t>NMNM125221</t>
  </si>
  <si>
    <t>MERIDIAN NMPM, T0100N, R0350E</t>
  </si>
  <si>
    <t>SEC.012 NWSW</t>
  </si>
  <si>
    <t>NMNM125234</t>
  </si>
  <si>
    <t>MERIDIAN NMPM, T0090N, R0360E</t>
  </si>
  <si>
    <t>SEC.013 SESE, SEC.024 NENE, S2NE, N2SE</t>
  </si>
  <si>
    <t>NMNM125240</t>
  </si>
  <si>
    <t>MERIDIAN NMPM, T0100N, R0360E</t>
  </si>
  <si>
    <t>SEC.007, SWSE, SEC.018, NWNE</t>
  </si>
  <si>
    <t>NMNM125241</t>
  </si>
  <si>
    <t>SEC.008 SW</t>
  </si>
  <si>
    <t>NMNM125242</t>
  </si>
  <si>
    <t>SEC.009, W2NE, E2NW</t>
  </si>
  <si>
    <t>NMNM125244</t>
  </si>
  <si>
    <t>SEC.015, N2NE</t>
  </si>
  <si>
    <t>NMNM125245</t>
  </si>
  <si>
    <t>SEC.019, LOTS 1-4</t>
  </si>
  <si>
    <t>NMNM125246</t>
  </si>
  <si>
    <t>SEC.020 SWNE, SENW</t>
  </si>
  <si>
    <t>NMNM125251</t>
  </si>
  <si>
    <t>SEC.030, W2NE, E2NW</t>
  </si>
  <si>
    <t>NMNM125253</t>
  </si>
  <si>
    <t>MERIDIAN NMPM, T0090N, R0370E</t>
  </si>
  <si>
    <t>SEC.005 LOTS 1-4, SEC.005, SWNW, W2SW, SEC.006 LOTS 1-4</t>
  </si>
  <si>
    <t>SEC.006, SWNW, NWSW,S2SW, SEC.007 ALL, SEC.008, W2NW, SEC.017, W2NW, SEC.018, NE, N2NW</t>
  </si>
  <si>
    <t>NMNM125254</t>
  </si>
  <si>
    <t>SEC.020 LOTS 3,4, SEC.020, W2SW, SEC.029, LOTS 1-4</t>
  </si>
  <si>
    <t>SEC.029 W2W2, SEC.030 E2</t>
  </si>
  <si>
    <t>NMNM125261</t>
  </si>
  <si>
    <t>MERIDIAN NMPM, T0170N, R0080W</t>
  </si>
  <si>
    <t>SEC.004, LOTS 1,2 SEC.004 S2NE, S2</t>
  </si>
  <si>
    <t>NMNM125263</t>
  </si>
  <si>
    <t>MERIDIAN NMPM, T0170N, R0090W</t>
  </si>
  <si>
    <t>SEC.012, LOTS 5,6, SEC.012 SW, NWSE</t>
  </si>
  <si>
    <t>NMNM125264</t>
  </si>
  <si>
    <t>SEC.012, NWNW - SEE LSE FOR DEPTH LIMITS</t>
  </si>
  <si>
    <t>NMNM125265</t>
  </si>
  <si>
    <t>SEC.021, SESW, S2SE, SEC.022, E2NW, SW, SEC.027, N2NW</t>
  </si>
  <si>
    <t>SEC.028, E2E2, NWNE, NWSE</t>
  </si>
  <si>
    <t>NMNM125266</t>
  </si>
  <si>
    <t>SEC.023, SWNE, S2NW, W2SW</t>
  </si>
  <si>
    <t>TXNM125272</t>
  </si>
  <si>
    <t>DALLAM</t>
  </si>
  <si>
    <t>MERIDIAN TX, T111</t>
  </si>
  <si>
    <t>SEC. 050, BLOCK 1-T, TEXAS, SEC.050, NEW ORLEANS RAILWAY CO</t>
  </si>
  <si>
    <t>SEC.050 SURVEY</t>
  </si>
  <si>
    <t>TXNM125273</t>
  </si>
  <si>
    <t>SEC.089, W2 OF BLOCK 1-T, SEC.089 TEXAS &amp; NEW ORLEANS</t>
  </si>
  <si>
    <t>SEC.089 RAILWAY COMPANY SURVEY</t>
  </si>
  <si>
    <t>TXNM125274</t>
  </si>
  <si>
    <t>MERIDIAN TX, T419</t>
  </si>
  <si>
    <t>TR S-1F</t>
  </si>
  <si>
    <t>SEE ATTACHED M&amp;B'S W/MAP</t>
  </si>
  <si>
    <t>TXNM125276</t>
  </si>
  <si>
    <t>TERRY</t>
  </si>
  <si>
    <t>MERIDIAN TX, T445</t>
  </si>
  <si>
    <t>SEC.027, A-101, SEC.030, A-102, SEC.033, A-103, A-104</t>
  </si>
  <si>
    <t>SEC.033, BLOCK E, EL&amp;RR RR CO SURVEY, SEC.033 SEE ATTACHED M&amp;B'S W/MAP</t>
  </si>
  <si>
    <t>CK #2801</t>
  </si>
  <si>
    <t>CK #2816</t>
  </si>
  <si>
    <t>AXP 8/6/10 STMT</t>
  </si>
  <si>
    <t>LAES56464</t>
  </si>
  <si>
    <t>Winn Parish</t>
  </si>
  <si>
    <t>MERIDIAN LA, T13N, R4W</t>
  </si>
  <si>
    <t>Sec.6, W2SW, SE; Sec.18, SESW; Sec19, NWNW</t>
  </si>
  <si>
    <t>Subject to F.S. Controlled surface use stipulations #1 and #2. Subject to F.S Lease Notice No.3</t>
  </si>
  <si>
    <t>LAES56465</t>
  </si>
  <si>
    <t>MERIDIAN LA, T22N, R4W</t>
  </si>
  <si>
    <t>Sec.6, Tract Y-47 in NENE</t>
  </si>
  <si>
    <t>Subject to F.S. Controlled Surface Use Stipulation #1 and F.S. Lease Notice No.3</t>
  </si>
  <si>
    <t>LAES56467</t>
  </si>
  <si>
    <t>Natchitoches &amp; Winn Parishes</t>
  </si>
  <si>
    <t>MERIDIAN LA, T13N, R6W</t>
  </si>
  <si>
    <t>Sec.10, E2SWNW,E2W2SWNW,N2SW,SWSW,SE; Sec.11, N2NE,N2SWNE,SENE,NENW,SWNW,N2SENW,SESE</t>
  </si>
  <si>
    <t>Subject to F.S. Controlled Surface use stipulations #1 and #2; F.S. Lease Notices No.3 and No.4</t>
  </si>
  <si>
    <t>LAES56468</t>
  </si>
  <si>
    <t>Sec.12, W2NE, NW,NESW,SWSW,N2SE,SWSE</t>
  </si>
  <si>
    <t>Subject to F.S. No Surface Occupancy Stipulation #1 (Sec.12, E2; 113.4 acres) Subject to F.S. Controlled Surface Use Stipulations #1 and #2 ; F.S. Lease Notices No.3 and No.4</t>
  </si>
  <si>
    <t>LAES56469</t>
  </si>
  <si>
    <t>Sec. 13, E2,NWSW,S2SW</t>
  </si>
  <si>
    <t>Subject to F.S. No Surface Occupancy Stipulation #1 (Sec.13, E2E2; 45.9 acres) Subject to F.S. Controlled Surface Use Stipulations #1 and #2 ; F.S. Lease Notices No.3 and No.4</t>
  </si>
  <si>
    <t>LAES56470</t>
  </si>
  <si>
    <t>Sec. 14, S2S2, NESE; Sec.15, N2NWNW; Sec.23, NWNE, NESE, S2SE</t>
  </si>
  <si>
    <t>Subject to F.S. Controlled Surface Use Stipulations #1 and #2; F.S. Lease Notices No.3 and No.4 (Sec.23)</t>
  </si>
  <si>
    <t>LAES56471</t>
  </si>
  <si>
    <t>Sec. 24, All</t>
  </si>
  <si>
    <t>Subject to F.S. Controlled Surface Use Stipulations #1 and #2; F.S. Lease Notices No.3 and No.4</t>
  </si>
  <si>
    <t>LAES56472</t>
  </si>
  <si>
    <t>Sec. 25, All</t>
  </si>
  <si>
    <t>Subject to F.S. Controlled Surface Use Stipulations #1 and #2; F.S. Lease Notices No.3 and No.4 Subject to F.S. No Surface Occupancy Stipulation #2 (Sec.25, NESE; 4.2 Acres)</t>
  </si>
  <si>
    <t>LAES56473</t>
  </si>
  <si>
    <t>Sec.26, E2, SENW,SW</t>
  </si>
  <si>
    <t>Subject to F.S. Controlled Surface Use Stipulations #1; F.S. Lease Notices No.3</t>
  </si>
  <si>
    <t>LAES56474</t>
  </si>
  <si>
    <t>Sec.27, SENE, S2</t>
  </si>
  <si>
    <t>Subject to F.S Controlled Surface Use Stipulations #1 and #2; F.S. Lease Notice No.3 and No.4 (Sec.27, SENE)</t>
  </si>
  <si>
    <t>PAID TO MEADE HUFFORD 9/16/2010</t>
  </si>
  <si>
    <t>KSNM125630</t>
  </si>
  <si>
    <t>Marion</t>
  </si>
  <si>
    <t>MERIDIAN 06th, T0190S, R0030E</t>
  </si>
  <si>
    <t>Sec. 015 W2NWNWNW,NWSWNWNW; 015 N2SWSWNWNW, S2S2SWNWNW; 015 S2SWSENWNW, W2SWNW, SESWNW; 015 W2NESWNW, S2SENESWNW; 015 SWSWNWSENW, W2NWSWSENW; 015 SWSWSENW, W2SESWSENW;</t>
  </si>
  <si>
    <t>NMNM125632</t>
  </si>
  <si>
    <t>MERIDIAN NMPM, T0040S, R0270E</t>
  </si>
  <si>
    <t>Sec. 032 NWNW;</t>
  </si>
  <si>
    <t>NMNM125636</t>
  </si>
  <si>
    <t>Quay</t>
  </si>
  <si>
    <t>Sec. 001 SWNW;</t>
  </si>
  <si>
    <t>NMNM125637</t>
  </si>
  <si>
    <t>Sec. 004 SENE;</t>
  </si>
  <si>
    <t>NMNM125638</t>
  </si>
  <si>
    <t xml:space="preserve">Sec. 005 S2NW, SW, W2SE; 007 NE; 008 N2NW, SENW; </t>
  </si>
  <si>
    <t>NMNM125639</t>
  </si>
  <si>
    <t>Sec. 008 NESE;</t>
  </si>
  <si>
    <t>NMNM125640</t>
  </si>
  <si>
    <t>Sec. 010 N2SW, SESW;</t>
  </si>
  <si>
    <t>NMNM125641</t>
  </si>
  <si>
    <t>Sec. 010 NESE;</t>
  </si>
  <si>
    <t>NMNM125642</t>
  </si>
  <si>
    <t>Sec. 011 NENW;</t>
  </si>
  <si>
    <t>NMNM125643</t>
  </si>
  <si>
    <t>Sec. 015 SENW;</t>
  </si>
  <si>
    <t>NMNM125644</t>
  </si>
  <si>
    <t>Sec. 015 SENE,NESE;</t>
  </si>
  <si>
    <t>NMNM125645</t>
  </si>
  <si>
    <t>Sec. 017 SWNW, NWSW; 018 N2NE, SENE, NESE ;</t>
  </si>
  <si>
    <t>NMNM125647</t>
  </si>
  <si>
    <t>Sec. 020 SENW;</t>
  </si>
  <si>
    <t>NMNM125648</t>
  </si>
  <si>
    <t>Sec. 020 N2SE;</t>
  </si>
  <si>
    <t>NMNM125649</t>
  </si>
  <si>
    <t>NMNM125650</t>
  </si>
  <si>
    <t>Sec. 022 NESW;</t>
  </si>
  <si>
    <t>NMNM125651</t>
  </si>
  <si>
    <t>TXNM125666</t>
  </si>
  <si>
    <t>MERIDIAN TX, TX 403</t>
  </si>
  <si>
    <t>TR S-1Aq; SEE ATTACHED METES &amp; BOUNDS DESCRIPTION</t>
  </si>
  <si>
    <t>* SABINE NATIONAL FOREST - 59.10 ACRES, SABINE RIVER AUTHORITY - 110.90 ACRES (SRA - TRACT 2312, 2312A)</t>
  </si>
  <si>
    <t>TXNM125667</t>
  </si>
  <si>
    <t>MERIDIAN TX, TX 404</t>
  </si>
  <si>
    <t>TR S-1Av; SEE ATTACHED METES &amp; BOUNDS DESCRIPTION</t>
  </si>
  <si>
    <t>* SABINE NATIONAL FOREST - 11.40 ACRES, SABINE RIVER AUTHORITY - 825.60 ACRES (SRA - TRACT 2300)</t>
  </si>
  <si>
    <t xml:space="preserve">     11/3 CK 3115-FED ABSTRACT</t>
  </si>
  <si>
    <t>ALES56528</t>
  </si>
  <si>
    <t>Covington</t>
  </si>
  <si>
    <t>MERIDIAN ST.STEPHENS, T2N, R16E</t>
  </si>
  <si>
    <t>Conecuh National Forest Sec. 12, NW, N2SW</t>
  </si>
  <si>
    <t>Subject to F.S. Lease Notices No.3 and No.4. Subject to BLM'S Privately-owned Surface Tracts Stipulations, Freshwater Aquatic Habitat Stipulation and Lease Notices/Best Management Practices Stipulations</t>
  </si>
  <si>
    <t>ALES56529</t>
  </si>
  <si>
    <t>MERIDIAN ST.STEPHENS, T4N, R7E</t>
  </si>
  <si>
    <t xml:space="preserve">Sec.35, SWNW. </t>
  </si>
  <si>
    <t>Subject to BLM'S Privately-owned Surface Tracts Stipulations, Freshwater Aquatic Habitat Stipulation and Lease Notices/Best Management Practices Stipulations</t>
  </si>
  <si>
    <t>ARES56531</t>
  </si>
  <si>
    <t>Franklin</t>
  </si>
  <si>
    <t>MERIDIAN FIFTH PRINCIPAL, T10N, R26W</t>
  </si>
  <si>
    <t>Sec.2, NWNE, NENW, SESW, SESE</t>
  </si>
  <si>
    <t>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t>
  </si>
  <si>
    <t>LAES56532</t>
  </si>
  <si>
    <t>Natchitoches Parish</t>
  </si>
  <si>
    <t>MERIDIAN LOUISIANA, T9N, R9W</t>
  </si>
  <si>
    <t>Sec.24, Lots 1,2,3; T9N, R10W</t>
  </si>
  <si>
    <t>Sec.19, SWNE. Subject to BLM'S Privately-owned Surface Tracts Stipulations, Freshwater Aquatic Habitat Stipulation and Lease Notices/Best Management Practices Stipulations</t>
  </si>
  <si>
    <t>LAES56534</t>
  </si>
  <si>
    <t>Caldwell Parish</t>
  </si>
  <si>
    <t>MERIDIAN LOUISIANA, T13N, R4E</t>
  </si>
  <si>
    <t xml:space="preserve">Sec.28, NENW. T14N, R4E </t>
  </si>
  <si>
    <t>Sec.24, Lot 7; Sec.25, Lots 1 &amp; 3, E2,E2NW,NESW. Subject to BLM's Privately owned Surface Tracts Stipulations, Freshwater Aquatic Habitat Stipulation and Lease Notices/Best Management Practices Stipulations.</t>
  </si>
  <si>
    <t>LAES56537</t>
  </si>
  <si>
    <t>Webster</t>
  </si>
  <si>
    <t>MERIDIAN LOUISIANA, T17N, R10W</t>
  </si>
  <si>
    <t>Sec.36, Lot 3</t>
  </si>
  <si>
    <t>Subject to BLM's Privately-owned Surface Tracts Stipulations, Freshwater Aquatic Habitat Stipulation and Lease Notices/Best Management Practices Stipulations</t>
  </si>
  <si>
    <t>LAES56538</t>
  </si>
  <si>
    <t>Sec.14, Lot 6-15 Sec.23, Lot 1</t>
  </si>
  <si>
    <t>LAES56539</t>
  </si>
  <si>
    <t>MERIDIAN LOUISIANA, T17N, R11W</t>
  </si>
  <si>
    <t>Sec.24, SESE</t>
  </si>
  <si>
    <t>LAES56546</t>
  </si>
  <si>
    <t>See attached records for land descriptions and stipulations</t>
  </si>
  <si>
    <t>LAES56547</t>
  </si>
  <si>
    <t>LAES56548</t>
  </si>
  <si>
    <t>Winn &amp; Natchitoches Parishes</t>
  </si>
  <si>
    <t>MERIDIAN LOUISIANA, T10N, R5W</t>
  </si>
  <si>
    <t>Sec.8, Tract C-107 in SESW; S2SE; Sec.19 N2SE; Sec.20 NESW; SWSW.</t>
  </si>
  <si>
    <t>Subject to F.S. No Surface Occupancy Stipulation #1 (Sec.8) Subject to F.S. Controlled Surface Use Stipulation #1 (Sec.19 &amp; 20) Subject to F.S. Lease Notice No.3 Subject to F.S. l</t>
  </si>
  <si>
    <t>LAES56551</t>
  </si>
  <si>
    <t>MERIDIAN LOUISIANA, T13N, R6W</t>
  </si>
  <si>
    <t>Sec.5, S2NENE; SENE; W2NESE; S2SE</t>
  </si>
  <si>
    <t>Subject to F.S. Controlled  Surface use Stipulation #1. Subject to F.S. Lease No 3 and 4.</t>
  </si>
  <si>
    <t>MIES56552</t>
  </si>
  <si>
    <t>Manistee National Forest</t>
  </si>
  <si>
    <t>MERIDIAN MICHIGAN, T16N, R15W</t>
  </si>
  <si>
    <t>Sec.21, W2NE, W2SWSENE, SE</t>
  </si>
  <si>
    <t>Subject to F.S. Standard Lease Stipulations . Subject to F.S.Lease Notices #1, #2, #3, #6. Lease Stipulation #2 applies to Sec.21, S2NENWSE,N2SENWSE,E2SWNWSE, S2NWNESE,N2SWNESE. Lease Stipulation #3 applies to Sec.21, NWNE,N2N2SWNE,SWSWSE,S2BWSWSE, S2SWSESE Lease Stipulation #9 applies to all lands</t>
  </si>
  <si>
    <t>MSES56556</t>
  </si>
  <si>
    <t>MERIDIAN WASHINGTON, T6N, R5E</t>
  </si>
  <si>
    <t xml:space="preserve">Subject to BLM's Privately-owned Surface Tracts Stipulations, Freshwater Aquatic Habitat Stipulation and Lease Notices/Best Management Practices Stipulations </t>
  </si>
  <si>
    <t>MSES56557</t>
  </si>
  <si>
    <t>MERIDIAN WASHINGTON, T7N, R5E</t>
  </si>
  <si>
    <t>BALANCE 12-31-2010</t>
  </si>
  <si>
    <t>EXPIRED LEASES WRITTEN OFF IN 2010</t>
  </si>
  <si>
    <t>REFUNDED BY BLM 8/2010</t>
  </si>
  <si>
    <t>REFUNDED BY BLM 11/2010</t>
  </si>
  <si>
    <t>VRS</t>
  </si>
  <si>
    <t>NET CREDITS NOT ANALYZED</t>
  </si>
  <si>
    <t>AGREES WITH G/L</t>
  </si>
  <si>
    <t>NMNM126069</t>
  </si>
  <si>
    <t>Roosevelt</t>
  </si>
  <si>
    <t>MERIDIAN NMPM, T0040S, R0330E</t>
  </si>
  <si>
    <t>Sec.014 S2;</t>
  </si>
  <si>
    <t>NMNM126070</t>
  </si>
  <si>
    <t>MERIDIAN NMPM, T0100N, R0370E</t>
  </si>
  <si>
    <t>Sec.005 LOTS 1.3-5; 008 LOTS 1-4; 017 LOTS 1;</t>
  </si>
  <si>
    <t>NMNM126071</t>
  </si>
  <si>
    <t>Sec.017 LOT 4, SWSW; 018 S2S2; 019 NENE; 020 LOTS 1-4 NWNW; 029 LOTS 1-4, SWSW; 030 S2S2; 031 N2, NESE;</t>
  </si>
  <si>
    <t>NMNM126072</t>
  </si>
  <si>
    <t>Sec. 030 SWNE;</t>
  </si>
  <si>
    <t>NMNM126073</t>
  </si>
  <si>
    <t>Mckinley</t>
  </si>
  <si>
    <t>MERIDIAN NMPM, T0200N, R0050W</t>
  </si>
  <si>
    <t>Sec. 005 LOTS 1,2; 005 S2NE, SE; 007 LOTS 1-4; 007 E2,E2W2; 008 N2; 009 NW;</t>
  </si>
  <si>
    <t>NMNM126074</t>
  </si>
  <si>
    <t>Sec. 022 NW, N2SW;</t>
  </si>
  <si>
    <t>TXNM126082</t>
  </si>
  <si>
    <t>Houston</t>
  </si>
  <si>
    <t>NONE GIVEN</t>
  </si>
  <si>
    <t xml:space="preserve">Tract K-1-II, Parcel 8; </t>
  </si>
  <si>
    <t>SEE ATTACHMENT FOR METES &amp; BOUNDS WITH MAP;</t>
  </si>
  <si>
    <t>AXP CHARGES</t>
  </si>
  <si>
    <t>CK. #3318</t>
  </si>
  <si>
    <t>LAES53371</t>
  </si>
  <si>
    <t xml:space="preserve">NATCHOITOCHES/WINN </t>
  </si>
  <si>
    <t>SEC 17, SENE; SEC 19, E2SWSW; SEC 22, SEE LSE; SEC 27, NWSW</t>
  </si>
  <si>
    <t>LAES53372</t>
  </si>
  <si>
    <t>SEC 30, NE,N2SE,SESE; SEC 31, NENE,S2NE,NW,SE</t>
  </si>
  <si>
    <t>ALES56628</t>
  </si>
  <si>
    <t>covington</t>
  </si>
  <si>
    <t>MERIDIAN ST.STEPHENS T1N, R14E</t>
  </si>
  <si>
    <t>SEC.11, NW; SEC.12, SWNE, NENW, NWSE, SESW; SEC.13, NE, NENW</t>
  </si>
  <si>
    <t>SUBJECT TP F.S. LEASE NOTICE NOS. 3 AND 4</t>
  </si>
  <si>
    <t>ALES56636</t>
  </si>
  <si>
    <t>bibb</t>
  </si>
  <si>
    <t>MERIDIAN ST.STEPHENS T23N, R7E</t>
  </si>
  <si>
    <t xml:space="preserve">SEC.1, SESE, W2SW; SEC.2, All except that part of Tract o-695a lying in the NENE containing 19.85 acres. 734.12 Acres </t>
  </si>
  <si>
    <t>SUBJECT TO F.S. LEASE NOTICES NO.3</t>
  </si>
  <si>
    <t>ALES56637</t>
  </si>
  <si>
    <t>Sec.1, That part of Tract U-153e lying in the NW corner of Sec.1 containg 14.70 acres; Sec.2, that part of Tract O-695a lying in the NENE containing 19.85 acres</t>
  </si>
  <si>
    <t>SUBJECT TO F.S. LEASE NOTICE NO.3</t>
  </si>
  <si>
    <t>ARES56639</t>
  </si>
  <si>
    <t>MERIDIAN 5TH PRINCIPAL T3N, R28W</t>
  </si>
  <si>
    <t>Sec.13, N2; Sec.14, E2NE,SWNE,NWNW; Sec.15, NENE,E2NWNE, Tract A-1682 in SENE(18.03 acs)</t>
  </si>
  <si>
    <t>SUBJECT TO F.S. LEASE NOTICE NO.4</t>
  </si>
  <si>
    <t>ARES56640</t>
  </si>
  <si>
    <t xml:space="preserve">Sec.27, Partial NENW. </t>
  </si>
  <si>
    <t>SUBJECT TO FS LEASE NOTICES NO.3 &amp; 4 FS NO SURFACE AND OCCUPANCY STIPULATION #2</t>
  </si>
  <si>
    <t>ARES56641</t>
  </si>
  <si>
    <t>MERIDIAN 5TH PRINCIPAL T3N, R30W</t>
  </si>
  <si>
    <t>Sec.3, fr. W2NW less and except a 3.6 acre parcel described as follows: beginning 8 rods south of the NE corner of the NWNW; thence running south 72 rods; thence West 8 rods; thence North 72 rods; thence East 8 rods to place of beginning; sec.6, SENW, fr. W2NW</t>
  </si>
  <si>
    <t>SUBJECT TO FS LEASE NOTICES NO.3 &amp; 4 FS CONTROLLED SURFACE USE STIPULATION #1</t>
  </si>
  <si>
    <t>ARES56642</t>
  </si>
  <si>
    <t>Sec. 16, SWSW</t>
  </si>
  <si>
    <t>ARES56644</t>
  </si>
  <si>
    <t>Sec. 30 Fr. S2SW; Sec.31; W2E2, NENE, fr.W2</t>
  </si>
  <si>
    <t>SUBJECT TO FS LEASE NOTICES NO. 3 &amp; 4 ; FS CONTROLLED SURFACE STIPULATION #1; FS NO SURFACE AND OCCUPANCY STIPULATION #2(SEC.30)</t>
  </si>
  <si>
    <t>ARES56645</t>
  </si>
  <si>
    <t>Sec.2 Fr. N2N2; Sec.4, fr. NE; sec.5, fr. NW, Fr. W2NE( part of tract A-5672), SENE (part of tract A-5672), partial NWSE (part of tract A-5672); Sec.6 Fr. NENW, Fr. N2NE</t>
  </si>
  <si>
    <t>SUBJECT TO FS LEASE NOTICES NO. 3 &amp; 4 ; FS CONTROLLED SURFACE USE STIPULATION #1</t>
  </si>
  <si>
    <t>ARES56647</t>
  </si>
  <si>
    <t xml:space="preserve">Sec.30, NENE, S2NE, fr. NWNW, W2NENW, Tract A-785 in the SWNW; Sec.31, NESE; Sec.32 , N2NW, N2NWNE, NWSW. </t>
  </si>
  <si>
    <t>SUBJECT TO: FS LEASE NOTICES NO. 3 &amp; 4; FS CONTROLLED SURFACE USE STIPULATION #1; FS NO SURFACE AND OCCUPANCY STIPULATION #2 (SEC.30, NENE, S2NE, FR.NWNW, W2NENW)</t>
  </si>
  <si>
    <t>ARES56652</t>
  </si>
  <si>
    <t>MERIDIAN 5TH PRINCIPAL T3N, R31W</t>
  </si>
  <si>
    <t>Sec.36, E2NE</t>
  </si>
  <si>
    <t>SUBJECT TO: FS LEASE NOTICES NO.3 &amp; 4; FS CONTROLLED SURFACE USE STIPULATION #1c</t>
  </si>
  <si>
    <t>ARES56654</t>
  </si>
  <si>
    <t>pope</t>
  </si>
  <si>
    <t>MERIDIAN 5TH PRINCIPAL T11N, R17W</t>
  </si>
  <si>
    <t>Sec. 30, S2SWSW; Sec.31, NWNW</t>
  </si>
  <si>
    <t xml:space="preserve">SUBJECT TO FS LEASE NOTICES NO.3 &amp;4 ; FS CONTROLLED SURFACE USE STIPULATION #1; FS CONTROLLED SURFACE USE STIPULATION #1B. </t>
  </si>
  <si>
    <t>ARES56657</t>
  </si>
  <si>
    <t>MERIDIAN 5TH PRINCIPAL T11N, R18W</t>
  </si>
  <si>
    <t>Sec. 7, SWNW and NWSW less 1 acre</t>
  </si>
  <si>
    <t>SUBJECT TO: FS LEASE NOTICES NO.3; THE LANDS DESCRIBED ABOVE ARE FULLY COMMITTED TO EXPLORATORY UNIT AGREEMENT ARES 55699X, APPROVED MAY 27, 2009 EFFECTIVE JUNE 1, 2009</t>
  </si>
  <si>
    <t>ARES56658</t>
  </si>
  <si>
    <t>Sec.8, SESE.</t>
  </si>
  <si>
    <t>SUBJECT TO FS LEASE NOTICES NO.3; FS CONTROLLED SURFACE USE STIPULATION #1D, THE LANDS DESCRIBED ABOVE ARE FULLY COMMITTED TO EXPLORATORY UNIT AGREEMENT ARES 55699X, APPROVED MAY 27, 2009 ; EFFECTIVE JUNE 1,2009</t>
  </si>
  <si>
    <t>ARES56659</t>
  </si>
  <si>
    <t>MERIDIAN 5TH PRINCIPAL T11N, R19W</t>
  </si>
  <si>
    <t>Sec.29, SENWSE</t>
  </si>
  <si>
    <t>SUBJECT TO FS LEASE NOTICES NO.3; FS NO SURFACE OCCUPANCY STIPULATION 2C</t>
  </si>
  <si>
    <t>ARES56660</t>
  </si>
  <si>
    <t>MERIDIAN 5TH PRINCIPAL T11N, R21W</t>
  </si>
  <si>
    <t>Sec.22, all</t>
  </si>
  <si>
    <t>SUBJECT TO FS LEASE NOTICES NO,.3 AND 4 ; FS CONTROLLED SURFACE USE STIPULATION 1B</t>
  </si>
  <si>
    <t>ARES56661</t>
  </si>
  <si>
    <t>johnson</t>
  </si>
  <si>
    <t>MERIDIAN 5TH PRINCIPAL T11N, R22W</t>
  </si>
  <si>
    <t>Sec.2 , part of the NESW; Sec.31, NWSE</t>
  </si>
  <si>
    <t xml:space="preserve">SUBJECT TO: FS LEASE NOTICES NO.3; FS CONTROLLED SURFACE USE STIPULATION #1,1-A,B,C (SEC.2); </t>
  </si>
  <si>
    <t>ARES56662</t>
  </si>
  <si>
    <t>Sec.2 NWSW, part of the swsw lying north of big piney creek containing 16.80 acres, SESW - containing 19.17 acres more or less</t>
  </si>
  <si>
    <t xml:space="preserve">SUBJECT TO: FS LEASE NOTICES NO.3; FS CONTROLLED SURFACE USE STIPULATION #1,1-A,B,C </t>
  </si>
  <si>
    <t>KYES56663</t>
  </si>
  <si>
    <t>whitley</t>
  </si>
  <si>
    <t>N.A.</t>
  </si>
  <si>
    <t>Tracts C-3118</t>
  </si>
  <si>
    <t>KYES56664</t>
  </si>
  <si>
    <t>Tracts C-1476, eastern half</t>
  </si>
  <si>
    <t>KYES56665</t>
  </si>
  <si>
    <t>Tracts C-1888c, C-1941 m-l, C-1941n</t>
  </si>
  <si>
    <t>KYES56666</t>
  </si>
  <si>
    <t>maccreary</t>
  </si>
  <si>
    <t>Tracts C-1888u, C-1941L, C-1941p, C-2851c</t>
  </si>
  <si>
    <t>KYES56667</t>
  </si>
  <si>
    <t>whitley and mccreary</t>
  </si>
  <si>
    <t>Tracts C-1888-II, C-1941m</t>
  </si>
  <si>
    <t>LAES56671</t>
  </si>
  <si>
    <t>grant parish</t>
  </si>
  <si>
    <t>MERIDIAN LOUISIANA T8N, R2W</t>
  </si>
  <si>
    <t>Sec.22, N2NE, SENE,NESE; Sec.23, All.</t>
  </si>
  <si>
    <t>SUBJECT TO FS CONTROLLED SURFACE USE STIPULATION #1 AND #2A; FS NO SURFACE OCCUPANCY STIPULATION #1 (SEC.23); FS LEASE NOTICE NO.3</t>
  </si>
  <si>
    <t>LAES56672</t>
  </si>
  <si>
    <t>Sec.22, E2SW.</t>
  </si>
  <si>
    <t>SUBJECT TO FS CONTROLLED SURFACE USE STIPULATION#1 AND #2A; FS LEASE NOTICE NO.3</t>
  </si>
  <si>
    <t>LAES56673</t>
  </si>
  <si>
    <t>Sec. 24, W2, SE; Sec.25, All</t>
  </si>
  <si>
    <t>SUBJECT TO FS CONTROLLED SURFACE USE STIPULATION #1 AND #2A; FS NO SURFACE OCCUPANCY STIPULATION #1 AND 2; FS LEASE NOTICE NO.3</t>
  </si>
  <si>
    <t>LAES56674</t>
  </si>
  <si>
    <t>Sec.27,NE,E2NW,NWNW,S2S2,NESE</t>
  </si>
  <si>
    <t>SUBJECT TO FS CONTROLLED SURFACE USE STIPULTION #1, 2, 2A; FS LEASE NOTICE NO.3</t>
  </si>
  <si>
    <t>LAES56676</t>
  </si>
  <si>
    <t>MERIDIAN 5TH PRINCIPAL T8N, R2W</t>
  </si>
  <si>
    <t>Sec.35, All; Sec.36, NW</t>
  </si>
  <si>
    <t>SUBJECT TO FS CONTROLLED SURFACE USE STIPULATION #1 (SEC.35); FS CONTROLLED SURFACE USE STIPULATION #2(SEC.35)</t>
  </si>
  <si>
    <t>LAES56677</t>
  </si>
  <si>
    <t>MERIDIAN LOUISIANA T9N, R1W</t>
  </si>
  <si>
    <t>Sec.1, NWNENW,W2W2,SESW,S2SE; Sec.5, E2NENW; Sec.8, S2NE,NESE, Tract C-77 in S2NENE; Sec.10, E2SWSW, SESW; Sec.12, E2,E2W2,SWNW,NWSW,W2W2SWSW</t>
  </si>
  <si>
    <t>SUBJECT TO FS CONTROLLED SURFACE USE STIPULATION #1 ; FS CONTROLLED SURFACE USE STIPULATION #2(SEC.8,10,12);  FS LEASE NOTICE NO.3</t>
  </si>
  <si>
    <t>LAES56678</t>
  </si>
  <si>
    <t>Sec.13,Entire Section less &amp; except 19.07 acres south of Road in SESE; Sec.14, W2SW,SWNW,W2SENW; Sec.17, NWNW; Sec.18,N2NE, Tract C-2138 IN nwnw, s2nw; Sec.24, Tract C-52 in N2SW, SESW</t>
  </si>
  <si>
    <t>SUBJECT TO FS CONTROLLED SURFACE USE STIPULATION#1 AND #2; FS LEASE NOTICE NO.3, 4 (SEC.13 AND 14)</t>
  </si>
  <si>
    <t>LAES56679</t>
  </si>
  <si>
    <t>Sec.30,NESW,NESE,SWSE,E2SENW;Sec.32,NWNW less &amp; except 1.0 acre on east side</t>
  </si>
  <si>
    <t>SUBJECT TO FS CONTROLLED SURFACE USE STIPULATION #1 AND #2; FS LEASE NOTICE NO.3 AND NO.4</t>
  </si>
  <si>
    <t>LAES56680</t>
  </si>
  <si>
    <t>Sec.33, NESE; Sec.34, SW,SWSE,N2SE,SESE;Sec.35,SW,S2SE;Sec.36,Tract C-67a in SWNW and NWSW</t>
  </si>
  <si>
    <t>SUBJECT TO FS CONTROLLED SURFACE USE STIPULATION #1 AND #2 FS LEASE NOTICE NO.3 FS LEASE NOTICE NO.4 (SEC.34, 35 AND 36)</t>
  </si>
  <si>
    <t>LAES56681</t>
  </si>
  <si>
    <t>winn parish</t>
  </si>
  <si>
    <t>MERIDIAN LOUISIANA T10N, R2W</t>
  </si>
  <si>
    <t>Sec.7, SENE,NESW,S2SW,SE; Sec.8, W2NWSE; Sec.9,NWNE,S2NE,NW less &amp; except 15.20 acres west of centerline of highway 167, N2SW, SESW, W2SE; Sec.10 W2SW,NESE,SESE</t>
  </si>
  <si>
    <t>SUBJECT TO FS CONTROLLED SURFACE USE STIPULATION #1; FS CONTROLLED SURFACE USE STIPULATION#2(SEC.7,9 AND 10); FS LEASE NOTICE NO.3</t>
  </si>
  <si>
    <t>LAES56682</t>
  </si>
  <si>
    <t>Sec.11, W2SW, SESW,NWNE; Sec.13, SWSE,S2SW, SESE; Sec.14 N2NE,SWNE,E2NW,NWNW,SWNW,NESW,NWSW,SWSE,SESE</t>
  </si>
  <si>
    <t>SUBJECT TO FS CONTROLLED SURFACE USE STIPULATION #1,2 FS LEASE NOTICE NO.3</t>
  </si>
  <si>
    <t>LAES56683</t>
  </si>
  <si>
    <t xml:space="preserve">Sec.15, All. Sec.16, NE,E2NW less &amp; except 0.45 acre on South side of SESW, SE less &amp; except 1.45 acres on West side of NWSE. </t>
  </si>
  <si>
    <t>LAES56684</t>
  </si>
  <si>
    <t>50% U.S. Mineral Interest, Sec.18, S2NWSW</t>
  </si>
  <si>
    <t>LAES56685</t>
  </si>
  <si>
    <t>Sec.17, W2NE,NW,S2 less &amp; except 10 acres in SESW; Sec.18, E2NENE,W2NW,NENW,NESW,SWSW; Sec.19, NE,E2NW, SW,W2SE,SESE</t>
  </si>
  <si>
    <t>SUBJECT TO FS CONTROLLED SURFACE USE STIPULATION #1; FS CONTROLLED SURFACE USE STIPULATION#2(SEC.17,18); FS LEASE NOTICE NO.3</t>
  </si>
  <si>
    <t>LAES56686</t>
  </si>
  <si>
    <t>Sec.20, NESW,SENE,S2SE,Part of NWSW; Sec.21,NE,SENW,S2; Sec.28,NE.</t>
  </si>
  <si>
    <t>SUBJECT TO FS CONTROLLED SURFACE USE STIPULATION #1; FS CONTROLLED SURFACE USE STIPULATION #2 (SEC.20 AND 21); FS LEASE NOTICE NO.3</t>
  </si>
  <si>
    <t>LAES56687</t>
  </si>
  <si>
    <t>Sec.22, E2NE,W2SE; Sec.23, S2NE,NWNE,W2,SE;,Sec.24,NWNE</t>
  </si>
  <si>
    <t>SUBJECT TO FS CONTROLLED SURFACE USE STIPULATION #1; FS CONTROLLED SURFACE USE STIPULATION #2 (SEC.23 AND 24); FS LEASE NOTICE NO.3</t>
  </si>
  <si>
    <t>LAES56688</t>
  </si>
  <si>
    <t>Sec.25, All; Sec.26, N2NE,SWNE,W2,SE</t>
  </si>
  <si>
    <t>LAES56689</t>
  </si>
  <si>
    <t>Sec.27, All; Sec.30, W2NENW; Sec.32, S2SWNE,NWSE;Sec.33,NE,NESE,E2SESE. Sec.34,E2E2,SWSW,NWSE,W2NE,NW,NWSW</t>
  </si>
  <si>
    <t>SUBJECT TO FS CONTROLLED SURFACE USE STIPULATION #1; FS CONTROLLED SURFACE USE STIPULATION #2(SEC.27,32,33,34) FS LEASE NOTICE NO.3</t>
  </si>
  <si>
    <t>LAES56690</t>
  </si>
  <si>
    <t>MERIDIAN 5TH PRINCIPAL T10N, R2W</t>
  </si>
  <si>
    <t>Sec.35,NENE,S2NE,NW,S2;Sec.36,N2N2 less &amp; except 7.0 acres in SWNENE,SWNW,S2</t>
  </si>
  <si>
    <t>LAES56691</t>
  </si>
  <si>
    <t>MERIDIAN LOUISIANA T11N, R4W</t>
  </si>
  <si>
    <t>Sec.1, N2NW; Sec.5,SW;Sec.10,W2W2NWSW,SESW;Sec.15,NWSW</t>
  </si>
  <si>
    <t>SUBJECT TO FS CONTROLLED SURFACE USE STIPULATION #1; FS CONTROLLED SURFACE USE STIPULATION #2(SEC.10); FS LEASE NOTICE NO.3</t>
  </si>
  <si>
    <t>LAES56692</t>
  </si>
  <si>
    <t>Sec.6, S2N2, NWNE,N2NW,S2( Subject to railroad right og way containing 18.20 acres, which traverses the N2NW and NWNE) Sec.7, W2E2, SESE,S2NESE,S2N2NESE,SW,E2NW,NWNW,SWNW less that part of Tract C-108 containing about 3.03 acres; Sec.9, S2NE</t>
  </si>
  <si>
    <t>SUBJECT TO FS CONTROLLED SURFACE USE STIPULATION #1 FS CONTROLLED SURFACE USE STIPULATION #2 (SEC.6,9) FS LEASE NOTICE NO.3</t>
  </si>
  <si>
    <t>LAES56693</t>
  </si>
  <si>
    <t>Sec.18, E2NW</t>
  </si>
  <si>
    <t>SUBJECT TO FS CONTROLLED SURFACE USE STIPULATION #1,2  FS NO SURFACE OCCUPANCY STIPULATION FS LEASE NOTICE NO.3</t>
  </si>
  <si>
    <t>LAES56694</t>
  </si>
  <si>
    <t>T11N, R4W, Louisiana Meridian Sec.22, SESENE; Sec.23, SWSWNW,S2NE,SE; Sec.26, NENE</t>
  </si>
  <si>
    <t>FS LEASE NOTICE NO.3</t>
  </si>
  <si>
    <t>LAES56695</t>
  </si>
  <si>
    <t>Sec.7, E2NE</t>
  </si>
  <si>
    <t>SUBJECT TO FS LEASE NOTICE NO.3</t>
  </si>
  <si>
    <t>LAES56696</t>
  </si>
  <si>
    <t>MERIDIAN LOUISIANA T11N, R5W</t>
  </si>
  <si>
    <t>Sec.1, SWSW less &amp; except 1.0 acres in NE/c being part lying N&amp;E of road and less &amp; except 2.02 acres in S2; Sec.11, Tract C-63f lying in E2NENE Sec.12, NWNW less &amp; except 1.0 acres in SE/c</t>
  </si>
  <si>
    <t>SUBJECT TO FS CONTROLLED SURFACE USE STIPULATION #1; FS LEASE NOTICE NO.3</t>
  </si>
  <si>
    <t>LAES56697</t>
  </si>
  <si>
    <t>winn and natchitoches parishes</t>
  </si>
  <si>
    <t>Sec.1, SESW, NWSE,S2SE; Sec.2, SESE; Sec.4, Tract in E2W2 west of Saline Bayou, W2W2</t>
  </si>
  <si>
    <t>SUBJECT TO FS CONTROLLED SURFACE USE STIPULATION #1; FS CONTROLLED SURFACE USE STIPULATION #2(SEC.2,4) FS NO SURFACE OCCUPANCY STIPULATION (SEC.4); FS LEASE NOTICE NO.3</t>
  </si>
  <si>
    <t>LAES56698</t>
  </si>
  <si>
    <t>Sec.3, Tract in SESW; Sec.12, W2NE,NENW less &amp; except 4 acres in SW/c, SENW,SWNW,NWSW,SESE</t>
  </si>
  <si>
    <t>SUBJECT TO FS CONTROLLED SURFACE USE STIPULATION #1; FS CONTROLLED SURFACE USE STIPULATION #2 (SEC.12); FS LEASE NOTICE NO.3</t>
  </si>
  <si>
    <t>LAES56699</t>
  </si>
  <si>
    <t>Sec.12, SWSW less &amp; except 2.02 acres in NW/c</t>
  </si>
  <si>
    <t>SUBJECT TO FS CONTROLLED SURFACE USE STIPULATION #1 FS LEASE NOTICE NO.3</t>
  </si>
  <si>
    <t>LAES56700</t>
  </si>
  <si>
    <t>Sec.11, nwse; Sec.14, E2SWSW, SESW</t>
  </si>
  <si>
    <t>SUBJECT TO FS CONTROLLED SURFACE USE STIPULATION #1; FS CONTROLLED SURFACE USE STIPULATION #2, FS LEASE NOTICE NO.3</t>
  </si>
  <si>
    <t>LAES56701</t>
  </si>
  <si>
    <t>MERIDIAN LOUISIANA T12N, R4W</t>
  </si>
  <si>
    <t>Sec.16, Tract C-107 in N2 &amp; N2SE west of Dudgemonia bayou, SESE</t>
  </si>
  <si>
    <t>SUBJECT TO FS CONTROLLED SURFACE USE STIPULATION #1; FS CONTROLLED SURFACE USE STIPULATION #2; FS NO SURFACE OCCUPANCY STIPULATION; FS LEASE NOTICE NO.3</t>
  </si>
  <si>
    <t>LAES56705</t>
  </si>
  <si>
    <t>MERIDIAN LOUISIANA T23N, R4W</t>
  </si>
  <si>
    <t>Sec.33, All</t>
  </si>
  <si>
    <t>SUBJECT TO FS CONTROLLED SURFACE USE STIPULATION #1,2; FS NO SURFACE OCCUPANCY STIPULATION #2; FS LEASE NOTICE NO.3,4</t>
  </si>
  <si>
    <t>MIES56707</t>
  </si>
  <si>
    <t>MERIDIAN MICHIGAN T17N, R15W</t>
  </si>
  <si>
    <t>Sec.26, W2NW; Sec.27, E2NE</t>
  </si>
  <si>
    <t>SUBJECT TO FOREST SERVICE STANDARD LEASE STIPULATIONS, LEASE NOTICES #1,2,3,6, LEASE STIPULATION #1 APPLIES TO SEC.26, E3/4NWNW, SWNWNW, N2SWNW, NWSWSWNW; AND SEC.27, E2SENE, SWSENE, SENWSENE, S2SENENE LEASE STIPULATION #9 APPLIES TO ALL LANDS</t>
  </si>
  <si>
    <t>MSES56709</t>
  </si>
  <si>
    <t>smith</t>
  </si>
  <si>
    <t>MERIDIAN CHOCTOW,T3N, R7E</t>
  </si>
  <si>
    <t>Sec.27, E 7.00 ACRES OF NENNE, W2, NWSE</t>
  </si>
  <si>
    <t>SUBJECT TO FS STIPULATION, FS LEASE NOTICES NO.3, 4 FS NOTICE TO LESSEE 5&amp;6, FS TIMING LIMITATION STIPULATION 1</t>
  </si>
  <si>
    <t>MSES56710</t>
  </si>
  <si>
    <t>MERIDIAN CHOCTOW,T4N, R6E</t>
  </si>
  <si>
    <t>Sec.1, W2NW, SENW, SWSW,N2SE, SWSE; Sec.2, NENE, S2NWNE, SENE,S2NENW,W2NW,SENW,NWSW,NESESW,N2SE; Sec.3, NE</t>
  </si>
  <si>
    <t>SUBJECT TO FS STIPULATION, FS LEASE NOTICES NO.3, 4 FS NOTICE TO LESSEE 5, FS TIMING LIMITATION STIPULATION 1</t>
  </si>
  <si>
    <t>MSES56715</t>
  </si>
  <si>
    <t>MERIDIAN CHOCTOW,T4N, R7E</t>
  </si>
  <si>
    <t>Sec.4, N2NE less Tracts B-847 &amp; B-847a, W2NW,SENW, NWSW; Sec.5, E2NE, E2SW, SE.</t>
  </si>
  <si>
    <t>SUBJECT TO FS STIPULATION, FS LEASE NOTICES NO.3,4, FS NOTICE TO LESSEE 5 &amp; 6, FS TIMING LIMITATION STIPULATION 1</t>
  </si>
  <si>
    <t>MSES56716</t>
  </si>
  <si>
    <t>Sec.7, E2, Esec.7, E2,E2W2,S 30 acres of SWNW, W2SW.2W2</t>
  </si>
  <si>
    <t>MSES56717</t>
  </si>
  <si>
    <t xml:space="preserve">Sec.8, N2NE, SWNE, N 24 acres of SENE, W2, NWSE, W15 acres of SWSE; Sec.14, SWNE, S2SENE, E2SENW, NESW, N2SE, North 10 acres of SESE; </t>
  </si>
  <si>
    <t>MSES56718</t>
  </si>
  <si>
    <t>Sec.17, N2NW,W2SWNW, NWSW less Tract B-78; Sec.18, All less 4 acres in SE corner.</t>
  </si>
  <si>
    <t>MSES56721</t>
  </si>
  <si>
    <t>perry</t>
  </si>
  <si>
    <t>MERIDIAN ST.STEPHENS T1S, R9W</t>
  </si>
  <si>
    <t>Sec.8, All; Sec.9, All. Sec.10, All;</t>
  </si>
  <si>
    <t>SUBJECT TO FS STIPULATION, FS LEASE NOTICES NO.3,4, FS NOTICE TO LESSEE 5 , FS TIMING LIMITATION STIPULATION 1,FS SPECIAL STIPULATION 6</t>
  </si>
  <si>
    <t>MSES56722</t>
  </si>
  <si>
    <t>Sec.17, N2NE,SWNE,W2,W2SE; Sec.18, E2,E2NW,N2SW,SESW</t>
  </si>
  <si>
    <t>MSES56724</t>
  </si>
  <si>
    <t>Sec.21, All; Sec.22, All</t>
  </si>
  <si>
    <t>MSES56725</t>
  </si>
  <si>
    <t>Sec.23, All; Sec.24, All</t>
  </si>
  <si>
    <t>MSES56726</t>
  </si>
  <si>
    <t>Sec.25, All; Sec.26, N2,W2SW,NWSE</t>
  </si>
  <si>
    <t>MSES56728</t>
  </si>
  <si>
    <t>See attached sheet(on the lease)</t>
  </si>
  <si>
    <t>SEE LEASE FOR MORE INFORMATION</t>
  </si>
  <si>
    <t>MSES56729</t>
  </si>
  <si>
    <t>MSES56730</t>
  </si>
  <si>
    <t>Sec.33, N2, N2SW,NWSE; Sec.34, All; Sec.35, W2NW, W2SW,NESW</t>
  </si>
  <si>
    <t>MSES56731</t>
  </si>
  <si>
    <t>MERIDIAN ST.STEPHENS T1S, R10W</t>
  </si>
  <si>
    <t>MSES56732</t>
  </si>
  <si>
    <t>Sec.4,NWNW 7/32 U.S. Mineral interest</t>
  </si>
  <si>
    <t>SUBJECT TO FS STIPULATION, FS LEASE NOTICES NO.3,4, FS NOTICE TO LESSEE 5 &amp; 6, FS TIMING LIMITATION STIPULATION 1, FS SPECIAL STIPULATION 6</t>
  </si>
  <si>
    <t>MSES56733</t>
  </si>
  <si>
    <t>MSES56734</t>
  </si>
  <si>
    <t>Sec.11, NWNE,S2NE, NW,NESW,S2SW, SESE; Sec.13, NW,S2;</t>
  </si>
  <si>
    <t>MSES56735</t>
  </si>
  <si>
    <t>MSES56736</t>
  </si>
  <si>
    <t>Sec.17, 21.051 acres in NENE; Sec.18, SWSW, 3.43 acres in SW corner of NWSW; 1/16 U.S. Mineral Interest</t>
  </si>
  <si>
    <t>MSES56737</t>
  </si>
  <si>
    <t>MSES56740</t>
  </si>
  <si>
    <t>Sec.26, SESE. 1/10 U.S. Mineral Interest</t>
  </si>
  <si>
    <t>MSES56741</t>
  </si>
  <si>
    <t>forrest</t>
  </si>
  <si>
    <t>MERIDIAN ST.STEPHENS T1S, R13W</t>
  </si>
  <si>
    <t>MSES56742</t>
  </si>
  <si>
    <t>Sec.13, S2NW, SW; Sec.14, NE,E2SE; Sec.23, NENE, S2</t>
  </si>
  <si>
    <t>MSES56743</t>
  </si>
  <si>
    <t>Sec.24, SWNE 25% U.S. Mineral Interest</t>
  </si>
  <si>
    <t>SUBJECT TO FS STIPULATION, FS LEASE NOTICES NO.3,4, FS NOTICE TO LESSEE 5, FS TIMING LIMITATION STIPULATION 1</t>
  </si>
  <si>
    <t>MSES56744</t>
  </si>
  <si>
    <t>Sec.25,SE,Sec.26,All</t>
  </si>
  <si>
    <t>MSES56745</t>
  </si>
  <si>
    <t>pearl river</t>
  </si>
  <si>
    <t>MERIDIAN ST.STEPHENS T1S, R14W</t>
  </si>
  <si>
    <t>Sec.8,N2NE,NENW,S2S2</t>
  </si>
  <si>
    <t>MSES56746</t>
  </si>
  <si>
    <t>Sec.17,N2NE; Sec.25, W2NE,N2NW.N2SE</t>
  </si>
  <si>
    <t>MSES56747</t>
  </si>
  <si>
    <t>wayne</t>
  </si>
  <si>
    <t>MERIDIAN ST.STEPHENS T7N, R9W</t>
  </si>
  <si>
    <t>Sec.1, N2NW, SWNW, W2SENW, NWSW, S2SW; Sec.5, NENE, N2NWNE, SENWNE, S2NE, N2NENW, SWNENW, NWNW, NESW,S2SW,SE; Sec.6 E2, S2NW,SW</t>
  </si>
  <si>
    <t>MSES56748</t>
  </si>
  <si>
    <t>Sec.7, N2, SW, N2SE, SESE; Sec.8, All</t>
  </si>
  <si>
    <t>MSES56749</t>
  </si>
  <si>
    <t>Sec.9, E2NE; Sec.10, SWNE; Sec.12, NE, W2W2; Sec.13, N2N2,SENE,SWNW,SW,NESE</t>
  </si>
  <si>
    <t>MSES56751</t>
  </si>
  <si>
    <t>Sec.15, W2NE,W2,SESE; Sec.17, N2,N2S2, S2SE</t>
  </si>
  <si>
    <t>MSES56752</t>
  </si>
  <si>
    <t>Sec.18, NENE,NWNW,S2NW,NESW,S2SW;Sec.19,W2NE,SESW,N2SE; Sec.20 ,NENE,S2NE,SWNW,S2</t>
  </si>
  <si>
    <t>MSES56755</t>
  </si>
  <si>
    <t>Sec.26, NE,N2SE; Sec.27, NW, SENE, N2SW, SWSW less 10 acres of SE corner, SESW less 5 acres off SW corner, SE; Sec.28, N2, SW, N2SE</t>
  </si>
  <si>
    <t>MSES56756</t>
  </si>
  <si>
    <t>Sec.30, All; Sec.31, All</t>
  </si>
  <si>
    <t>MSES56757</t>
  </si>
  <si>
    <t>CHECK 3551</t>
  </si>
  <si>
    <t>CHECK 3554</t>
  </si>
  <si>
    <t>PART CANCELLED; T/B REFUNDED</t>
  </si>
  <si>
    <t xml:space="preserve"> BONUS $408.00; RENT 382.50; NOT REC'D </t>
  </si>
  <si>
    <t>LINE 180</t>
  </si>
  <si>
    <t>NOTICE 6-30-09</t>
  </si>
  <si>
    <t>CANCELLED: T/B REFUNDED $4,264</t>
  </si>
  <si>
    <t>BONUS $1,312;RENT $2,952; (FEE $130) NOT REC''D</t>
  </si>
  <si>
    <t>LINE 407</t>
  </si>
  <si>
    <t>ACTION 9-16-09</t>
  </si>
  <si>
    <t>CANCELLED: T/B REFUNDED $4,160</t>
  </si>
  <si>
    <t>BONUS $1,280;RENT $2,880; (FEE $130) NOT REC'D</t>
  </si>
  <si>
    <t>LINE 408</t>
  </si>
  <si>
    <t>CANCELLED: T/B REFUNDED $2,667</t>
  </si>
  <si>
    <t>BONUS 2-YR RENT $762.00  RECEIVED 8/2010</t>
  </si>
  <si>
    <t>LINE 223</t>
  </si>
  <si>
    <t xml:space="preserve">NOTICE 12-18-09 </t>
  </si>
  <si>
    <t>CANCELLED: T/B REFUNDED $542.50</t>
  </si>
  <si>
    <t>BONUS 1ST YR RENT $232.50</t>
  </si>
  <si>
    <t>LINE 952</t>
  </si>
  <si>
    <t>NOTICE 6-28-10</t>
  </si>
  <si>
    <t>CANCELLED: T/B REFUNDED $416.50 ?</t>
  </si>
  <si>
    <t>BONUS 1ST YR RENT $180.00</t>
  </si>
  <si>
    <t>LINE 977</t>
  </si>
  <si>
    <t>NOTICE 7-08-10</t>
  </si>
  <si>
    <t>CANCELLED: T/B REFUNDED $280.00</t>
  </si>
  <si>
    <t>BONUS 1ST YR RENT $120.00</t>
  </si>
  <si>
    <t>120.00 RECEIVED 11/2010</t>
  </si>
  <si>
    <t>LINE 964</t>
  </si>
  <si>
    <t>NOTICE 7-14-2010</t>
  </si>
  <si>
    <t>PART CANCELLED T/B REFUNDED $1,220</t>
  </si>
  <si>
    <t>PART BONUS; ADJ 1ST &amp;2ND YR RENT $732.00</t>
  </si>
  <si>
    <t>LINE 883</t>
  </si>
  <si>
    <t>NOTICE 9-16-2010</t>
  </si>
  <si>
    <t>PART CANCELLED: T/B REFUNDED $1800</t>
  </si>
  <si>
    <t>BONUS 1440 RENT $360 (3 YRS )</t>
  </si>
  <si>
    <t>LINE 841</t>
  </si>
  <si>
    <t>NOTICE 5-19-2011</t>
  </si>
  <si>
    <t>MSES57022</t>
  </si>
  <si>
    <t>CANCELLED : T/B REFUNDED $ 1,867</t>
  </si>
  <si>
    <t>BONUS $ 1476; 1ST YR RENT $ 246 (ADMIN FEE $145)</t>
  </si>
  <si>
    <t>LINE 1383</t>
  </si>
  <si>
    <t>NOTICE 9-14-2011</t>
  </si>
  <si>
    <t>MSES57015</t>
  </si>
  <si>
    <t>PART CANCELLED T/B REFUNDED $ 938.00</t>
  </si>
  <si>
    <t>BONUS $536; ADJ. DIFF. IN 1ST YR RENT $402.00</t>
  </si>
  <si>
    <t>LINE 1378</t>
  </si>
  <si>
    <t>MSES57019</t>
  </si>
  <si>
    <t>PART CANCELLED T/B REFUNDED $ 2,679.00</t>
  </si>
  <si>
    <t>BONUS $2508.00; ADJ DIFF. IN 1ST YR RENT $171.00</t>
  </si>
  <si>
    <t>LINE 1381</t>
  </si>
  <si>
    <t>OKNM126984</t>
  </si>
  <si>
    <t>CANCELLED : TB REFUNDED $ 565</t>
  </si>
  <si>
    <t>AS PER LETTER RECEIVED ON AUG 29 2011</t>
  </si>
  <si>
    <t>LINE 1392</t>
  </si>
  <si>
    <t>NOTICE 8/29/2011</t>
  </si>
  <si>
    <t>OKNM126985</t>
  </si>
  <si>
    <t xml:space="preserve">CANCELLED : TB REFUNDED $ 1865 </t>
  </si>
  <si>
    <t>LINE 1393</t>
  </si>
  <si>
    <t>MSES057209</t>
  </si>
  <si>
    <r>
      <t>ACREAGE AMENDED: TB REFUNDED $ 561.00 -</t>
    </r>
    <r>
      <rPr>
        <b/>
        <sz val="10"/>
        <rFont val="Cambria"/>
        <family val="1"/>
        <scheme val="major"/>
      </rPr>
      <t xml:space="preserve"> REFUNDED $ 442.00 BY CHECK + $ 119 CREDIT ON MAGNUM'S AMEX </t>
    </r>
  </si>
  <si>
    <t>BONUS $510; 1ST YR RENT $51.00</t>
  </si>
  <si>
    <t>LINE 1439</t>
  </si>
  <si>
    <t>NOTICE 2/6/2012</t>
  </si>
  <si>
    <t>CANCELLED : TB REFUNDED $ 1980</t>
  </si>
  <si>
    <t>REFUNDED - $ 1980.00</t>
  </si>
  <si>
    <t>BONUS $1600; 8 YEARS RENTAL $380</t>
  </si>
  <si>
    <t>LINE 478</t>
  </si>
  <si>
    <t>NOTICE 12/3/2012</t>
  </si>
  <si>
    <t>tx</t>
  </si>
  <si>
    <t>ok</t>
  </si>
  <si>
    <t>nm</t>
  </si>
  <si>
    <t>al</t>
  </si>
  <si>
    <t>ar</t>
  </si>
  <si>
    <t>la</t>
  </si>
  <si>
    <t>ms</t>
  </si>
  <si>
    <t>mi</t>
  </si>
  <si>
    <t>ks</t>
  </si>
  <si>
    <t>va</t>
  </si>
  <si>
    <t>wv</t>
  </si>
  <si>
    <t>ARES056805</t>
  </si>
  <si>
    <t>ES-009-06/11</t>
  </si>
  <si>
    <t>MERIDIAN 5TH PRINCIPAL, T10N R20W</t>
  </si>
  <si>
    <t>SEC.24, SENE,W2SWNE,W2NENW,SWNW,S2SENW,NESW,NWSE EXPECTING A TRIANGULAR PARCEL OF LAND CONTAINING 2 ACRES IN THE NORTHEAST CORNER SEC.25 NE NWNW NESE N2SESE N2S2SESE</t>
  </si>
  <si>
    <t>ARES056806</t>
  </si>
  <si>
    <t>ES-010-06/11</t>
  </si>
  <si>
    <t>SEC.24, N2NE, W2SW,SESW, SWSE</t>
  </si>
  <si>
    <t>LAES056818</t>
  </si>
  <si>
    <t>ES-023-06/11</t>
  </si>
  <si>
    <t>MERIDIAN LOUISIANA, T10 N R1W</t>
  </si>
  <si>
    <t>SEC.19 NESW</t>
  </si>
  <si>
    <t>LAES056819</t>
  </si>
  <si>
    <t>SEC.19 S2NE, N2NW, SWNW, N2SENW, NWSE; SEC.20, SWNW, W2SW</t>
  </si>
  <si>
    <t>LAES056820</t>
  </si>
  <si>
    <t>ES-024-06/11</t>
  </si>
  <si>
    <t>SEC.19, NWSW, S2S2, NESE, SEC.20, E2N2, E2NW, NESE, SEC.21, N2</t>
  </si>
  <si>
    <t>LAES056821</t>
  </si>
  <si>
    <t>ES-025-06/11</t>
  </si>
  <si>
    <t>SEC.28, NENE, SE, SEC.32, N2, N2SW, NWSE, S2SE less &amp; except 0.85 ac.</t>
  </si>
  <si>
    <t>LAES056822</t>
  </si>
  <si>
    <t>ES-026-06/11</t>
  </si>
  <si>
    <t>SEC.28, N2NW, SENW, S2NWSW, S2SW, SEC.29, NE. N2NW, SENW, S2; SEC.30, SW, NWSE; SEC.31, NE, NWNW, S2NW, S2</t>
  </si>
  <si>
    <t>LAES056823</t>
  </si>
  <si>
    <t>ES-027-06/11</t>
  </si>
  <si>
    <t>SEC.29, SWNW, SEC.30, N2NE, N2SENE, SWNW, TRACT IN N2N2NW; SEC.33, NESW</t>
  </si>
  <si>
    <t>LAES056828</t>
  </si>
  <si>
    <t>ES-032-06/11</t>
  </si>
  <si>
    <t>MERIDIAN LOUISIANA, T10 N R3W</t>
  </si>
  <si>
    <t>SEC.9 NENE, SEC.10, NWNW</t>
  </si>
  <si>
    <t>LAES056829</t>
  </si>
  <si>
    <t>ES-033-06/11</t>
  </si>
  <si>
    <t>SEC.22, E2SE</t>
  </si>
  <si>
    <t>LAES056831</t>
  </si>
  <si>
    <t>ES-035-06/11</t>
  </si>
  <si>
    <t>SEC.26, S2NW, SESW, SE</t>
  </si>
  <si>
    <t>LAES056832</t>
  </si>
  <si>
    <t>ES-036-06/11</t>
  </si>
  <si>
    <t>SEC.34 E2NW</t>
  </si>
  <si>
    <t>LAES056833</t>
  </si>
  <si>
    <t>ES-037-06/11</t>
  </si>
  <si>
    <t>SEC.35 W2NE, NW, N2SW, SWSW, NWSE</t>
  </si>
  <si>
    <t>MSES056853</t>
  </si>
  <si>
    <t>ES-057-06/11</t>
  </si>
  <si>
    <t>GRENADA</t>
  </si>
  <si>
    <t>MERIDIAN CHOCTAW, T23N R6E</t>
  </si>
  <si>
    <t>SEC.14, SWSW</t>
  </si>
  <si>
    <t>MSES056854</t>
  </si>
  <si>
    <t>ES-058-06/11</t>
  </si>
  <si>
    <t>MERIDIAN CHOCTAW, T5N R8E</t>
  </si>
  <si>
    <t>SEC.2 NWNE less 3.72 acres described as beginning at a point 7.50 chains S of NW corner of NWNE, thence E 8.18 chains, thence S 4.54 chains, thence W 8.18 chains, thence N 4.54 chains to POB</t>
  </si>
  <si>
    <t>MSES056855</t>
  </si>
  <si>
    <t>ES-059-06/11</t>
  </si>
  <si>
    <t>SEC.7, ALL</t>
  </si>
  <si>
    <t>MSES056856</t>
  </si>
  <si>
    <t>ES-060-06/11</t>
  </si>
  <si>
    <t>SEE ATTACHED PAGE</t>
  </si>
  <si>
    <t>MSES056857</t>
  </si>
  <si>
    <t>ES-061-06/11</t>
  </si>
  <si>
    <t>SEC.21 NENE S2NE NESW NWSE</t>
  </si>
  <si>
    <t>MSES056858</t>
  </si>
  <si>
    <t>ES-062-06/11</t>
  </si>
  <si>
    <t>SEC.22, S2SWNE, SENW</t>
  </si>
  <si>
    <t>MSES056859</t>
  </si>
  <si>
    <t>ES-063-06/11</t>
  </si>
  <si>
    <t>SEC.25 N2NE SW W2SE SEC.26 NENW SESW NESE S2SE SEC.30 SENW</t>
  </si>
  <si>
    <t>MSES056860</t>
  </si>
  <si>
    <t>ES-064-06/11</t>
  </si>
  <si>
    <t>MSES056861</t>
  </si>
  <si>
    <t>ES-065-06/11</t>
  </si>
  <si>
    <t>SEC. 34 E2E2</t>
  </si>
  <si>
    <t>MSES056862</t>
  </si>
  <si>
    <t>ES-066-06/11</t>
  </si>
  <si>
    <t>SEC.35 SWNE SENE LESS NE 10 ACRES SEC.36 W2NE N2NW SENW E2SW SE</t>
  </si>
  <si>
    <t>MSES056946</t>
  </si>
  <si>
    <t>ES-150-06/11</t>
  </si>
  <si>
    <t>MERIDIAN ST.STEPHENS, T5S R9W</t>
  </si>
  <si>
    <t xml:space="preserve">SEC.1 ALL  </t>
  </si>
  <si>
    <t>MSES056947</t>
  </si>
  <si>
    <t>ES-151-06/11</t>
  </si>
  <si>
    <t>SEC.2 ALL</t>
  </si>
  <si>
    <t>MSES056948</t>
  </si>
  <si>
    <t>ES-152-06/11</t>
  </si>
  <si>
    <t>SEC.3 N2 E2SW E2SE NWSE W2SWSE</t>
  </si>
  <si>
    <t>MSES056949</t>
  </si>
  <si>
    <t>ES-153-06/11</t>
  </si>
  <si>
    <t>SEC.4 E2NE NENW SW W2SE</t>
  </si>
  <si>
    <t>MSES056950</t>
  </si>
  <si>
    <t>ES-154-06/11</t>
  </si>
  <si>
    <t>SEC.5 E2SE SEC.7 N2</t>
  </si>
  <si>
    <t>MSES056951</t>
  </si>
  <si>
    <t>ES-155-06/11</t>
  </si>
  <si>
    <t>MSES056952</t>
  </si>
  <si>
    <t>ES-156-06/11</t>
  </si>
  <si>
    <t>MSES056953</t>
  </si>
  <si>
    <t>ES-157-06/11</t>
  </si>
  <si>
    <t>SEC.12 N2 NESE SEC.13 N2 N2SE SESE</t>
  </si>
  <si>
    <t>MSES056954</t>
  </si>
  <si>
    <t>ES-158-06/11</t>
  </si>
  <si>
    <t>SEC. 14 ALL SEC.15 NE, E2NW, N2SE</t>
  </si>
  <si>
    <t>MSES056955</t>
  </si>
  <si>
    <t>ES-159-06/11</t>
  </si>
  <si>
    <t>SEC. 17 ALL SEC.18 ALL</t>
  </si>
  <si>
    <t>MSES056956</t>
  </si>
  <si>
    <t>ES-160-06/11</t>
  </si>
  <si>
    <t>SEC.19 ALL SEC.20 ALL</t>
  </si>
  <si>
    <t>MSES056957</t>
  </si>
  <si>
    <t>ES-161-06/11</t>
  </si>
  <si>
    <t>SEC.21 E2NE SEC.23 N2 NESW S2SW SE SEC.24 ALL</t>
  </si>
  <si>
    <t>MSES056958</t>
  </si>
  <si>
    <t>ES-162-06/11</t>
  </si>
  <si>
    <t>SEC.25 N2NE SENE NENW W2NW N2SW SESW E2SE SEC.26 N2SW W2SE</t>
  </si>
  <si>
    <t>MSES056959</t>
  </si>
  <si>
    <t>ES-163-06/11</t>
  </si>
  <si>
    <t>SEC.27 E2E2 NWNW SEC.28 NWNW SEC.29 N2 SW N2SE SESE</t>
  </si>
  <si>
    <t>MSES056960</t>
  </si>
  <si>
    <t>ES-164-06/11</t>
  </si>
  <si>
    <t>SEC.30 ALL SEC.31 NE N2NW, SENW, E2SW, N2NESE, S2SE</t>
  </si>
  <si>
    <t>MSES056961</t>
  </si>
  <si>
    <t>ES-165-06/11</t>
  </si>
  <si>
    <t>SEC. 33 ALL</t>
  </si>
  <si>
    <t>MSES056962</t>
  </si>
  <si>
    <t>ES-166-06/11</t>
  </si>
  <si>
    <t>SEC. 35 ALL SEC.36 SENW S2</t>
  </si>
  <si>
    <t>MSES056963</t>
  </si>
  <si>
    <t>ES-167-06/11</t>
  </si>
  <si>
    <t>SEC. 5 SWSE SEC.7 E2 NWNW S2NW N2SW SESW SEC.8 SW</t>
  </si>
  <si>
    <t>MSES056964</t>
  </si>
  <si>
    <t>ES-168-06/11</t>
  </si>
  <si>
    <t>MSES056965</t>
  </si>
  <si>
    <t>ES-169-06/11</t>
  </si>
  <si>
    <t>SEC.5 TRACT H-1028 (LOTS 1 &amp; 7)</t>
  </si>
  <si>
    <t>MSES056966</t>
  </si>
  <si>
    <t>ES-170-06/11</t>
  </si>
  <si>
    <t>WILKINSON</t>
  </si>
  <si>
    <t>SEC. 22 TRACT H-1088</t>
  </si>
  <si>
    <t>MSES056967</t>
  </si>
  <si>
    <t>ES-171-06/11</t>
  </si>
  <si>
    <t>SEC. 25 NENE S2NE, W2 SE SEC.26 N2SWSW</t>
  </si>
  <si>
    <t>MSES056968</t>
  </si>
  <si>
    <t>ES-172-06/11</t>
  </si>
  <si>
    <t>SEC.33 NWSW</t>
  </si>
  <si>
    <t>MSES056969</t>
  </si>
  <si>
    <t>ES-173-06/11</t>
  </si>
  <si>
    <t>MSES056970</t>
  </si>
  <si>
    <t>ES-174-06/11</t>
  </si>
  <si>
    <t>SEC.14 E2NESE 50% US MINERAL INTEREST</t>
  </si>
  <si>
    <t>MSES056971</t>
  </si>
  <si>
    <t>ES-175-06/11</t>
  </si>
  <si>
    <t>SEC.15 NWSW 50% US MINERAL INTEREST</t>
  </si>
  <si>
    <t>MSES056972</t>
  </si>
  <si>
    <t>ES-176-06/11</t>
  </si>
  <si>
    <t>SEC.1 ALL SEC.2 N2, S2SW, N2SE, SESE</t>
  </si>
  <si>
    <t>MSES056973</t>
  </si>
  <si>
    <t>ES-177-06/11</t>
  </si>
  <si>
    <t>SEC.3 W2NE SENE W2 SE LESS TRACT H-28D SEC.4 N2NE SWNE SENE LESS 0.49 ACRES FOR COMMUNITY CEMETERY. NESE E2NWSE E2SWSE SEC.5 NENW W2W2 SESW W2SE</t>
  </si>
  <si>
    <t>MSES056974</t>
  </si>
  <si>
    <t>ES-178-06/11</t>
  </si>
  <si>
    <t>SEC.6 W2NE NENW S2NW S2 SEC.7 ALL</t>
  </si>
  <si>
    <t>MSES056976</t>
  </si>
  <si>
    <t>ES-180-06/11</t>
  </si>
  <si>
    <t>SEC.10 ALL SEC.11 N2NE NW W2SW SESW SWSE</t>
  </si>
  <si>
    <t>MSES056977</t>
  </si>
  <si>
    <t>ES-181-06/11</t>
  </si>
  <si>
    <t>SEC.12 N2 NESE SEC.13 W2NW SEC.14 ALL</t>
  </si>
  <si>
    <t>MSES056980</t>
  </si>
  <si>
    <t>ES-184-06/11</t>
  </si>
  <si>
    <t>SEC.4 W2NE NW E2W2SW S2W2SWSW SEC.5 N2 SW W2NESE W2SE SESE SEC.6 ALL</t>
  </si>
  <si>
    <t>MSES056981</t>
  </si>
  <si>
    <t>ES-185-06/11</t>
  </si>
  <si>
    <t>SEC.7 N2 NESE E2NWSE LESS 2 ACRES IN A STRIP OF UNIFORM WIDTH ACROSS SOUTH END; SEC.8 N2 LESS 1 ACRE IN SE CORNER N2SW NWSE 1 ACRE IN FORM OF SQUARE IN NW CORNER OF NESE SEC.9 NENW SWNW</t>
  </si>
  <si>
    <t>MSES056982</t>
  </si>
  <si>
    <t>ES-186-06/11</t>
  </si>
  <si>
    <t>MSES056983</t>
  </si>
  <si>
    <t>ES-187-06/11</t>
  </si>
  <si>
    <t>SEC.20 N2SE NWNW W2SW SESW</t>
  </si>
  <si>
    <t>MSES056984</t>
  </si>
  <si>
    <t>ES-188-06/11</t>
  </si>
  <si>
    <t>SEC.22 TRACT H-1 OR LOTS 1-5 W2 OF LOTS 6 LOTS 8 &amp; 13 SEC.23 TRACT H-1 OR ALL</t>
  </si>
  <si>
    <t>MSES056985</t>
  </si>
  <si>
    <t>ES-189-06/11</t>
  </si>
  <si>
    <t>SEC.27 TRACT H-20B &amp; H-82</t>
  </si>
  <si>
    <t>MSES056986</t>
  </si>
  <si>
    <t>ES-190-06/11</t>
  </si>
  <si>
    <t>SEC.28 TRACT H-20B SEC,29 TRACT H-20B</t>
  </si>
  <si>
    <t>MSES056987</t>
  </si>
  <si>
    <t>ES-191-06/11</t>
  </si>
  <si>
    <t>SEC. 30 TRACT H-20B SEC.48 TRACT H-1 OR N2NE W2NW SEC.49 N2N2 W2SWNE NWSE N2NESE (TRACTS H-1 &amp; H-131)</t>
  </si>
  <si>
    <t>MSES056988</t>
  </si>
  <si>
    <t>ES-192-06/11</t>
  </si>
  <si>
    <t>SEC.36 N2NE NENW SWNW NESW S2SW SEC.37 ALL (TRACT H-1, H-146)</t>
  </si>
  <si>
    <t>MSES056989</t>
  </si>
  <si>
    <t>ES-193-06/11</t>
  </si>
  <si>
    <t>SEC. 38 N2 LOT 2 N2NW AND FRACTIONAL SWNW IN LOT 3 , LOT 4, S2 LOT 5 (SWSE), S2 LOT 6 (SESE) SEC.47 NWNE NENW S2SW W2SE SESE(TRACTS H-13 &amp; H-13 A)</t>
  </si>
  <si>
    <t>MSES056990</t>
  </si>
  <si>
    <t>ES-194-06/11</t>
  </si>
  <si>
    <t>SEC.2 NENW SWNW SWSW SWSE</t>
  </si>
  <si>
    <t>MSES056991</t>
  </si>
  <si>
    <t>ES-195-06/11</t>
  </si>
  <si>
    <t>SEC. 7 PART W OF ROCKY RUN IN NWNE S2NE SESW</t>
  </si>
  <si>
    <t>MSES057015</t>
  </si>
  <si>
    <t>AMENDED ACREAGE:SEPT 2011</t>
  </si>
  <si>
    <t>SEC.3 ALL (TRACT H-20B) SEC.4 ALL (TRACT H-20B) SEC.7 ALL (TRACT H-20B) FOR SEC. 8 &amp; 9 - SEE ATTACHED PAGE</t>
  </si>
  <si>
    <t>MSES057017</t>
  </si>
  <si>
    <t>ES-221-06/11</t>
  </si>
  <si>
    <t>SEC.18 ALL (LOTS 1-3, TRACT H-84) SEC.19 TRACT H-82</t>
  </si>
  <si>
    <t>MSES057018</t>
  </si>
  <si>
    <t>ES-222-06/11</t>
  </si>
  <si>
    <t>MSES057019</t>
  </si>
  <si>
    <t>AMENDED ACREAGE :SEPT2011</t>
  </si>
  <si>
    <t>SEC.24 PART OF TRACT H-20B BEING ALL THAT PART OF LOTS 1,3 &amp;4 LYING SOUTH AND EAST OF FS ROAD 172</t>
  </si>
  <si>
    <t>MSES057020</t>
  </si>
  <si>
    <t>ES-224-06/11</t>
  </si>
  <si>
    <t>SEC.32 TRACT H-20B, SEC.52 TRACT H-20B TRACT H-84 SEC.58 TRACT H-20B</t>
  </si>
  <si>
    <t>MSES057022</t>
  </si>
  <si>
    <t>CANCELLED : TB REFUNDED $ 1867 AS PER LETTER RECEIVED ON 14 SEPT 2011</t>
  </si>
  <si>
    <t>WE NO LONGER OWN THIS LEASE - CANCELLED BY BLM-ES</t>
  </si>
  <si>
    <t>MSES057047</t>
  </si>
  <si>
    <t>ES-230-06/11</t>
  </si>
  <si>
    <t>SEC.15 N2 NESW S2SW SE</t>
  </si>
  <si>
    <t xml:space="preserve">TO BE REFUNDED BY BLM-ES </t>
  </si>
  <si>
    <t>NMNM126964</t>
  </si>
  <si>
    <t>NM-201107-003</t>
  </si>
  <si>
    <t>SEC.27 SW; 028 ALL; 033 N2, SW; 034 N2;</t>
  </si>
  <si>
    <t>NMNM126978</t>
  </si>
  <si>
    <t>NM-201107-017</t>
  </si>
  <si>
    <t>SEC.009 E2NE, SWNE;</t>
  </si>
  <si>
    <t>CANCELLED : TB REFUNDED $ 565 AS PER LETTER RECEIVED ON AUG 29 2011</t>
  </si>
  <si>
    <t>CANCELLED : TB REFUNDED $ 1865 AS PER LETTER RECEIVED ON AUG 29 2011</t>
  </si>
  <si>
    <t>TXNM126988</t>
  </si>
  <si>
    <t>NM-201107-027</t>
  </si>
  <si>
    <t>TRACT W-K 1023;</t>
  </si>
  <si>
    <t>SEE ATTACHED FOR METES AND BOUNDS WITH MAP;</t>
  </si>
  <si>
    <t>TXNM126989</t>
  </si>
  <si>
    <t>NM-201107-028</t>
  </si>
  <si>
    <t>TRACT S-2K-1 PARCEL #14;</t>
  </si>
  <si>
    <t>ES-019-09/11</t>
  </si>
  <si>
    <t>SEC.38, SWSE LESS THE EAST 25 ACRES; SEC.40, ALL</t>
  </si>
  <si>
    <t>MSES057092</t>
  </si>
  <si>
    <t>ES-020-09/11</t>
  </si>
  <si>
    <t>SEC.44, N2NE, SENE, NW, NWSW, S2SW</t>
  </si>
  <si>
    <t>MSES057093</t>
  </si>
  <si>
    <t>ES-021-09/11</t>
  </si>
  <si>
    <t>SEC.45, N2NE W2 S2NESSE W2SE SESE</t>
  </si>
  <si>
    <t>MSES057094</t>
  </si>
  <si>
    <t>ES-022-09/11</t>
  </si>
  <si>
    <t>SEE ATTACHED PAGE (LEASE)</t>
  </si>
  <si>
    <t>MSES057095</t>
  </si>
  <si>
    <t>ES-023-09/11</t>
  </si>
  <si>
    <t>MSES057100</t>
  </si>
  <si>
    <t>ES-028-09/11</t>
  </si>
  <si>
    <t>MSES057101</t>
  </si>
  <si>
    <t>ES-029-09/11</t>
  </si>
  <si>
    <t>MSES057102</t>
  </si>
  <si>
    <t>ES-030-09/11</t>
  </si>
  <si>
    <t>SEC.25, NE LESS S2SWNE, W2, SE LESS N2NWSE</t>
  </si>
  <si>
    <t>MSES057103</t>
  </si>
  <si>
    <t>ES-031-09/11</t>
  </si>
  <si>
    <t>SEC.26 N2 N2SW SESW SE</t>
  </si>
  <si>
    <t>MSES057108</t>
  </si>
  <si>
    <t>ES-036-09/11</t>
  </si>
  <si>
    <t>MSES057109</t>
  </si>
  <si>
    <t>ES-037-09/11</t>
  </si>
  <si>
    <t>MSES057110</t>
  </si>
  <si>
    <t>ES-038-09/11</t>
  </si>
  <si>
    <t>MSES057111</t>
  </si>
  <si>
    <t>ES-039-09/11</t>
  </si>
  <si>
    <t>MSES057112</t>
  </si>
  <si>
    <t>ES-040-09/11</t>
  </si>
  <si>
    <t>SEC.5 NE NESW SEC.9 E2SENE NESE, THAT PART OF SWNE AND NWSE LYING EAST OF CREEK</t>
  </si>
  <si>
    <t>MSES057113</t>
  </si>
  <si>
    <t>ES-041-09/11</t>
  </si>
  <si>
    <t>SEC.10 ALL</t>
  </si>
  <si>
    <t>MSES057114</t>
  </si>
  <si>
    <t>ES-042-09/11</t>
  </si>
  <si>
    <t>MSES057120</t>
  </si>
  <si>
    <t>ES-048-09/11</t>
  </si>
  <si>
    <t>SEC.28, ALL, LESS  AND EXCLUDING THE SWNW,NWSW,SWSW, AND THAT PART OF SESW LYING WEST OF MARY ROAD</t>
  </si>
  <si>
    <t>MSES057267</t>
  </si>
  <si>
    <t>SEGREGATED FROM MSES057120</t>
  </si>
  <si>
    <t xml:space="preserve">SEC.28, E2SWNW </t>
  </si>
  <si>
    <t>MSES057126</t>
  </si>
  <si>
    <t>ES-054-09/11</t>
  </si>
  <si>
    <t>SEC.17 SESW</t>
  </si>
  <si>
    <t>MSES057127</t>
  </si>
  <si>
    <t>ES-055-09/11</t>
  </si>
  <si>
    <t>SEC.4 NW; SEC.5 NWNE N2NW SWNW NWSW SWSW THAT PART OF SESW LYING WEST OF PUBLIC ROAD</t>
  </si>
  <si>
    <t>MSES057128</t>
  </si>
  <si>
    <t>ES-056-09/11</t>
  </si>
  <si>
    <t>SEC.6 NE E2SE SEC.7 TRACTS H-2d and H-16 ; SEC.8 S2SE</t>
  </si>
  <si>
    <t>MSES057137</t>
  </si>
  <si>
    <t>ES-065-09/11</t>
  </si>
  <si>
    <t>MSES057138</t>
  </si>
  <si>
    <t>ES-066-09/11</t>
  </si>
  <si>
    <t>SEC.20 W2NE NW N2SW SWSW W2SESW SESESW NWSE</t>
  </si>
  <si>
    <t>MSES057140</t>
  </si>
  <si>
    <t>ES-068-09/11</t>
  </si>
  <si>
    <t>SEC.29 SWNE SEC.30 NE NESW S2SW N2SE SWSE , THAT PART IN SESE LYING WEST OF PUBLIC ROAD AND CONTAINING 13.52 ACRES</t>
  </si>
  <si>
    <t>MSES057141</t>
  </si>
  <si>
    <t>ES-069-09/11</t>
  </si>
  <si>
    <t>SEC.31, E2, NENW, SW</t>
  </si>
  <si>
    <t>NMNM127451</t>
  </si>
  <si>
    <t>SEC. 013 W2E2</t>
  </si>
  <si>
    <t>NMNM127452</t>
  </si>
  <si>
    <t>SEC.013 NE,S2</t>
  </si>
  <si>
    <t>LAES57204</t>
  </si>
  <si>
    <t>ES-001-12/11</t>
  </si>
  <si>
    <t>RAPIDES PARISH</t>
  </si>
  <si>
    <t>SEC.6 PART OF TRACT E-1 LING WEST OF HWY 165 IN THE E2 AND THE SENW CONTAINING 247.72 ACRES SW; SWNW</t>
  </si>
  <si>
    <t>LAES57205</t>
  </si>
  <si>
    <t>ES-002-12/11</t>
  </si>
  <si>
    <t>SEC.7 NWNE S2NE NW N2S2</t>
  </si>
  <si>
    <t>LAES57206</t>
  </si>
  <si>
    <t>ES-003-12/11</t>
  </si>
  <si>
    <t>SEC.8 PART OF TRACT E-2 IN SWNW LYING WEST OF HWY. 165 CONTAINING 8.87 ACRES</t>
  </si>
  <si>
    <t>MSES57207</t>
  </si>
  <si>
    <t>ES-004-12/11</t>
  </si>
  <si>
    <t>SEC.34 NWNE</t>
  </si>
  <si>
    <t>MSES57208</t>
  </si>
  <si>
    <t>ES-005-12/11</t>
  </si>
  <si>
    <t>SEC.4 LOTS 2 &amp; 4</t>
  </si>
  <si>
    <t>MSES57209</t>
  </si>
  <si>
    <t>ES-006-12/11</t>
  </si>
  <si>
    <t>SEC.14 E2 N2NW SW LESS 12.09 ACRES ON N SIDE</t>
  </si>
  <si>
    <t>MSES57210</t>
  </si>
  <si>
    <t>ES-007-12/11</t>
  </si>
  <si>
    <t>SEC.15 SW</t>
  </si>
  <si>
    <t>MSES57211</t>
  </si>
  <si>
    <t>ES-008-12/11</t>
  </si>
  <si>
    <t>SEC.17 PART SESW; SWSW LESS 2 ACCRES FOR PERRYTOWN CHURCH</t>
  </si>
  <si>
    <t>MSES57212</t>
  </si>
  <si>
    <t>ES-009-12/11</t>
  </si>
  <si>
    <t>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t>
  </si>
  <si>
    <t>MSES57213</t>
  </si>
  <si>
    <t>ES-010-12/11</t>
  </si>
  <si>
    <t xml:space="preserve">SEC.19 SW NESE LESS THAT PART LYING W OF PUBLIC ROAD IN NW CORNER SWSE </t>
  </si>
  <si>
    <t>MSES57214</t>
  </si>
  <si>
    <t>ES-011-12/11</t>
  </si>
  <si>
    <t>SEC.20 ALL</t>
  </si>
  <si>
    <t>MSES57215</t>
  </si>
  <si>
    <t>ES-012-12/11</t>
  </si>
  <si>
    <t>SEC.21 ALL LESS 25.07 ACRE EXCEPTION IN S2NW</t>
  </si>
  <si>
    <t>MSES57216</t>
  </si>
  <si>
    <t>ES-013-12/11</t>
  </si>
  <si>
    <t>SEE ATTACHED PAGE (ON THE LEASE)</t>
  </si>
  <si>
    <t>MSES57217</t>
  </si>
  <si>
    <t>ES-014-12/11</t>
  </si>
  <si>
    <t>SEC.23 W2NE SENE NW S2</t>
  </si>
  <si>
    <t>MSES57218</t>
  </si>
  <si>
    <t>ES-015-12/11</t>
  </si>
  <si>
    <t>SEC.24 ALL THAT PART OF TRACTS H-1083 H-334A AND H-1093 LYING IN SEC.24</t>
  </si>
  <si>
    <t>MSES57219</t>
  </si>
  <si>
    <t>ES-016-12/11</t>
  </si>
  <si>
    <t>SEC.25 N2NENE W2NW THAT PART OF TRACT H-1093 LYING IN THE SWSW CONTAINING 23.45 ACRES</t>
  </si>
  <si>
    <t>MSES57220</t>
  </si>
  <si>
    <t>ES-017-12/11</t>
  </si>
  <si>
    <t>SEC.28 N2 W2SW SE4</t>
  </si>
  <si>
    <t>MSES57221</t>
  </si>
  <si>
    <t>ES-018-12/11</t>
  </si>
  <si>
    <t>SEC.29 ALL</t>
  </si>
  <si>
    <t>MSES57222</t>
  </si>
  <si>
    <t>ES-019-12/11</t>
  </si>
  <si>
    <t>SEC.33 W2NW</t>
  </si>
  <si>
    <t>MSES57223</t>
  </si>
  <si>
    <t>ES-020-12/11</t>
  </si>
  <si>
    <t>SEC.34 E2NE SWNE W2 SE</t>
  </si>
  <si>
    <t>MSES57224</t>
  </si>
  <si>
    <t>ES-021-12/11</t>
  </si>
  <si>
    <t>SEC.35 E2NENE W2SW</t>
  </si>
  <si>
    <t>MSES57225</t>
  </si>
  <si>
    <t>ES-022-12/11</t>
  </si>
  <si>
    <t>SEC.36 NENE S2NE NWNW LESS 2 ACRES IN SE CORNER SWNW</t>
  </si>
  <si>
    <t>MSES57226</t>
  </si>
  <si>
    <t>ES-023-12/11</t>
  </si>
  <si>
    <t>SEC.37 S2NENE NWNE SENE N2NW SWNW</t>
  </si>
  <si>
    <t>MSES57227</t>
  </si>
  <si>
    <t>ES-024-12/11</t>
  </si>
  <si>
    <t>SEC.38 NENE NW</t>
  </si>
  <si>
    <t>MSES57228</t>
  </si>
  <si>
    <t>ES-025-12/11</t>
  </si>
  <si>
    <t>SEC.41 NESW</t>
  </si>
  <si>
    <t>MSES57229</t>
  </si>
  <si>
    <t>ES-026-12/11</t>
  </si>
  <si>
    <t>SEC.8 SWSE</t>
  </si>
  <si>
    <t>MSES57230</t>
  </si>
  <si>
    <t>ES-027-12/11</t>
  </si>
  <si>
    <t>SEC.21 S2NE NENE ALL THAT PART OF E2NWNE NORTH OF PUBLIC ROAD, ALL THAT PART OF SENW OF HIGHWAY 49</t>
  </si>
  <si>
    <t>MSES57231</t>
  </si>
  <si>
    <t>ES-028-12/11</t>
  </si>
  <si>
    <t>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t>
  </si>
  <si>
    <t>MSES57232</t>
  </si>
  <si>
    <t>ES-029-12/11</t>
  </si>
  <si>
    <t xml:space="preserve">SEC.5 NWNE LESS THAT PART DESCRIBED AS BEGINNING AT THE NORTHWEST CORNER AND RUNNING SOUTH 220 YARDS, THENCE EAST 70 YARDS, THENCE NORTH 220 YARDS, THENCE WEST 70 YARDS TO THE POINT OF BEGINNNING </t>
  </si>
  <si>
    <t>MSES57233</t>
  </si>
  <si>
    <t>ES-030-12/11</t>
  </si>
  <si>
    <t>SEC.1 SENW NESW E2NWSW</t>
  </si>
  <si>
    <t>MSES57234</t>
  </si>
  <si>
    <t>ES-031-12/11</t>
  </si>
  <si>
    <t>SEC.14 SWNW SEC.15 SENE AND BEGINNING AT SOUTHWEST CORNER OF NENE RUNNING NORTH 220 YARDS THENCE EAST 154 YARDS THENCE 220 YARDS THENCE WEST 154 YARDS</t>
  </si>
  <si>
    <t>MSES57235</t>
  </si>
  <si>
    <t>ES-032-12/11</t>
  </si>
  <si>
    <t>SEC.29 10 ACRES DESCRIBED AS THAT PART OF THE NEWSW LYING NORTH OF PUBLIC ROAD SEC.32 TRACT BEGINNING AT A POINT 220 YARDS WEST OF THE SOUTHEAST CORNER OF THE SWSE THENCE 220 YARDS NORTH THENCE WEST 70 YARDS THENCE SOUTH 220 YARDS THENCE EAST 70 YARDS TO THE POINT OF THE BEGINNING</t>
  </si>
  <si>
    <t>MSES57236</t>
  </si>
  <si>
    <t>ES-033-12/11</t>
  </si>
  <si>
    <t>SEC.20 S2NE S2SW</t>
  </si>
  <si>
    <t>MSES57237</t>
  </si>
  <si>
    <t>ES-034-12/11</t>
  </si>
  <si>
    <t>SEC.12 PART OF TRACT D-365 LYING IN THE NWNE LESS AND EXCEPT 4 AC IN SE PT S2NE NENW N2N2SENW N2SE</t>
  </si>
  <si>
    <t>MSES57238</t>
  </si>
  <si>
    <t>ES-035-12/11</t>
  </si>
  <si>
    <t>MSES57239</t>
  </si>
  <si>
    <t>ES-036-12/11</t>
  </si>
  <si>
    <t>MSES57240</t>
  </si>
  <si>
    <t>ES-037-12/11</t>
  </si>
  <si>
    <t>MSES57241</t>
  </si>
  <si>
    <t>ES-038-12/11</t>
  </si>
  <si>
    <t>MSES57242</t>
  </si>
  <si>
    <t>ES-039-12/11</t>
  </si>
  <si>
    <t>SEC.25 NWNW SEC.26 NENE</t>
  </si>
  <si>
    <t>MSES57243</t>
  </si>
  <si>
    <t>ES-040-12/11</t>
  </si>
  <si>
    <t>ALES57296</t>
  </si>
  <si>
    <t>ES-013-03/12</t>
  </si>
  <si>
    <t>SEC.36 SENE</t>
  </si>
  <si>
    <t>ALES57297</t>
  </si>
  <si>
    <t>ES-014-03/12</t>
  </si>
  <si>
    <t xml:space="preserve">SEE LEASE FOR LAND DESCRIPTION &amp; STIPULATIONS </t>
  </si>
  <si>
    <t>ALES57302</t>
  </si>
  <si>
    <t>ES-019-03/12</t>
  </si>
  <si>
    <t>SEC.30 FRACTIONAL W2</t>
  </si>
  <si>
    <t>ALES57298</t>
  </si>
  <si>
    <t>ES-015-03/12</t>
  </si>
  <si>
    <t>SEC.9 ALL, SEC.21 ALL, SEC.33, E2 NWNW E2W2</t>
  </si>
  <si>
    <t>ALES57285</t>
  </si>
  <si>
    <t>ES-002-03/12</t>
  </si>
  <si>
    <t>ALES57287</t>
  </si>
  <si>
    <t>ES-004-03/12</t>
  </si>
  <si>
    <t>SEC.13 S2, SEC.14 S2SW, SEC.23 ALL, SEC.24,W2 SE N2NE SENE, SEC.25 ALL</t>
  </si>
  <si>
    <t>ALES57300</t>
  </si>
  <si>
    <t>ES-017-03/12</t>
  </si>
  <si>
    <t>SEC. 31, S2NW N2SW</t>
  </si>
  <si>
    <t>ALES57299</t>
  </si>
  <si>
    <t>ES-016-03/12</t>
  </si>
  <si>
    <t>SEC.19 ALL SEC.30 ALL SEC.31 E2 N2NW</t>
  </si>
  <si>
    <t>ALES57301</t>
  </si>
  <si>
    <t>ES-018-03/12</t>
  </si>
  <si>
    <t>SEC.34 E2SE</t>
  </si>
  <si>
    <t>ALES57286</t>
  </si>
  <si>
    <t>ES-003-03/12</t>
  </si>
  <si>
    <t>SEC.22 S2</t>
  </si>
  <si>
    <t>ALES57292</t>
  </si>
  <si>
    <t>ES-009-03/12</t>
  </si>
  <si>
    <t>SEC.25 ALL, SEC.26 W2NE EXPECTING 0.498 AC. QUITCLAIMED TO JUDY V GODWIN, NW S2, SEC.27 ALL, SEC.28 W2NE NESE W2SE W2</t>
  </si>
  <si>
    <t>ALES57293</t>
  </si>
  <si>
    <t>ES-010-03/12</t>
  </si>
  <si>
    <t>SEC.29 E2 E2SW, SEC.32 NE SW W2SE SESE NESE, SEC.33 W2 NE W2SE</t>
  </si>
  <si>
    <t>ALES57294</t>
  </si>
  <si>
    <t>ES-011-03/12</t>
  </si>
  <si>
    <t>SEC.31 ALL</t>
  </si>
  <si>
    <t>ALES57295</t>
  </si>
  <si>
    <t>ES-012-03/12</t>
  </si>
  <si>
    <t>SEC.34 E2 NW E2SW SEC.35 ALL SEC.36 N2NE,SWNE,NW S2</t>
  </si>
  <si>
    <t>ALES57284</t>
  </si>
  <si>
    <t>ES-001-03/12</t>
  </si>
  <si>
    <t>PICKENS</t>
  </si>
  <si>
    <t>SEC.8 SWSW SEC.17 S2NW SEC.18 N2NE</t>
  </si>
  <si>
    <t>ALES57303</t>
  </si>
  <si>
    <t>ES-020-03/12</t>
  </si>
  <si>
    <t>BIBB</t>
  </si>
  <si>
    <t>MSES57385</t>
  </si>
  <si>
    <t>ES-093-03/12</t>
  </si>
  <si>
    <t>SEC.20 N2NE SWNW SESW</t>
  </si>
  <si>
    <t>MSES57372</t>
  </si>
  <si>
    <t>ES-089-03/12</t>
  </si>
  <si>
    <t>MSES57386</t>
  </si>
  <si>
    <t>ES-094-03/12</t>
  </si>
  <si>
    <t>SEC.30 NENE SWNE NESENW S2SENW NESW E2NWSW SWNWSW S2SW SWSE</t>
  </si>
  <si>
    <t>MSES57371</t>
  </si>
  <si>
    <t>ES-088-03/12</t>
  </si>
  <si>
    <t>SEC.19 W2NE SENE W2NW SENW SW, SEC.21 N2N2 SWNE NESE LESS THAN 10 ACQ IN SQUARE IN NE CORNER S2SE, SEC.22 N2NW,SWNW,N2SENW,SWSW,N2SE,N2SWSE,SESE. SEC.23 N2SW</t>
  </si>
  <si>
    <t>MSES57368</t>
  </si>
  <si>
    <t>ES-085-03/12</t>
  </si>
  <si>
    <t>MSES57366</t>
  </si>
  <si>
    <t>ES-083-03/12</t>
  </si>
  <si>
    <t>SEC.26 E2 E2NW NWNW SWNW LESS A 10 ACRE RECTANGLE STRIP ON THE WEST SIDE; SEC.27, NENE,W2E2,W2,NESE SEC.28 ALL</t>
  </si>
  <si>
    <t>MSES57369</t>
  </si>
  <si>
    <t>ES-086-03/12</t>
  </si>
  <si>
    <t>SEC.7 ALL, SEC.8 ALL, SEC.9 NE NWNW S2NW, S2 SEC.10 S2NW</t>
  </si>
  <si>
    <t>MSES57365</t>
  </si>
  <si>
    <t>ES-082-03/12</t>
  </si>
  <si>
    <t>SEC.25 NW,NWSW</t>
  </si>
  <si>
    <t>MSES57364</t>
  </si>
  <si>
    <t>ES-081-03/12</t>
  </si>
  <si>
    <t>SEC.22 ALL, SEC.23 N2 N2SW SWSW S2SE, SEC.24 ALL</t>
  </si>
  <si>
    <t>MSES57363</t>
  </si>
  <si>
    <t>ES-080-03/12</t>
  </si>
  <si>
    <t>SEC.17 N2 SW W2SE, SEC.19 ALL, SEC.20 ALL</t>
  </si>
  <si>
    <t>MSES57370</t>
  </si>
  <si>
    <t>ES-087-03/12</t>
  </si>
  <si>
    <t>MSES57373</t>
  </si>
  <si>
    <t>ES-090-03/12</t>
  </si>
  <si>
    <t>SEC.32 W2NE</t>
  </si>
  <si>
    <t>MSES57361</t>
  </si>
  <si>
    <t>ES-078-03/12</t>
  </si>
  <si>
    <t>SEC.5 NE SWNW SW N2SE SEC.6 NWNE S2N2 SW W2SE SESE SEC.7 N2 W2SW SE SEC.8 ALL</t>
  </si>
  <si>
    <t>MSES57362</t>
  </si>
  <si>
    <t>ES-079-03/12</t>
  </si>
  <si>
    <t>SEC.10 N2NE SWNE S2NW N2SW SWSW NWSE S2SE SEC.12 ALL SEC.13 ALL SEC.15 N2NE SENE E2SE</t>
  </si>
  <si>
    <t>MSES57360</t>
  </si>
  <si>
    <t>ES-077-03/12</t>
  </si>
  <si>
    <t>SEC.5 SWSE</t>
  </si>
  <si>
    <t>MSES57356</t>
  </si>
  <si>
    <t>ES-073-03/12</t>
  </si>
  <si>
    <t>SEC.12 E2SESE SEC.33 10 ACRES IN FORM OF A SQUARE IN NE CORNER OF SENW, THE SOUTH 5 ACRES OF EAST 10 ACRES OF SENW, SEC.35 5 ACRES DESCRIBED AS BEG. AT SW CORNER OF SWNE, E 220 YARD, N 110 YARDS, W 220 YARDS, S 110 YARDS TO POB</t>
  </si>
  <si>
    <t>MSES57359</t>
  </si>
  <si>
    <t>ES-076-03/12</t>
  </si>
  <si>
    <t xml:space="preserve">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t>
  </si>
  <si>
    <t>MSES57358</t>
  </si>
  <si>
    <t>ES-075-03/12</t>
  </si>
  <si>
    <t>SEC.30 W2SE,W2SW LESS 8 ACRES IN NW CORNER DESCRIBED AS FOLLOWS BEG AT NW CORNER OF SW THENCE S 9.65 CHAINS THENCE E 8.29 CHAINS THENCE N 9.65 CHAINS THENCE W 8.29 CHAINS TO PLACE OF BEG</t>
  </si>
  <si>
    <t>MSES57357</t>
  </si>
  <si>
    <t>ES-074-03/12</t>
  </si>
  <si>
    <t>SEC.8 W2E2 W2</t>
  </si>
  <si>
    <t>LAES57346</t>
  </si>
  <si>
    <t>ES-063-03/12</t>
  </si>
  <si>
    <t>NATCHITOCHES PARISH</t>
  </si>
  <si>
    <t>SEC.15 N2SW, SEC.16 S2NENW,NESENW,S2SENW, SEC.17 N2N2N2NE,SENE,S2SWNE,NW,E 25 ACRES OF NESW,NESESW,N2NWSE,N2S2SE, SEC.18 NE W2 NWSE SESE, SEC.19 E2 LESS 0.35 ACRE IN SESE, NENWNW,SWNWNW,SWNW,N2SENW,SW</t>
  </si>
  <si>
    <t>LAES57340</t>
  </si>
  <si>
    <t>ES-057-03/12</t>
  </si>
  <si>
    <t>SEC.23 ALL, SEC.24 E2 NW E2SW SWSW SEC.25 ALL, SEC.26 THAT PART OF TRACT 402a LYING IN THE S/2N/2 AND E/2NESE LESS &amp; EXCEPT 1.65 ACRES QUITCLAIMED CONTAINING 168.69 ACRES</t>
  </si>
  <si>
    <t>LAES57339</t>
  </si>
  <si>
    <t>ES-056-03/12</t>
  </si>
  <si>
    <t>SEC.14 TRACT K-14 IN SENE</t>
  </si>
  <si>
    <t>LAES57341</t>
  </si>
  <si>
    <t>ES-058-03/12</t>
  </si>
  <si>
    <t>LAES57304</t>
  </si>
  <si>
    <t>ES-021-03/12</t>
  </si>
  <si>
    <t>SEC.14 N2NW SESW SWSE LOTS 2,6,7 SEC.22 NENE SEC.23 SWNW LOT 2 SEC.26 W2,W2NE LOTS 1-5</t>
  </si>
  <si>
    <t>LAES57338</t>
  </si>
  <si>
    <t>ES-055-03/12</t>
  </si>
  <si>
    <t>LAES57336</t>
  </si>
  <si>
    <t>ES-053-03/12</t>
  </si>
  <si>
    <t>SEC.2 LOTS 1,2,3,4 SEC.3 NE W2 SEC.4 N2N2NE SWNE NW S2 SEC.5 N2 NWSW W2SWSW NESE SEC.6 ALL</t>
  </si>
  <si>
    <t>LAES57337</t>
  </si>
  <si>
    <t>ES-054-03/12</t>
  </si>
  <si>
    <t>SEC.7 NW N2SW FRACTION SWSW SESW SEC.8 N2NE NWSW SESW SEC.9 E2 E2E2NENW W2E2NWNW W2NWNW LESS 2.02 ACRES SEC.10 SE SEC.11 LOTS 1,2,3, SW W2SE</t>
  </si>
  <si>
    <t>LAES57342</t>
  </si>
  <si>
    <t>ES-059-03/12</t>
  </si>
  <si>
    <t>SEC.1 ALL SEC.2 ALL SEC.3 ALL</t>
  </si>
  <si>
    <t>LAES57343</t>
  </si>
  <si>
    <t>ES-060-03/12</t>
  </si>
  <si>
    <t>SEC.4 S2NE,S2NENW,W2NW,SENW,S2 SEC.5 ALL SEC.6 ALL</t>
  </si>
  <si>
    <t>LAES57344</t>
  </si>
  <si>
    <t>ES-061-03/12</t>
  </si>
  <si>
    <t>SEC.7 ALL SEC.8 ALL SEC.9 NENE W2NE W2 W2SE SESE SEC.10 N2 NESW S2SW N2SE N2SWSE SESWSE SESE</t>
  </si>
  <si>
    <t>LAES57345</t>
  </si>
  <si>
    <t>ES-062-03/12</t>
  </si>
  <si>
    <t>SEC.11 ALL, SEC.12 N2 LESS SOUTH 14 ACRES IN SENW FR.S2 SEC.13 FR.ALL SEC.14 FR ALL</t>
  </si>
  <si>
    <t>LAES57354</t>
  </si>
  <si>
    <t>ES-071-03/12</t>
  </si>
  <si>
    <t>SEC.15 N2N2, SEC.16 W2NE SEC.18 NENE SEC.20 E2NESE SEC.21 SENE S2NW NWSW E2SE SEC.22 N2NENW E2NWNW SEC.23 S2N2N2 S2N2 N2NENW S2 SEC.24 NE S2NENW SWNW S2SENW S2</t>
  </si>
  <si>
    <t>LAES57353</t>
  </si>
  <si>
    <t>ES-070-03/12</t>
  </si>
  <si>
    <t>SEC.11 ALL SEC.12 ALL SEC.13 N2 N2S2 SESE NWSWSE SEC.14 N2N2NE E2SENE N2NW LESS 1 ACRE IN SECSENENW SENW</t>
  </si>
  <si>
    <t>LAES57352</t>
  </si>
  <si>
    <t>ES-069-03/12</t>
  </si>
  <si>
    <t>SEC.7 ALL, SEC.8 N2NE SWNE S2SENW W2NW SW W2SE S2NESE SESE SEC.9 N2NE NWNW E2SENW N2S2 SESW SWSE SEC.10 NE E2NW NWNW NWSW S2SESW N2SE SESE</t>
  </si>
  <si>
    <t>LAES57350</t>
  </si>
  <si>
    <t>ES-067-03/12</t>
  </si>
  <si>
    <t>LAES57355</t>
  </si>
  <si>
    <t>ES-072-03/12</t>
  </si>
  <si>
    <t>SEC.25 ALL SEC.26 N2NE TRACT K-2 IN SWNE CONTAINING 19.87 ACRES W2 LESS 140 ACRES WEST OF LA HWY 117 SE SEC.35 ALL LESS 20 ACRES IN W2NW WEST OF HWY LA HWY 117 SEC.36 ALL</t>
  </si>
  <si>
    <t>LAES57347</t>
  </si>
  <si>
    <t>ES-064-03/12</t>
  </si>
  <si>
    <t xml:space="preserve">SEC.20 NENE S2NE W2NW SWSWNENW N2SW LESS 1.97 ACRES SESW SE SEC.21 ALL SEC.22 NENE LESS 4.8 ACRES IN SEC/C W2NW SEC.23 E2E2W2 SWNW E2NWSW SWSWSW E2SWSW LESS 6.18 ACRES SEC.24 NESE </t>
  </si>
  <si>
    <t>LAES57348</t>
  </si>
  <si>
    <t>ES-065-03/12</t>
  </si>
  <si>
    <t>SEC.27 S2N2,NWNW,S2 SEC.28 W2W2 SEC.29 ALL, SEC.30 NE LESS 52.16 ACRES NORTH OF KISATCHIE CREEK W2 SE</t>
  </si>
  <si>
    <t>LAES57349</t>
  </si>
  <si>
    <t>ES-066-03/12</t>
  </si>
  <si>
    <t>SEC.31 ALL SEC.32 ALL SEC.34 N2NENE W2NE SEC.37 ALL</t>
  </si>
  <si>
    <t>LAES57351</t>
  </si>
  <si>
    <t>ES-068-03/12</t>
  </si>
  <si>
    <t>SEC.4 E2 NENW W2NW NWNWSW S2NWSW NESW SWSW SEC.5 ALL SEC.6 ALL</t>
  </si>
  <si>
    <t>NMNM128371</t>
  </si>
  <si>
    <t>NM-201204-012</t>
  </si>
  <si>
    <t>NMPM T0240N R0020W</t>
  </si>
  <si>
    <t>SEC.012 E2,E2W2</t>
  </si>
  <si>
    <t>NMNM128376</t>
  </si>
  <si>
    <t>NM-201204-017</t>
  </si>
  <si>
    <t>SEC.036 NE</t>
  </si>
  <si>
    <t>OKNM128387</t>
  </si>
  <si>
    <t>NM-201204-029</t>
  </si>
  <si>
    <t>GARVIN</t>
  </si>
  <si>
    <t>IM T0040N R0020W</t>
  </si>
  <si>
    <t>SEC.025 S2SWSW</t>
  </si>
  <si>
    <t>MSES57478</t>
  </si>
  <si>
    <t>ES-067-06/12</t>
  </si>
  <si>
    <t xml:space="preserve">SEC.2 NESW, SWSW LYING EAST OF ROAD SEC.4 NW LAYING SOUTH OF ROAD NWNE </t>
  </si>
  <si>
    <t>MSES57476</t>
  </si>
  <si>
    <t>ES-065-06/12</t>
  </si>
  <si>
    <t>SEE ATTACHED FOR DESCRIPTIONS</t>
  </si>
  <si>
    <t>MSES57491</t>
  </si>
  <si>
    <t>ES-080-06/12</t>
  </si>
  <si>
    <t>JASPER</t>
  </si>
  <si>
    <t>SEC.34 W2W2</t>
  </si>
  <si>
    <t>MSES57490</t>
  </si>
  <si>
    <t>ES-079-06/12</t>
  </si>
  <si>
    <t xml:space="preserve">SEC.32 ALL, SEC.33 ALL </t>
  </si>
  <si>
    <t>MSES57489</t>
  </si>
  <si>
    <t>ES-078-06/12</t>
  </si>
  <si>
    <t>SEC.31 E2NE NWNE SENW SWNW S2W2NWNW</t>
  </si>
  <si>
    <t>MSES57488</t>
  </si>
  <si>
    <t>ES-077-06/12</t>
  </si>
  <si>
    <t>SEC.30 ALL</t>
  </si>
  <si>
    <t>LAES57462</t>
  </si>
  <si>
    <t>ES-051-06/12</t>
  </si>
  <si>
    <t>SEC.17 ALL</t>
  </si>
  <si>
    <t>LAES57466</t>
  </si>
  <si>
    <t>ES-055-06/12</t>
  </si>
  <si>
    <t>SEC.21 ALL SEC.22 ALL</t>
  </si>
  <si>
    <t>LAES57467</t>
  </si>
  <si>
    <t>ES-056-06/12</t>
  </si>
  <si>
    <t>SEC.23 ALL SEC.24 ALL LESS 5.0 ACRES EAST OF HWY 360-1 IN NENE SEC.25 ALL</t>
  </si>
  <si>
    <t>LAES57468</t>
  </si>
  <si>
    <t>ES-057-06/12</t>
  </si>
  <si>
    <t>SEC.26 ALL SEC.27 ALL SEC.28 ALL</t>
  </si>
  <si>
    <t>MSES57487</t>
  </si>
  <si>
    <t>ES-076-06/12</t>
  </si>
  <si>
    <t>LAES57461</t>
  </si>
  <si>
    <t>ES-050-06/12</t>
  </si>
  <si>
    <t>SEC.15 ALL SEC.16 ALL</t>
  </si>
  <si>
    <t>MSES57477</t>
  </si>
  <si>
    <t>ES-066-06/12</t>
  </si>
  <si>
    <t>SEC.4 SWSW, 4.5 ACRES IN THE SW CORNER OF THE NWSW NESW LESS 4.375 ACRES, 4.375 ACRES IN THE NEWSW. SEC.5 E2NE SESW; SEC.6 NWSW</t>
  </si>
  <si>
    <t>LAES57452</t>
  </si>
  <si>
    <t>ES-041-06/12</t>
  </si>
  <si>
    <t>SEC.1 ALL, SEC.2 ALL, SEC.3 ALL</t>
  </si>
  <si>
    <t>MSES57475</t>
  </si>
  <si>
    <t>ES-064-06/12</t>
  </si>
  <si>
    <t>SEC.3 W2NE NENW SW</t>
  </si>
  <si>
    <t>MSES57486</t>
  </si>
  <si>
    <t>ES-075-06/12</t>
  </si>
  <si>
    <t xml:space="preserve">SEC.26 W2 SWSE SEC.27 N2 N2S2 SWSW SESW LESS N2E2W2SESW SWSE SESE LESS 9.50 ACRES IN A SQUARE IN SE CORNER SEC.28 N2 N2S2 SESE </t>
  </si>
  <si>
    <t>LAES57455</t>
  </si>
  <si>
    <t>ES-044-06/12</t>
  </si>
  <si>
    <t>SEC.6 S2N2 NENW S2 SEC.7 ALL</t>
  </si>
  <si>
    <t>LAES57454</t>
  </si>
  <si>
    <t>ES-043-06/12</t>
  </si>
  <si>
    <t>SEC.5 ALL</t>
  </si>
  <si>
    <t>LAES57456</t>
  </si>
  <si>
    <t>ES-045-06/12</t>
  </si>
  <si>
    <t>SEC.8 ALL</t>
  </si>
  <si>
    <t>LAES57459</t>
  </si>
  <si>
    <t>ES-048-06/12</t>
  </si>
  <si>
    <t>SEC.11 ALL SEC.12 ALL LESS 7.5 ACRES EAST OF HWY 360-1 IN SE SEC.13 ALL LESS 40.0 ACRES EAST OF HWY 360-1 IN E2</t>
  </si>
  <si>
    <t>MSES57498</t>
  </si>
  <si>
    <t>ES-087-06/12</t>
  </si>
  <si>
    <t>SEC.24 SWSE</t>
  </si>
  <si>
    <t>LAES57469</t>
  </si>
  <si>
    <t>ES-058-06/12</t>
  </si>
  <si>
    <t>LAES57465</t>
  </si>
  <si>
    <t>ES-054-06/12</t>
  </si>
  <si>
    <t xml:space="preserve">SEC.20 ALL </t>
  </si>
  <si>
    <t>LAES57464</t>
  </si>
  <si>
    <t>ES-053-06/12</t>
  </si>
  <si>
    <t>SEC.19 N2 NESW LESS 5.87 ACRES IN S2NESW S2SW SE</t>
  </si>
  <si>
    <t>LAES57463</t>
  </si>
  <si>
    <t>ES-052-06/12</t>
  </si>
  <si>
    <t>SEC.18 ALL</t>
  </si>
  <si>
    <t>LAES57471</t>
  </si>
  <si>
    <t>ES-060-06/12</t>
  </si>
  <si>
    <r>
      <t xml:space="preserve">SEC.29 SWNWSW N2SE </t>
    </r>
    <r>
      <rPr>
        <b/>
        <sz val="10"/>
        <rFont val="Cambria"/>
        <family val="1"/>
        <scheme val="major"/>
      </rPr>
      <t>50% US MINERAL INTEREST</t>
    </r>
  </si>
  <si>
    <t>LAES57470</t>
  </si>
  <si>
    <t>ES-059-06/12</t>
  </si>
  <si>
    <t>LAES57458</t>
  </si>
  <si>
    <t>ES-047-06/12</t>
  </si>
  <si>
    <t>LAES57457</t>
  </si>
  <si>
    <t>ES-046-06/12</t>
  </si>
  <si>
    <t>SEC.9 ALL</t>
  </si>
  <si>
    <t>LAES57460</t>
  </si>
  <si>
    <t>ES-049-06/12</t>
  </si>
  <si>
    <t>SEC.14 ALL</t>
  </si>
  <si>
    <t>LAES57453</t>
  </si>
  <si>
    <t>ES-042-06/12</t>
  </si>
  <si>
    <t>SEC.4 ALL</t>
  </si>
  <si>
    <t>MSES57494</t>
  </si>
  <si>
    <t>ES-083-06/12</t>
  </si>
  <si>
    <t>SEE LEASE FOR DESCRIPTION</t>
  </si>
  <si>
    <t>MSES57495</t>
  </si>
  <si>
    <t>ES-084-06/12</t>
  </si>
  <si>
    <t>SEC.1 SWNE SESW NESE SEC.12 NE SENW N2SW NESE SEC.28 SENW SEC.29 E2NE NW NESW W2SE SEC.30 E2 SENW NESW S2SW SEC.31 W2W2 SENW NESW SEC.32 S2SE</t>
  </si>
  <si>
    <t>MSES57496</t>
  </si>
  <si>
    <t>ES-085-06/12</t>
  </si>
  <si>
    <t>SEC.11 SENE, SEC.13 SWSW</t>
  </si>
  <si>
    <t>MSES57497</t>
  </si>
  <si>
    <t>ES-086-06/12</t>
  </si>
  <si>
    <t>SEC.19 SESE SEC.24 S2NE SEC.31 NENW SESW</t>
  </si>
  <si>
    <t>LAES57473</t>
  </si>
  <si>
    <t>ES-062-06/12</t>
  </si>
  <si>
    <t>SEC.11 TRACT C-681 IN S2NE LYING WEST OF PIERRE JOSEPH MASS SURVEY NWSE N2SW SWSW</t>
  </si>
  <si>
    <t>LAES57474</t>
  </si>
  <si>
    <t>ES-063-06/12</t>
  </si>
  <si>
    <t>SEC.15 E2NE NESE SEC.21 E2NE E2W2NE SEC.22 SWNW SEC.26 SENW SEC.27 NE SEC.35 E2NE SEC.36 W2NW SENW NESW</t>
  </si>
  <si>
    <t>LAES57472</t>
  </si>
  <si>
    <t>ES-061-06/12</t>
  </si>
  <si>
    <t>SEC.3 E2NE W2SESE SEC.7 NWNE SEC.10 W2SENW E2SE</t>
  </si>
  <si>
    <t>MSES57492</t>
  </si>
  <si>
    <t>ES-081-06/12</t>
  </si>
  <si>
    <t>MSES57493</t>
  </si>
  <si>
    <t>ES-082-06/12</t>
  </si>
  <si>
    <t>NMNM128839</t>
  </si>
  <si>
    <t>HIDALGO</t>
  </si>
  <si>
    <t>SEC.20 NENE S2N2 S2; SEC.29 ALL, SEC.30 LOTS 2-4 E2 E2W2; SEC.31 LOTS 1-4 E2 E2W2</t>
  </si>
  <si>
    <t>NMNM128840</t>
  </si>
  <si>
    <t>SEC.21 ALL, SEC.22 ALL, SEC.27 ALL, SEC.28 ALL</t>
  </si>
  <si>
    <t>NMNM128841</t>
  </si>
  <si>
    <t>SEC.001 LOTS 1-14, SEC.001 S2NW SW, SEC.012 LOTS 1-12 W2</t>
  </si>
  <si>
    <t>NMNM128842</t>
  </si>
  <si>
    <t>SEC.013 LOTS 1-12 W2 SEC.24 LOTS 1-12 W2</t>
  </si>
  <si>
    <t>NMNM128843</t>
  </si>
  <si>
    <t>SEC.014 ALL SEC.022 ALL SEC.023 ALL</t>
  </si>
  <si>
    <t>NMNM128844</t>
  </si>
  <si>
    <t>SEC.029 NE</t>
  </si>
  <si>
    <t>OKNM128849</t>
  </si>
  <si>
    <t>KAY</t>
  </si>
  <si>
    <t>SEC.027 NW TR 1272</t>
  </si>
  <si>
    <t>OKNM128850</t>
  </si>
  <si>
    <t>SEC.031 1,2(TR 334-3) SWNE TR 305 E2NW TR 334-3 W2SE TR 302</t>
  </si>
  <si>
    <t>TXNM128851</t>
  </si>
  <si>
    <t>FANNIN</t>
  </si>
  <si>
    <t>TX T147</t>
  </si>
  <si>
    <t>TR 372-A 418-D 450-B 545-A; TR 578-A 600 623 624 625, TR 626 628 629 630 631, TR 684-A 687 793 1202</t>
  </si>
  <si>
    <t>TXNM128852</t>
  </si>
  <si>
    <t>TR 253-2 312-A 418-C 442-B, TR 450-A,519-B,565-B,632, TR 633 633-A 638 640-A 678, TR 679 680 681 682 1200</t>
  </si>
  <si>
    <t>TXNM128853</t>
  </si>
  <si>
    <t>TR 73-A 156-B 450 519-E, TR 532 572-1 598-B 636 639 TR 640 640-B 641 647 649, TR 656 671 672 672-A 673 TR 674 675 724 727 906 990</t>
  </si>
  <si>
    <t>TXNM128857</t>
  </si>
  <si>
    <t>T403</t>
  </si>
  <si>
    <t>TR S-2A-C. SEE ATTACHED M&amp;B'S W/MAP;</t>
  </si>
  <si>
    <t>TXNM128858</t>
  </si>
  <si>
    <t>JASPER &amp; SABINE</t>
  </si>
  <si>
    <t>TR S-2K-IV PARCEL #1 SEE ATTACHED M&amp;B'S W/MAP; NOTE - 2063.93 ACRES IN SABINE &amp; 64.00 ACRES IN JASPER COUNTY</t>
  </si>
  <si>
    <t>MSES57576</t>
  </si>
  <si>
    <t>ES-055-09/12</t>
  </si>
  <si>
    <t>SEC.26 NWNW</t>
  </si>
  <si>
    <t>MSES57577</t>
  </si>
  <si>
    <t>ES-056-09/12</t>
  </si>
  <si>
    <t>SEC.33, 4 ACRES IN SWNW</t>
  </si>
  <si>
    <t>MSES57578</t>
  </si>
  <si>
    <t>ES-057-09/12</t>
  </si>
  <si>
    <t>MSES57579</t>
  </si>
  <si>
    <t>ES-058-09/12</t>
  </si>
  <si>
    <t>SEC.1 SWNE W2SE</t>
  </si>
  <si>
    <t>MSES57580</t>
  </si>
  <si>
    <t>ES-059-09/12</t>
  </si>
  <si>
    <t>MSES57581</t>
  </si>
  <si>
    <t>ES-060-09/12</t>
  </si>
  <si>
    <t>SEC 9 S2 SEC 10 W2SW S2SWNW SEC 14 5.75 ACRES WEST OF ROAD IN THE NWNW</t>
  </si>
  <si>
    <t>MSES57582</t>
  </si>
  <si>
    <t>ES-061-09/12</t>
  </si>
  <si>
    <t>SEC.20 N2SE LESS 5 ACRES IN THE NW CORNER E2SWSE SEC.29 E2NWNE</t>
  </si>
  <si>
    <t>MSES57583</t>
  </si>
  <si>
    <t>ES-062-09/12</t>
  </si>
  <si>
    <t>MSES57584</t>
  </si>
  <si>
    <t>ES-063-09/12</t>
  </si>
  <si>
    <t>SEC.11 W2NE N2NWSE SESE</t>
  </si>
  <si>
    <t>MSES57585</t>
  </si>
  <si>
    <t>ES-064-09/12</t>
  </si>
  <si>
    <t>MSES57586</t>
  </si>
  <si>
    <t>ES-065-09/12</t>
  </si>
  <si>
    <t>MSES57587</t>
  </si>
  <si>
    <t>ES-066-09/12</t>
  </si>
  <si>
    <t>SEC 18 TRACT H-1108 BEING 3.32 ACRES LYING IN THE S2SENWSE</t>
  </si>
  <si>
    <t>LAES57522</t>
  </si>
  <si>
    <t>LAES57523</t>
  </si>
  <si>
    <t>LAES57524</t>
  </si>
  <si>
    <t>LAES57525</t>
  </si>
  <si>
    <t>LAES57527</t>
  </si>
  <si>
    <t>LAES57528</t>
  </si>
  <si>
    <t>LAES57529</t>
  </si>
  <si>
    <t>LAES57530</t>
  </si>
  <si>
    <t>LAES57531</t>
  </si>
  <si>
    <t>LAES57532</t>
  </si>
  <si>
    <t>LAES57533</t>
  </si>
  <si>
    <t>LAES57534</t>
  </si>
  <si>
    <t>LAES57535</t>
  </si>
  <si>
    <t>LAES57536</t>
  </si>
  <si>
    <t>LAES57537</t>
  </si>
  <si>
    <t>LAES57538</t>
  </si>
  <si>
    <t>LAES57539</t>
  </si>
  <si>
    <t>LAES57540</t>
  </si>
  <si>
    <t>LAES57541</t>
  </si>
  <si>
    <t>LAES57542</t>
  </si>
  <si>
    <t>LAES57543</t>
  </si>
  <si>
    <t>LAES57544</t>
  </si>
  <si>
    <t>LAES57545</t>
  </si>
  <si>
    <t>LAES57546</t>
  </si>
  <si>
    <t>LAES57547</t>
  </si>
  <si>
    <t>LAES57548</t>
  </si>
  <si>
    <t>LAES57549</t>
  </si>
  <si>
    <t>LAES57550</t>
  </si>
  <si>
    <t>LAES57551</t>
  </si>
  <si>
    <t>LAES57552</t>
  </si>
  <si>
    <t>LAES57553</t>
  </si>
  <si>
    <t>LAES57554</t>
  </si>
  <si>
    <t>LAES57555</t>
  </si>
  <si>
    <t>LAES57556</t>
  </si>
  <si>
    <t>LAES57557</t>
  </si>
  <si>
    <t>LAES57558</t>
  </si>
  <si>
    <t>LAES57559</t>
  </si>
  <si>
    <t>LAES57560</t>
  </si>
  <si>
    <t>LAES57561</t>
  </si>
  <si>
    <t>LAES57562</t>
  </si>
  <si>
    <t>LAES57563</t>
  </si>
  <si>
    <t>LAES57564</t>
  </si>
  <si>
    <t>LAES57565</t>
  </si>
  <si>
    <t>LAES57566</t>
  </si>
  <si>
    <t>LAES57567</t>
  </si>
  <si>
    <t>LAES57568</t>
  </si>
  <si>
    <t>LAES57569</t>
  </si>
  <si>
    <t>LAES57570</t>
  </si>
  <si>
    <t>LAES57571</t>
  </si>
  <si>
    <t>LAES57572</t>
  </si>
  <si>
    <t>LAES57573</t>
  </si>
  <si>
    <t>LAES57574</t>
  </si>
  <si>
    <t>LAES57575</t>
  </si>
  <si>
    <t>LAES57608</t>
  </si>
  <si>
    <t>ES-002-12/12</t>
  </si>
  <si>
    <t>LAFOURCHE PARISH</t>
  </si>
  <si>
    <t>SEC 19 S2SW</t>
  </si>
  <si>
    <t>LAES57609</t>
  </si>
  <si>
    <t>LAES57610</t>
  </si>
  <si>
    <t>LAES57611</t>
  </si>
  <si>
    <t>LAES57612</t>
  </si>
  <si>
    <t>LAES57613</t>
  </si>
  <si>
    <t>LAES57614</t>
  </si>
  <si>
    <t>LAES57615</t>
  </si>
  <si>
    <t>LAES57616</t>
  </si>
  <si>
    <t>LAES57617</t>
  </si>
  <si>
    <t>LAES57618</t>
  </si>
  <si>
    <t>LAES57619</t>
  </si>
  <si>
    <t>LAES57620</t>
  </si>
  <si>
    <t>LAES57621</t>
  </si>
  <si>
    <t>LAES57622</t>
  </si>
  <si>
    <t>LAES57623</t>
  </si>
  <si>
    <t>LAES57624</t>
  </si>
  <si>
    <t>LAES57625</t>
  </si>
  <si>
    <t>LAES57626</t>
  </si>
  <si>
    <t>LAES57627</t>
  </si>
  <si>
    <t>LAES57628</t>
  </si>
  <si>
    <t>LAES57629</t>
  </si>
  <si>
    <t>LAES57630</t>
  </si>
  <si>
    <t>LAES57631</t>
  </si>
  <si>
    <t>LAES57632</t>
  </si>
  <si>
    <t>LAES57633</t>
  </si>
  <si>
    <t>LAES57634</t>
  </si>
  <si>
    <t>LAES57635</t>
  </si>
  <si>
    <t>LAES57636</t>
  </si>
  <si>
    <t>LAES57637</t>
  </si>
  <si>
    <t>LAES57638</t>
  </si>
  <si>
    <t>LAES57639</t>
  </si>
  <si>
    <t>LAES57640</t>
  </si>
  <si>
    <t>LAES57641</t>
  </si>
  <si>
    <t>LAES57642</t>
  </si>
  <si>
    <t>LAES57643</t>
  </si>
  <si>
    <t>LAES57644</t>
  </si>
  <si>
    <t>LAES57645</t>
  </si>
  <si>
    <t>LAES57646</t>
  </si>
  <si>
    <t>LAES57647</t>
  </si>
  <si>
    <t>LAES57648</t>
  </si>
  <si>
    <t>LAES57649</t>
  </si>
  <si>
    <t>LAES57650</t>
  </si>
  <si>
    <t>LAES57651</t>
  </si>
  <si>
    <t>LAES57652</t>
  </si>
  <si>
    <t>LAES57653</t>
  </si>
  <si>
    <t>LAES57654</t>
  </si>
  <si>
    <t>LAES57655</t>
  </si>
  <si>
    <t>LAES57656</t>
  </si>
  <si>
    <t>LAES57657</t>
  </si>
  <si>
    <t>LAES57658</t>
  </si>
  <si>
    <t>LAES57659</t>
  </si>
  <si>
    <t>LAES57660</t>
  </si>
  <si>
    <t>LAES57661</t>
  </si>
  <si>
    <t>LAES57662</t>
  </si>
  <si>
    <t>LAES57663</t>
  </si>
  <si>
    <t>NMNM129272</t>
  </si>
  <si>
    <t>NM-201210-017</t>
  </si>
  <si>
    <t>NMPM T0200S R0380E</t>
  </si>
  <si>
    <t>SEC.022 SWNE S2NW N2SW NWSE</t>
  </si>
  <si>
    <t>NMNM129725</t>
  </si>
  <si>
    <t>NM-201301-009</t>
  </si>
  <si>
    <t xml:space="preserve">NMPM T0080S R0270E </t>
  </si>
  <si>
    <t>SEC.035 ALL;</t>
  </si>
  <si>
    <t>NMNM129735</t>
  </si>
  <si>
    <t>NM-201301-019</t>
  </si>
  <si>
    <t>SEC.030 LOTS 1-4; 030 E2, E2W2</t>
  </si>
  <si>
    <t>NMNM129736</t>
  </si>
  <si>
    <t>NM-201301-020</t>
  </si>
  <si>
    <t>NMPM T0270N R0130W</t>
  </si>
  <si>
    <t>SEC.004 SW</t>
  </si>
  <si>
    <t>TXNM129750</t>
  </si>
  <si>
    <t>NM-201301-034</t>
  </si>
  <si>
    <t>MONTGOMERY - 170 ACRS, WALKER - 7.77 ACRS</t>
  </si>
  <si>
    <t xml:space="preserve">TRACT J-1-III PARCEL #9 SEE ATTACHED FOR METES &amp; BOUNDS DESCRIPTION WITH MAP </t>
  </si>
  <si>
    <t>TXNM129757</t>
  </si>
  <si>
    <t>NM-201301-041</t>
  </si>
  <si>
    <t>TRACT J-2-I PARCEL #4</t>
  </si>
  <si>
    <t>SEE ATTACHED FOR METES &amp; BOUNDS DESCRIPTION WITH MAP</t>
  </si>
  <si>
    <t>TXNM129758</t>
  </si>
  <si>
    <t>NM-201301-042</t>
  </si>
  <si>
    <t>TRACT J-2-I PARCEL #5</t>
  </si>
  <si>
    <t>TXNM129759</t>
  </si>
  <si>
    <t>NM-201301-043</t>
  </si>
  <si>
    <t>U.S.MINERAL INTEREST 50% - 830.24 ACRS</t>
  </si>
  <si>
    <t xml:space="preserve">TRACT J-2-I PARCEL #6 TRACT J-2-I PARCEL #6A (200.00 ACRS) TRACT J-2-I PARCEL #6B (630.24 ACRS) SEE ATTACHED FOR METES &amp; BOUNDS DESCRIPTION WITH MAP </t>
  </si>
  <si>
    <t>TXNM129760</t>
  </si>
  <si>
    <t>NM-201301-044</t>
  </si>
  <si>
    <t>TRACT J-2-I PARCEL #7</t>
  </si>
  <si>
    <t>TXNM129770</t>
  </si>
  <si>
    <t>NM-2013-01-054</t>
  </si>
  <si>
    <t>TRACT J-1n</t>
  </si>
  <si>
    <t>TXNM129772</t>
  </si>
  <si>
    <t>NM-2013-01-056</t>
  </si>
  <si>
    <t>TRACT J-632</t>
  </si>
  <si>
    <t>TXNM129782</t>
  </si>
  <si>
    <t>NM-201301-066</t>
  </si>
  <si>
    <t>TRACT J-9</t>
  </si>
  <si>
    <t>TXNM129783</t>
  </si>
  <si>
    <t>NM-201301-067</t>
  </si>
  <si>
    <t>SAN JACINTO/WALKER</t>
  </si>
  <si>
    <t>SAN JACINTO - 1002 ACRS, WALKER - 13 ACRS</t>
  </si>
  <si>
    <t>TRACT J-1C SEE ATTACHED FOR METES &amp; BOUNDS DESCRIPTION WITH MAP</t>
  </si>
  <si>
    <t>TXNM129784</t>
  </si>
  <si>
    <t>NM-201301-068</t>
  </si>
  <si>
    <t>TRACT J-58</t>
  </si>
  <si>
    <t>LAES57696</t>
  </si>
  <si>
    <t>ES-005-03/13</t>
  </si>
  <si>
    <t>NATCHITOCHES &amp; RED RIVER</t>
  </si>
  <si>
    <t>SEC 19 LOT 8 SEC.20 SWNW SEC 30 LOTS 5-14 SEC 31 LOTS 1-16 SEC 32 LOTS 5-12</t>
  </si>
  <si>
    <t>MIES57728</t>
  </si>
  <si>
    <t>ES-037-03/13</t>
  </si>
  <si>
    <t>ROSCOMMON</t>
  </si>
  <si>
    <t>SEC 15 SE SEC 22 N2 N2SW</t>
  </si>
  <si>
    <t>LAES57700</t>
  </si>
  <si>
    <t>LAES57701</t>
  </si>
  <si>
    <t>LAES57711</t>
  </si>
  <si>
    <t>LAES57712</t>
  </si>
  <si>
    <t>LAES57713</t>
  </si>
  <si>
    <t>LAES57714</t>
  </si>
  <si>
    <t>LAES57715</t>
  </si>
  <si>
    <t>LAES57716</t>
  </si>
  <si>
    <t>LAES57717</t>
  </si>
  <si>
    <t>LAES57718</t>
  </si>
  <si>
    <t>LAES57719</t>
  </si>
  <si>
    <t>LAES57720</t>
  </si>
  <si>
    <t>LAES57721</t>
  </si>
  <si>
    <t>MSES57733</t>
  </si>
  <si>
    <t>MSES57734</t>
  </si>
  <si>
    <t>ES-043-03/13</t>
  </si>
  <si>
    <t xml:space="preserve">SEC 13 ALL OF S2SW &amp; SWSE LYING SOUTH OF ILLINOIS CENTRAL RAILROAD ROW SEC 14 PART OF E2SESE LYING SOUTH OF ILLINOIS CENTRAL RAILROAD ROW SEC 23 E2 S2NW SW SEC 24 ALL </t>
  </si>
  <si>
    <t>MSES57735</t>
  </si>
  <si>
    <t>ES-044-03/13</t>
  </si>
  <si>
    <t>SEC 21 W2SW SEC 22 E2 W2NW SENW SW. FOR SEC 27  &amp; SEC 28 - SEE LEASE FOR DETAILED DESCRIPTION (TOO LONG)</t>
  </si>
  <si>
    <t>MSES57736</t>
  </si>
  <si>
    <t>ES-045-03/13</t>
  </si>
  <si>
    <t>SEC 25 ALL SEC 26 N2 SW SEC 35 SWNW NWSW NWSE SWSE LESS THAT PART DESCRIBED AS COMMENCING AT A POINT 135 W OF SE CORNER OF SWSE &amp; RUNNING N 200 YARDS, THENCE W 220 YARDS, THENCE S 200 YARDS, THENCE E 220 YARDS TO POINT OF BEGINNING</t>
  </si>
  <si>
    <t>MSES57738</t>
  </si>
  <si>
    <t>ES-047-03/13</t>
  </si>
  <si>
    <t>SEC 29 ALL SEC 31 NW SEC 32 NENW E2NWNW E2SW 12 ACRES OF UNIFORM WIDTH OFF EAST SIDE OF W2SW SWSE SEC 33 - SEE LEASE FOR DESCRIPTION SEC 34 E2 NENW S2NW SW</t>
  </si>
  <si>
    <t>MSES57739</t>
  </si>
  <si>
    <t>ES-048-03/13</t>
  </si>
  <si>
    <t>MSES57740</t>
  </si>
  <si>
    <t>ES-049-03/13</t>
  </si>
  <si>
    <t>SEC 7 W2NESE S2SE SEC 8 15 ACRES IN A UNIFORM STRIP ACROSS ENTIRE SOUTH SIDE OF SESW SEC 17 SEE LEASE FOR DETAILED DESCRIPTION (TOO LONG)</t>
  </si>
  <si>
    <t>MSES57741</t>
  </si>
  <si>
    <t>ES-050-03/13</t>
  </si>
  <si>
    <t>SEC 19 ALL SEC 20 &amp; SEC 21 - SEE LEASE FOR DETAILED DESCRIPTION (TOO LONG)</t>
  </si>
  <si>
    <t>MSES57742</t>
  </si>
  <si>
    <t>ES-051-03/13</t>
  </si>
  <si>
    <t xml:space="preserve">SEC 28 W2NW SENW SW W2SE SESE SEC 29 ALL SEC 30 ALL </t>
  </si>
  <si>
    <t>MSES57744</t>
  </si>
  <si>
    <t>ES-053-03/13</t>
  </si>
  <si>
    <t>SEC 31 N2NE W2WNW 30 ACRES OFF NORTH END OF SENE N2SENW SEC 32 N2NE SENE W2NW SEC 33 SEE LEASE FOR DETAILED DESCRIPTION (TOO LONG)</t>
  </si>
  <si>
    <t>MSES57745</t>
  </si>
  <si>
    <t>ES-054-03/13</t>
  </si>
  <si>
    <t>SEC 1 TRACT H-1150 LOT 12</t>
  </si>
  <si>
    <t>MSES57746</t>
  </si>
  <si>
    <t>ES-055-03/13</t>
  </si>
  <si>
    <t>SEC 1 N2 LOT1 LOTS 2 &amp; 3 ALL PART OF LOTS 4 &amp; 5 LYING NORTH &amp; EAST OF FREEWOODS ROAD SW N2 OF LOT 6 (ALL BEING TRACT H-1) SEC 3 TRACT H-334</t>
  </si>
  <si>
    <t>MSES57747</t>
  </si>
  <si>
    <t>ES-056-03/13</t>
  </si>
  <si>
    <t xml:space="preserve">SEC 1 LOTS 10 &amp; 11 (BEING TRACT H-105) </t>
  </si>
  <si>
    <t>MSES57748</t>
  </si>
  <si>
    <t>ES-057-03/13</t>
  </si>
  <si>
    <t>SEC 17 TRACT H-141 (ALL)</t>
  </si>
  <si>
    <t>MSES57749</t>
  </si>
  <si>
    <t>ES-058-03/13</t>
  </si>
  <si>
    <t>SEC 24 SWNW SEC 26 A 14.00 ACRE STRIP IN WIDTH ACROSS ENTIRE N SIDE OF SESW SEC 34 N2NE SWNE W2SE SESE SEC 37 S2NE N2SE</t>
  </si>
  <si>
    <t>MSES57750</t>
  </si>
  <si>
    <t>ES-059-03/13</t>
  </si>
  <si>
    <t>SEC 39 NESW LESS 17.22 ACRES IN TRACT H-80</t>
  </si>
  <si>
    <t>MSES57751</t>
  </si>
  <si>
    <t>ES-060-03/13</t>
  </si>
  <si>
    <t>SEC 39 TRACT H-80 (BEING 17.22 AC. IN NESW) DESCRIBED AS BEGINNING AT THE NW/CORNER OF NESW OF SAID 39 THENCE S 0 DEGREES 24'E 14.00 CHAINS THENCE S 89 DEGREES 14'E 12.30 CHAINS THENCE N 0 DEGREES 24'W 14.00 CHAINS THENCE N 89 DEGREES 14'W 12.30 CHAINS TO THE POB</t>
  </si>
  <si>
    <t>MSES57752</t>
  </si>
  <si>
    <t>ES-061-03/13</t>
  </si>
  <si>
    <t>SEC 40 W2NE S2SE SESW NESW LESS A 2.06 AC STRIP ON NORTH &amp; WEST SIDE (TRACTS H-1083, H334a)</t>
  </si>
  <si>
    <t>MSES57753</t>
  </si>
  <si>
    <t>ES-062-03/13</t>
  </si>
  <si>
    <t>MSES57754</t>
  </si>
  <si>
    <t>ES-063-03/13</t>
  </si>
  <si>
    <t>SEC 37 NWNE</t>
  </si>
  <si>
    <t>MSES57822</t>
  </si>
  <si>
    <t>ES-025-09/13</t>
  </si>
  <si>
    <t xml:space="preserve">SEC.26 E2NW SEC.39 ALL </t>
  </si>
  <si>
    <t>MSES57823</t>
  </si>
  <si>
    <t>ES-026-09/13</t>
  </si>
  <si>
    <t>SEC.20 SESW SWSE</t>
  </si>
  <si>
    <t>MIES57798</t>
  </si>
  <si>
    <t>MIES57799</t>
  </si>
  <si>
    <t>MIES57800</t>
  </si>
  <si>
    <t>MIES57801</t>
  </si>
  <si>
    <t>MIES57802</t>
  </si>
  <si>
    <t>MIES57803</t>
  </si>
  <si>
    <t>MIES57804</t>
  </si>
  <si>
    <t>MIES57805</t>
  </si>
  <si>
    <t>MIES57806</t>
  </si>
  <si>
    <t>MIES57808</t>
  </si>
  <si>
    <t>MIES57811</t>
  </si>
  <si>
    <t>MIES57812</t>
  </si>
  <si>
    <t>MIES57813</t>
  </si>
  <si>
    <t>MIES57816</t>
  </si>
  <si>
    <t>MIES57817</t>
  </si>
  <si>
    <t>MIES57818</t>
  </si>
  <si>
    <t>MIES57819</t>
  </si>
  <si>
    <t>MIES57820</t>
  </si>
  <si>
    <t>MIES57821</t>
  </si>
  <si>
    <t>ALES57845</t>
  </si>
  <si>
    <t>ES-001-12/2013</t>
  </si>
  <si>
    <t>SEC 6 SESW SEC 7 E2NW SWNE</t>
  </si>
  <si>
    <t>LAES57846</t>
  </si>
  <si>
    <t>ES-002-12/2013</t>
  </si>
  <si>
    <t>AVOYELLES</t>
  </si>
  <si>
    <t>SEC 10 LOT 3 (FRACTIONAL SENE); SEC 14 LOT 3 (FRACTIONAL SENW)</t>
  </si>
  <si>
    <t>LAES57847</t>
  </si>
  <si>
    <t>ES-003-12/2013</t>
  </si>
  <si>
    <t>SEC 32 LOT 7 (FRACTIONAL SESW)</t>
  </si>
  <si>
    <t>LAES57848</t>
  </si>
  <si>
    <t>ES-004-12/2013</t>
  </si>
  <si>
    <t>SEC 12 NESE</t>
  </si>
  <si>
    <t>LAES57849</t>
  </si>
  <si>
    <t>ES-005-12/2013</t>
  </si>
  <si>
    <t>SEC.28 S2SW</t>
  </si>
  <si>
    <t>LAES57850</t>
  </si>
  <si>
    <t>ES-006-12/2013</t>
  </si>
  <si>
    <t xml:space="preserve">SEC 62 ALL (FRACTIONAL NORTH OF THEE RED RIVER) SEC 64 ALL (FRACTIONAL) </t>
  </si>
  <si>
    <t>MIES57852</t>
  </si>
  <si>
    <t>ES-008-12/2013</t>
  </si>
  <si>
    <t>SEC 3 A 1.28 ACRE PORTION OF THE SENE DESCRIBED AS BEGINNING AT THE NE CORNER OF THE NESE OF SAID SECTION, THENCE S 1 DEGREE 56' 54" E 139.96' , THENCE N 89 DEGREES 05' 26" W 400',THENCE N 1 DEGREE 56' 54" W 139.36', THENCE N 89 DEGREES 05' 26" W 400' TO THE POINT OF BEGINNING; SEC 16, NENW N2SENW PART OF NWNW LYING EAST OF THE EAST LINE OF THE PERE MARQUETTE RR COMPANY RIGHT OF WAY</t>
  </si>
  <si>
    <t>MIES57853</t>
  </si>
  <si>
    <t>ES-009-12/2013</t>
  </si>
  <si>
    <t>SEC 23 S2SW</t>
  </si>
  <si>
    <t>MIES57854</t>
  </si>
  <si>
    <t>ES-010-12/2013</t>
  </si>
  <si>
    <t>SEC 24 S2SESE SEC 25 NENW</t>
  </si>
  <si>
    <t>MIES57855</t>
  </si>
  <si>
    <t>ES-011-12/2013</t>
  </si>
  <si>
    <t>GRAND TRAVERSE</t>
  </si>
  <si>
    <t>SEC 18 E2NE</t>
  </si>
  <si>
    <t>MIES57856</t>
  </si>
  <si>
    <t>ES-012-12/2013</t>
  </si>
  <si>
    <t>SEC 4 NENW SEC 21 SW SEC 26 PART NWNW (34.7 ACRES)</t>
  </si>
  <si>
    <t>MIES57857</t>
  </si>
  <si>
    <t>ES-013-12/2013</t>
  </si>
  <si>
    <t>SEC.4 N 993.4' OF THE E 933.4' OF THE SENE</t>
  </si>
  <si>
    <t>MIES57858</t>
  </si>
  <si>
    <t>ES-014-12/2013</t>
  </si>
  <si>
    <t>SEC.23 W2NW</t>
  </si>
  <si>
    <t>MIES57859</t>
  </si>
  <si>
    <t>ES-015-12/2013</t>
  </si>
  <si>
    <t>SEC.27 N2SE</t>
  </si>
  <si>
    <t>MIES57860</t>
  </si>
  <si>
    <t>ES-016-12/2013</t>
  </si>
  <si>
    <t>SEC.13 NWNE</t>
  </si>
  <si>
    <t>ALES57887</t>
  </si>
  <si>
    <t>ES-001-03/2014</t>
  </si>
  <si>
    <t>SEC.2 SENW NESW</t>
  </si>
  <si>
    <t>ARES57890</t>
  </si>
  <si>
    <t>ES-004-03/2014</t>
  </si>
  <si>
    <t>ARES57893</t>
  </si>
  <si>
    <t>ES-007-03/2014</t>
  </si>
  <si>
    <t xml:space="preserve">SEE ATTACHED PAGE ON ACTUAL LEASE. </t>
  </si>
  <si>
    <t>ARES57894</t>
  </si>
  <si>
    <t>ES-008-03/2014</t>
  </si>
  <si>
    <t>SEC 8 SESE W2SE SEC 9 SWSW SEC 35 NESW</t>
  </si>
  <si>
    <t>ARES57895</t>
  </si>
  <si>
    <t>ES-009-03/2014</t>
  </si>
  <si>
    <t>SEC 11 NWNE NENW SENW E2NENWNW S2NWNW</t>
  </si>
  <si>
    <t>LAES57896</t>
  </si>
  <si>
    <t>ES-010-03/2014</t>
  </si>
  <si>
    <t>SABINE PARISH</t>
  </si>
  <si>
    <t>SEC 12 LOT 4</t>
  </si>
  <si>
    <t>LAES57897</t>
  </si>
  <si>
    <t>ES-011-03/2014</t>
  </si>
  <si>
    <t>SEC 4 N2NE E2NW SEC 6 NWNW</t>
  </si>
  <si>
    <t>LAES57898</t>
  </si>
  <si>
    <t>ES-012-03/2014</t>
  </si>
  <si>
    <t>SEC 13 LOTS 1 &amp;2 SEC 14 LOTS 1-5 SEC 22 LOTS 1-3 SEC 24 LOTS 7-12 SEC 26 LOTS 1-4 SEC 36 LOTS 1-3</t>
  </si>
  <si>
    <t>LAES57899</t>
  </si>
  <si>
    <t>ES-013-03/2014</t>
  </si>
  <si>
    <t xml:space="preserve">T18N R10W T19N R10W. SEE ATTACHED PAGE ON ACTUAL LEASE FOR SECTIONS. </t>
  </si>
  <si>
    <t>LAES57900</t>
  </si>
  <si>
    <t>ES-014-03/2014</t>
  </si>
  <si>
    <t xml:space="preserve">SEC 1 ALL SEC 12 ALL SEC 13 ALL SEC 24 N2 LYING NORTH OF THE ILLINOIS CENTRAL RAILROAD RIGHT OF WAY </t>
  </si>
  <si>
    <t>LAES57901</t>
  </si>
  <si>
    <t>ES-015-03/2014</t>
  </si>
  <si>
    <t xml:space="preserve">SEC 2 S2N2 S2 SEC 11 ALL SEC 14 ALL SEC 23 N2 LYING NORTH OF THE ILLINOIS CENTRAIL RAILROAD RIGHT OF WAY </t>
  </si>
  <si>
    <t>LAES57902</t>
  </si>
  <si>
    <t>ES-016-03/2014</t>
  </si>
  <si>
    <t>SEC 3 S2NE SENW S2 SEC 10 N2 SW N2SE SWSE SEC 15 ALL SEC 16 ALL SEC 22 N2 LYING NORTH OF THE ILLINOIS CENTRAL RAILROAD</t>
  </si>
  <si>
    <t>LAES57903</t>
  </si>
  <si>
    <t>ES-017-03/2014</t>
  </si>
  <si>
    <t>SEC 4 S2 LYING SOUTH OF US HIGHWAY 80 SEC 5 S2 LYING SOUTH OF US HIGHWAY 80 SEC 8 E2NE W2 SE SEC 9 ALL SEC 17 ALL</t>
  </si>
  <si>
    <t>LAES57904</t>
  </si>
  <si>
    <t>ES-018-03/2014</t>
  </si>
  <si>
    <t>SEC 6 ALL THAT PART LYING SOUTH OF US HIGHWAY 80 SEC 7 ALL SEC 18 ALL</t>
  </si>
  <si>
    <t>LAES57905</t>
  </si>
  <si>
    <t>ES-019-03/2014</t>
  </si>
  <si>
    <t>SEC 8 W2NE SEC 10 SESE</t>
  </si>
  <si>
    <t>LAES57906</t>
  </si>
  <si>
    <t>ES-020-03/2014</t>
  </si>
  <si>
    <t>WEBSTER/BOSSIER PARISH</t>
  </si>
  <si>
    <t>SEE ATTACHED PAGE ON ACTUAL LEASE FOR SECTIONS.</t>
  </si>
  <si>
    <t>LAES57907</t>
  </si>
  <si>
    <t>ES-021-03/2014</t>
  </si>
  <si>
    <t>BOSSIER PARISH</t>
  </si>
  <si>
    <t>SEC 1 ALL THAT PART LYING SOUTH OF US HIGHWAY 80 SEC 12 ALL THAT PART LYING SOUTH OF US HIGHWAY 80 SEC 13 ALL</t>
  </si>
  <si>
    <t>MSES57909</t>
  </si>
  <si>
    <t>ES-023-03/2014</t>
  </si>
  <si>
    <t>SEC 11 NE NENW S2NW S2 SEC 15 SWNE W2 W2SE</t>
  </si>
  <si>
    <t>OKNM132418</t>
  </si>
  <si>
    <t>201404-001</t>
  </si>
  <si>
    <t xml:space="preserve">ELLIS </t>
  </si>
  <si>
    <t xml:space="preserve">MERIDIAN IM T16N R24W </t>
  </si>
  <si>
    <t>SEC 5 REMAINDER OF LOT 4 SEC 5 ACCR &amp; RIP TO LOT 4 SEE ATTACHED EXHIBIT ON LEASE FOR METES AND BOUNDS WITH MAP</t>
  </si>
  <si>
    <t>TXNM132419</t>
  </si>
  <si>
    <t>201404-002</t>
  </si>
  <si>
    <t xml:space="preserve">MERIDIAN TX </t>
  </si>
  <si>
    <t>ACQUIRED LANDS WITH VARIED INTERESTS - PLEASE ACTUAL LEASE FOR DETAILED TRACTS &amp; INTEREST</t>
  </si>
  <si>
    <t>TXNM132420</t>
  </si>
  <si>
    <t>201404-003</t>
  </si>
  <si>
    <t>MERIDIAN TX TRACTS S-38c S-1381</t>
  </si>
  <si>
    <t>SEE ATTACHED EXHIBIT ON LEASE FOR METES AND BOUNDS WITH MAP</t>
  </si>
  <si>
    <t>TXNM132423</t>
  </si>
  <si>
    <t>201404-006</t>
  </si>
  <si>
    <t>MERIDIAN TX TRACT S-1AL</t>
  </si>
  <si>
    <t>TXNM132425</t>
  </si>
  <si>
    <t>201404-008</t>
  </si>
  <si>
    <t>MERIDIAN TX TRACT S-14A</t>
  </si>
  <si>
    <t>ALES57928</t>
  </si>
  <si>
    <t>STATUS/COMMENTS</t>
  </si>
  <si>
    <t>Expired 2010</t>
  </si>
  <si>
    <t>Expired 2011</t>
  </si>
  <si>
    <t>Expired 2005</t>
  </si>
  <si>
    <t>Expired 2009 - Bought from Dan Gonzales</t>
  </si>
  <si>
    <t>Expired 2003</t>
  </si>
  <si>
    <t>Expired 2009</t>
  </si>
  <si>
    <t>Expired 2009 -  sold</t>
  </si>
  <si>
    <t>Expired 2009 - May be part of 16,327.47 acre Explo. Unit ARES05528x - Ross Explorations, Inc. (OPR)</t>
  </si>
  <si>
    <t>Expired 2010 - SUBLEASE TERMINATED O/A 11-14-02</t>
  </si>
  <si>
    <t xml:space="preserve">HBP-Gibraltar pays Royalty - Shut-in payment should be billed to Gibraltar for joint a/c rebill. Gibralter USA 5-12 #1 drilled and completed on SW/4 Sec 5.  </t>
  </si>
  <si>
    <t>Indirect Acquisation Cost</t>
  </si>
  <si>
    <t>Unsuccesful Bid Fees</t>
  </si>
  <si>
    <t>Refunded 3-16-01. Bid Refunded</t>
  </si>
  <si>
    <t>Refunded 7-10-00. Bid Refunded</t>
  </si>
  <si>
    <t>Expired 2012</t>
  </si>
  <si>
    <t>Expired 2010 - * 5O acres in San Jacinto County</t>
  </si>
  <si>
    <t>Sold to Chk July 2008</t>
  </si>
  <si>
    <t>Expired 2010 -Refunded 1-3-01. Write off Administrative Fee</t>
  </si>
  <si>
    <t>Expired 2011 -HBP CA MSES55705,6; PAR MINERALS, PER BLM. HAUSER #1 &amp; WHITE #1</t>
  </si>
  <si>
    <t>Bid Refunded 4-2-2002</t>
  </si>
  <si>
    <t>Bid Refunded 1-9-2002</t>
  </si>
  <si>
    <t xml:space="preserve">Bid Refunded 7-10-00 </t>
  </si>
  <si>
    <t>Administrative fees written off</t>
  </si>
  <si>
    <t xml:space="preserve">Indirect Costs written off </t>
  </si>
  <si>
    <t>Bid Refunded</t>
  </si>
  <si>
    <t>Expired 2012 - Part of Ha Ra Suh - OPR Encore/Enduro. D/O Decimal .04301310</t>
  </si>
  <si>
    <t>Chesapeake pays Royalty - Subleased - Assigned</t>
  </si>
  <si>
    <t>American Express under bill</t>
  </si>
  <si>
    <t>Lease not received - Sale was rescinded on 11-17-04; Administrative fee not refunded - was expensed 2-3-05</t>
  </si>
  <si>
    <t>Notice received on 12-18-09. Lease cancelled. '$1,905.00+ 3-YR Rent $762.00 = Total $3,048.0 Received 8-31-10</t>
  </si>
  <si>
    <t xml:space="preserve">SEC 2 S2SW  </t>
  </si>
  <si>
    <t>HBP CA with ARES55530 since 8-2-08.  20 acres in unit -3.1179%. Lease is in unit ARES 55530; Wolf Exploration, Inc Operator (479-478-9610) Frank E Patton-Landman; first prod 1-2-2009</t>
  </si>
  <si>
    <t>Cost of ORRI's &amp; Leases sold to GST &amp; Hunt</t>
  </si>
  <si>
    <t xml:space="preserve">CA AGRMT. WITH OKNM127227 - UNIT PETRO OPR. ASGN REC. 50% - BUTKA #1-H-X </t>
  </si>
  <si>
    <t>CA AGRMT. WITH OKNM128709 - UNIT PETRO OPR. STATE OF OKLAHOMA B #1-1H</t>
  </si>
  <si>
    <t xml:space="preserve">CA AGRMT. WITH OKNM127519 - PLANO PETROLEUM. ASGN REC. 50% - LOUISE 1-30 </t>
  </si>
  <si>
    <t>CA AGRMT. WITH OKNM128116 - CHESAPEAKE OPER. GLENDA 9-16-25 #1H</t>
  </si>
  <si>
    <t>LEASE CANCELLED NOTICE - DEC 3 2012 . REFUND $ 1980 DUE</t>
  </si>
  <si>
    <t xml:space="preserve">INITIAL PAYMENT WAS FOREFEITED AND NO INTEREST IN THE LEASES </t>
  </si>
  <si>
    <t>100% OPR RIGHTS - CML EXPLR. - WILL PAY RENTALS</t>
  </si>
  <si>
    <t xml:space="preserve">LEASE AMENDED. BID REFUNDED. 50% OWNED BY GINGER </t>
  </si>
  <si>
    <t>ANDERSON OIL, LTD  OWNS 50%</t>
  </si>
  <si>
    <t>ANDERSON OIL, LTD OWNS 50%</t>
  </si>
  <si>
    <t>LEASE ACREAGE AMENDED. TO BE REFUNDED: EXCESS BONUS BID $488.00; EXCESS RENT PYMTS (2) $732.00</t>
  </si>
  <si>
    <t>Remaining due after sale paid by check # 1911</t>
  </si>
  <si>
    <t>PART CANCELLED;  REFUNDED $42,225. BONUS $42,000;RENT $225 - RECORDED LINE 814</t>
  </si>
  <si>
    <t>LEASES EXPIRED IN 2009</t>
  </si>
  <si>
    <t xml:space="preserve"> PAID BY CK # 3451 ON 3/4/11</t>
  </si>
  <si>
    <t>ASSIGNED 100% OF 320 ACRES TO PINTADO O&amp;G. 7.5% ORRI RESERVED BY R&amp;R</t>
  </si>
  <si>
    <r>
      <t xml:space="preserve">E2 OF 80 ACRES OF LAND DECSCRIBED AS BEING 80 ACRES BETWEEN PARALLEL LINES ON THE EAST SIDE OF LOT 5. </t>
    </r>
    <r>
      <rPr>
        <b/>
        <sz val="10"/>
        <rFont val="Cambria"/>
        <family val="1"/>
        <scheme val="major"/>
      </rPr>
      <t>50% MINERAL INT.</t>
    </r>
  </si>
  <si>
    <t>Subject to FS Lease Notices No.3 &amp; 4; FS CONTROLLED SURFACE USE STIPULATION #1</t>
  </si>
  <si>
    <t>DESCRIPTION III</t>
  </si>
  <si>
    <t xml:space="preserve">COST OF LEASES SOLD TO CHESAPEAKE ENERGY </t>
  </si>
  <si>
    <t>ORRI - 6.25 % UNIFIED, 6.25% AHUJA CHILDREN 2012 LT TRUST - Sold to Newfield</t>
  </si>
  <si>
    <t>ES-001-06/2014</t>
  </si>
  <si>
    <t>Expired 2013</t>
  </si>
  <si>
    <t>Expired 2014</t>
  </si>
  <si>
    <t>SALE FOR THE LEASES LISTED AND HIGHLIGHTED IN COLUMN "A"</t>
  </si>
  <si>
    <t>ALES57888</t>
  </si>
  <si>
    <t>ES-002-03/2014</t>
  </si>
  <si>
    <t>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t>
  </si>
  <si>
    <t>PANACEA OWNS 50.00%. WILL PAY RENTALS. U.S. MINERAL INT 50.00 %</t>
  </si>
  <si>
    <t>ALES57966</t>
  </si>
  <si>
    <t>ALES57967</t>
  </si>
  <si>
    <t>ES-001-09/2014</t>
  </si>
  <si>
    <t>ES-002-09/2014</t>
  </si>
  <si>
    <t>SEC 7 NWNE</t>
  </si>
  <si>
    <t>SEC 34 S2SW</t>
  </si>
  <si>
    <t>CLARKE</t>
  </si>
  <si>
    <t>SEC 18 NENW</t>
  </si>
  <si>
    <t>Lease Amendment 1 - 7/29/2008 Rents (4@274.50) $1,098; Bonus $1448) - Reduced by 181 acres. Lease Amendment 2 - 6/30/2009 (Refunds Due - Rents 382.50 ($76.50 X 5); Bonus 408.00) Reduced by 51.23 acres. Expired in 2014</t>
  </si>
  <si>
    <t xml:space="preserve">ESPEJO PAID $65,527 FOR 10% WI. R&amp;R'S WI - 0.71 &amp; NRI - 0.52 RESPECTIVELY. </t>
  </si>
  <si>
    <t>NMNM133492</t>
  </si>
  <si>
    <t>NMNM133493</t>
  </si>
  <si>
    <t>NMNM133494</t>
  </si>
  <si>
    <t>NMNM133499</t>
  </si>
  <si>
    <t>NMNM133501</t>
  </si>
  <si>
    <t>NMNM133502</t>
  </si>
  <si>
    <t>201410-001</t>
  </si>
  <si>
    <t>201410-002</t>
  </si>
  <si>
    <t>201410-003</t>
  </si>
  <si>
    <t>201410-008</t>
  </si>
  <si>
    <t>201410-010</t>
  </si>
  <si>
    <t>201410-011</t>
  </si>
  <si>
    <t>PANACEA OWNS 50.00%. WILL PAY RENTALS.</t>
  </si>
  <si>
    <r>
      <t>SEE ATTACHED PAGE ON ACTUAL LEASE.</t>
    </r>
    <r>
      <rPr>
        <i/>
        <sz val="10"/>
        <rFont val="Cambria"/>
        <family val="1"/>
        <scheme val="major"/>
      </rPr>
      <t/>
    </r>
  </si>
  <si>
    <t xml:space="preserve"> U.S. MINERAL INT 6.25%</t>
  </si>
  <si>
    <t>JACKSON &amp; HARRISON</t>
  </si>
  <si>
    <t>TERM ASSGN. W/ VICTOR SMITH OIL CO. OPERATING RIGHTS ASSGN. - 280 ACRES ( 2 YR TERM)</t>
  </si>
  <si>
    <t>LEASE CANCELLED AND FULLY REFUNDED. CREDIT GIVEN TO RA &amp; KA</t>
  </si>
  <si>
    <t>SOLD - ASSIGNING 100% RECORD TITLE TO ENERVEST. ASSGN FILED.</t>
  </si>
  <si>
    <t>ARES58000</t>
  </si>
  <si>
    <t>ARES58001</t>
  </si>
  <si>
    <t>LAES58002</t>
  </si>
  <si>
    <t>LAES58003</t>
  </si>
  <si>
    <t>LAES58004</t>
  </si>
  <si>
    <t>PAES58006</t>
  </si>
  <si>
    <t>PAES58007</t>
  </si>
  <si>
    <t>PAES58008</t>
  </si>
  <si>
    <t>PAES58009</t>
  </si>
  <si>
    <t>PAES58010</t>
  </si>
  <si>
    <t>PA</t>
  </si>
  <si>
    <t>ES-001-03/2015</t>
  </si>
  <si>
    <t>ES-002-03/2015</t>
  </si>
  <si>
    <t>ES-003-03/2015</t>
  </si>
  <si>
    <t>ES-004-03/2015</t>
  </si>
  <si>
    <t>ES-005-03/2015</t>
  </si>
  <si>
    <t>ES-007-03/2015</t>
  </si>
  <si>
    <t>ES-008-03/2015</t>
  </si>
  <si>
    <t>ES-009-03/2015</t>
  </si>
  <si>
    <t>ES-010-03/2015</t>
  </si>
  <si>
    <t>ES-011-03/2015</t>
  </si>
  <si>
    <t>FAULKNER</t>
  </si>
  <si>
    <t>WHITE</t>
  </si>
  <si>
    <t>COUPEE PARISH</t>
  </si>
  <si>
    <t>BRADFORD</t>
  </si>
  <si>
    <t>MERIDIAN 5TH PM T7N R12W</t>
  </si>
  <si>
    <t>SEC 29 S2NW</t>
  </si>
  <si>
    <t>MERIDIAN LOUISIANA T18N R15W</t>
  </si>
  <si>
    <t xml:space="preserve">SEC 17 LOTS 1 AND 2 </t>
  </si>
  <si>
    <t>MERIDIAN LOUISIANA T23N R15W</t>
  </si>
  <si>
    <t>SEC 4 SWSW SEC 5 NWSE SEC 6 W2SW SESW SWSE</t>
  </si>
  <si>
    <t>MERIDIAN LOUISIANA PM T6S R10E</t>
  </si>
  <si>
    <t>SEC 59 ALL SEC 60 ALL</t>
  </si>
  <si>
    <t xml:space="preserve">75 % - US MINERAL INT. </t>
  </si>
  <si>
    <t xml:space="preserve">MERIDIAN WARREN TOWNSHIP </t>
  </si>
  <si>
    <t>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t>
  </si>
  <si>
    <t>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t>
  </si>
  <si>
    <t>TRCT 1200 - 179.56 ACRS IN ST GAME LANDS 219, TRCT 1204 - 78.00 ACRS IN ST GAME LANDS 219, TRCT 1205 - 123.00 ACRS IN ST GAME LANDS 219, TRCT 1207 - 137.00 ACRS IN ST GAME LANDS 219, TRCT 1208 - 191.00 ACRS IN ST GAME LANDS 219, TRCT 1209 - 223.20 ACRS IN ST GAME LANDS 219</t>
  </si>
  <si>
    <t>TRCT 1211 - 52.25 ACRS IN ST GAME LANDS 219, TRCT 1212 - 161.14 ACRS IN ST GAME LANDS 219, TRCT 1213 - 78.80 ACRS IN ST GAME LANDS 219, TRCT 1214 - 79.00 ACRS IN ST GAME LANDS 219, TRCT 1215 - 154.00 ACRS IN ST GAME LANDS 219, TRCT 1216 - 92.00 ACRS IN ST GAME LANDS 219</t>
  </si>
  <si>
    <t>TRCT 1219 &amp; 1219A - 244.00 ACRS IN ST GAME LANDS 219, TRCT 1225 - 91.00 ACRS IN ST GAME LANDS 219, TRCT 1300 - 356.27 ACRS IN ST GAME LANDS 219</t>
  </si>
  <si>
    <t xml:space="preserve">TO BE ASSIGNED TO SAVANNAH </t>
  </si>
  <si>
    <t xml:space="preserve">The eastern most portion of Tract 106 containing 51.38 acres </t>
  </si>
  <si>
    <t xml:space="preserve">113, 116, 119, 125; TR 148, 400-1 </t>
  </si>
  <si>
    <t>NMNM134889</t>
  </si>
  <si>
    <t>NMNM134892</t>
  </si>
  <si>
    <t>OKNM134915</t>
  </si>
  <si>
    <t>NM-201507-043</t>
  </si>
  <si>
    <t>SEC 017 S2</t>
  </si>
  <si>
    <t>NM-201507-046</t>
  </si>
  <si>
    <t>SEC 031 LOTS 3,4; E2SW</t>
  </si>
  <si>
    <t>NM-201504-070</t>
  </si>
  <si>
    <t>ARES58034</t>
  </si>
  <si>
    <t>ARES58035</t>
  </si>
  <si>
    <t>LAES58037</t>
  </si>
  <si>
    <t>LAES58038</t>
  </si>
  <si>
    <t>MIES58039</t>
  </si>
  <si>
    <t>ES-004-07/15</t>
  </si>
  <si>
    <t xml:space="preserve">CADDO PARISH </t>
  </si>
  <si>
    <t>SEC 28 SESE</t>
  </si>
  <si>
    <t>ES-006-07/15</t>
  </si>
  <si>
    <t>SEC 6 NWNW</t>
  </si>
  <si>
    <t>MIES58040</t>
  </si>
  <si>
    <t>ES-007-07/15</t>
  </si>
  <si>
    <t>SEC 10 SENE</t>
  </si>
  <si>
    <t>MIES58041</t>
  </si>
  <si>
    <t>ES-008-07/15</t>
  </si>
  <si>
    <t>SEC 20 E2SW SEC 21 E2SE</t>
  </si>
  <si>
    <t>MIES58042</t>
  </si>
  <si>
    <t>ES-009-07/15</t>
  </si>
  <si>
    <t>SEC 8 E2SW SEC 16 N2NW N2NE SENE E2SE SWSE SEC 23 S2NE</t>
  </si>
  <si>
    <t>MIES58043</t>
  </si>
  <si>
    <t>ES-010-07/15</t>
  </si>
  <si>
    <t>SEC 6 NWNE SEC 7 ALL SEC 18 NWNE NENW</t>
  </si>
  <si>
    <t>MIES58044</t>
  </si>
  <si>
    <t>ES-011-07/15</t>
  </si>
  <si>
    <t>SEC 4 S2SW SEC 8 S2NE SEC 16 N2NW E3/4SENW E2SW SESE</t>
  </si>
  <si>
    <t>SEC 17 E2SW SEC 20 SENE NESE SEC 21 NWSW SWNW NENW SWNE</t>
  </si>
  <si>
    <t>MIES58045</t>
  </si>
  <si>
    <t>ES-012-07/15</t>
  </si>
  <si>
    <t>SEC 30 E2NE SEC 31 NE SEC 32 N2NW EXC. NWNENW SW S2SESE</t>
  </si>
  <si>
    <t>MIES58046</t>
  </si>
  <si>
    <t>ES-013-07/15</t>
  </si>
  <si>
    <t xml:space="preserve">SEC 1 PART OF ENTIRE SECTION EXC. 100' WIDE PERE MARQUETTE </t>
  </si>
  <si>
    <t>RR R/W CONTAINING 9.4 ACRES; SEC 2 PART OF NE EXC. 4.6875 AC. IN NW CORNER OF SWNE. ALSO EXC. 100' WIDE PERE MARQUETTE RR R/W PT. SE LYING E OF PMRR, W3/4NW</t>
  </si>
  <si>
    <t>MIES58047</t>
  </si>
  <si>
    <t>ES-014-07/15</t>
  </si>
  <si>
    <t>SEC 6 SESW SEC 7 NWNE</t>
  </si>
  <si>
    <t>MIES58048</t>
  </si>
  <si>
    <t>ES-015-07/15</t>
  </si>
  <si>
    <t>SEC 25 N2NE SEC 26 NWNE E2NW N 30 AC. SE N2S2S2SE</t>
  </si>
  <si>
    <t>MIES58049</t>
  </si>
  <si>
    <t>ES-016-07/15</t>
  </si>
  <si>
    <t>SEC 30 W2NW</t>
  </si>
  <si>
    <t>MIES58050</t>
  </si>
  <si>
    <t>ES-017-07/15</t>
  </si>
  <si>
    <t>SEC 24 SESWNENW S2SENENW W2NWNENW NWSWNENW</t>
  </si>
  <si>
    <t>MIES58051</t>
  </si>
  <si>
    <t>ES-018-07/15</t>
  </si>
  <si>
    <t>SEC 27 PT E2SWSW SEC 34 SWNE NENW NESW N2SE PT S2NW</t>
  </si>
  <si>
    <t>EXC. 2.98 ACRS IN PMRR PT. NWNW LYING E OF E LINE OF PMRR R/W SESW SWSE</t>
  </si>
  <si>
    <t>MIES58052</t>
  </si>
  <si>
    <t>ES-019-07/15</t>
  </si>
  <si>
    <t>SEC 15 E2SE W2NW SEC 16 S2 SEC 17 SESW S2SE SEC 19 NESE</t>
  </si>
  <si>
    <t>SEC 20 N2 W2SW</t>
  </si>
  <si>
    <t>MIES58053</t>
  </si>
  <si>
    <t>ES-020-07/15</t>
  </si>
  <si>
    <t xml:space="preserve">SEC 29 NWNW SW SESE SEC 30 NWSW E2SE </t>
  </si>
  <si>
    <t>SEC 31 PT OF ENTIRE SECTION EXC. A STRIP 66' WIDE CONTAINING 9.52 AC. RUNNING ACROSS NWNW S2NW NESW S2SE &amp; SESE</t>
  </si>
  <si>
    <t>MIES58054</t>
  </si>
  <si>
    <t>ES-021-07/15</t>
  </si>
  <si>
    <t xml:space="preserve">SEC 17 W2NENWNW, PT N2SWNW N. OF RR PT. N2SWNW </t>
  </si>
  <si>
    <t>MIES58055</t>
  </si>
  <si>
    <t>ES-022-07/15</t>
  </si>
  <si>
    <t xml:space="preserve">SEC 1 S2SENE NESE S2SE SEC 3 PART LOT 5 EXC. N 79 RODS OF W </t>
  </si>
  <si>
    <t>60 RODS SEC 10 SENW SEC 11 PT. OF N2SENE EXC. 1 AC., S2SE NESW SESW EXC. 5 AC. OFF W SIDE 80 RODS N&amp;S AND 10 RODS WIDE SEC 12 SENW W2NW S2SW NE NENW N2SW W2SE</t>
  </si>
  <si>
    <t>MIES58056</t>
  </si>
  <si>
    <t>ES-023-07/15</t>
  </si>
  <si>
    <t>SEC 2 NWNW S2NW N2SW PT. N2S2SW LYING W OF SO. BRANCH</t>
  </si>
  <si>
    <t xml:space="preserve">OF PERE MARQUETTE RIVER SEC 3 N2NE W2 SEC 11 S2NE SEC 12 SWNE </t>
  </si>
  <si>
    <t>MIES58057</t>
  </si>
  <si>
    <t>ES-024-07/15</t>
  </si>
  <si>
    <t xml:space="preserve">SEC 13 NENE E2SW SEC 14 S2S2NE S2SE SEC 16 S2NE </t>
  </si>
  <si>
    <t>MIES58058</t>
  </si>
  <si>
    <t>ES-025-07/15</t>
  </si>
  <si>
    <t>SEC 23 N2SE SESE W2NE E2NENW E2SENW E2SW SEC 24</t>
  </si>
  <si>
    <t>W2SWSW N2NE PT E2SW ALL NORTH OF CENTERLINE OF COUNTY RD</t>
  </si>
  <si>
    <t>MIES58059</t>
  </si>
  <si>
    <t>ES-026-07/15</t>
  </si>
  <si>
    <t>SEC 25 NWNE S2NE SENW SESW SE SEC 26 SENE NESE S2SE S2SW</t>
  </si>
  <si>
    <t>NWSE SEC 34 NENE SEC 35 S2NW S2NE S2 OF LOT 1 SEC 36 NW N2SW</t>
  </si>
  <si>
    <t>MIES58060</t>
  </si>
  <si>
    <t>ES-027-07/15</t>
  </si>
  <si>
    <t>SEC 8 N2NE SENE</t>
  </si>
  <si>
    <t>MIES58061</t>
  </si>
  <si>
    <t>ES-028-07/15</t>
  </si>
  <si>
    <t>SEC 11 SE SEC 12 SWSW SEC 13 NENE S2NE S2SW SWSE N2SE</t>
  </si>
  <si>
    <t>SEC 14 SESE</t>
  </si>
  <si>
    <t>MIES58062</t>
  </si>
  <si>
    <t>ES-029-07/15</t>
  </si>
  <si>
    <t>SEC 23 E2NE SWNE S2NW SW SEC 24 NE W2NW SW W2SE SESE</t>
  </si>
  <si>
    <t>MIES58063</t>
  </si>
  <si>
    <t>ES-030-07/15</t>
  </si>
  <si>
    <t>SEC 25 NW NE NESW S2SW N2SE SEC 26 E2 NW N2SW</t>
  </si>
  <si>
    <t>MIES58064</t>
  </si>
  <si>
    <t>ES-031-07/15</t>
  </si>
  <si>
    <t>SEC 5 PT. N2 LYING W OF LITTLE S. BRANCH PM RIVER EXC. PARCEL</t>
  </si>
  <si>
    <t>BEG. AT SE CORNER OF SWNE THENCE W 10 RODS; THENCE N TO SAID RIVER THEN SE'LY ALONG RIVER TO BEG., PT. N2 LYING E OF LITTLE S. BRANCH PM RIVER EXC. S 330' OF SWNE LYING E OF SAID RIVER, EXC. SENE &amp; NENE</t>
  </si>
  <si>
    <t>MIES58065</t>
  </si>
  <si>
    <t>ES-032-07/15</t>
  </si>
  <si>
    <t>SEC 32 E3/4N3/4S2NE</t>
  </si>
  <si>
    <t xml:space="preserve">1/3RD - US MINERAL INT. </t>
  </si>
  <si>
    <t>MIES58066</t>
  </si>
  <si>
    <t>ES-033-07/15</t>
  </si>
  <si>
    <t>50% - US MINERAL INT.</t>
  </si>
  <si>
    <t>SEC 32 SWSW</t>
  </si>
  <si>
    <t>MIES58067</t>
  </si>
  <si>
    <t>ES-034-07/15</t>
  </si>
  <si>
    <t>75% - US MINERAL INT.</t>
  </si>
  <si>
    <t>SEC 18 N2 E2SW SE SEC 19 NWNW E2NW E2SW W2SE SESE</t>
  </si>
  <si>
    <t>SEC 30 E2NE E2NW W2E2</t>
  </si>
  <si>
    <t>MIES58068</t>
  </si>
  <si>
    <t>ES-035-07/15</t>
  </si>
  <si>
    <t>SEC 17 SENE NESE SEC 20 SE E2SW SEC 29 NENW S2NW NE W2SE</t>
  </si>
  <si>
    <t>NESE</t>
  </si>
  <si>
    <t>MIES58069</t>
  </si>
  <si>
    <t>ES-036-07/15</t>
  </si>
  <si>
    <t>91.67% US MINERAL INT.</t>
  </si>
  <si>
    <t>SEC 19 NE</t>
  </si>
  <si>
    <t>MIES58070</t>
  </si>
  <si>
    <t>ES-037-07/15</t>
  </si>
  <si>
    <t>SEC 23 W3/4NW</t>
  </si>
  <si>
    <t>MIES58071</t>
  </si>
  <si>
    <t>MIES58072</t>
  </si>
  <si>
    <t>ES-038-07/15</t>
  </si>
  <si>
    <t>ES-039-07/15</t>
  </si>
  <si>
    <t>12.5% - US MINERAL INT.</t>
  </si>
  <si>
    <t>SEC 35 NWNE</t>
  </si>
  <si>
    <t>87.5% - US MINERAL INT.</t>
  </si>
  <si>
    <t>SEC 13 SESE SEC 24 NENW NESE SEC 25 NWSW</t>
  </si>
  <si>
    <t>ST. MARY</t>
  </si>
  <si>
    <t>NEVADA</t>
  </si>
  <si>
    <t>ES-001-09/12</t>
  </si>
  <si>
    <t>SEC 1 W2 LESS 4.82 ACRS IN S2S2SW (LOTS 3,4,5) SEC 2 E2NE FRL E2SW N2SE</t>
  </si>
  <si>
    <t>SEC 4 N2NE LESS 4 ACRES ON EAST SIDE OF NENE NENW</t>
  </si>
  <si>
    <t>ES-003-09/12</t>
  </si>
  <si>
    <t>SEC 7 W2SW SEC 9 S2NE SWNW S2</t>
  </si>
  <si>
    <t>ES-004-09/12</t>
  </si>
  <si>
    <t>SEC 10 FRL. N2NE S2N2 S2</t>
  </si>
  <si>
    <t>ES-007-09/12</t>
  </si>
  <si>
    <t>SEC 12 FRL. W2NW SEC 13 FRL. N2SW S2SW SE</t>
  </si>
  <si>
    <t>ES-008-09/12</t>
  </si>
  <si>
    <t>SEC 13 TRACT C-120 IN THE E2NE</t>
  </si>
  <si>
    <t>ES-009-09/12</t>
  </si>
  <si>
    <t>SEC 14 7 39 TRACT C-1749 IN N2NESE OF SECS 14 &amp; 39 &amp; N2SWSE OF SEC 14</t>
  </si>
  <si>
    <t>TRACT C-1472 IN NWSE OF SECS 14 &amp; 39 TRACT C-85 IN NESE OF SECS 14 &amp; 39</t>
  </si>
  <si>
    <t>ES-010-09/12</t>
  </si>
  <si>
    <t>SEC 15 ALL</t>
  </si>
  <si>
    <t>ES-011-09/12</t>
  </si>
  <si>
    <t>SEC 20 E2 SESW</t>
  </si>
  <si>
    <t>ES-012-09/12</t>
  </si>
  <si>
    <t>SEC 21 N2 W2SW SESW NESE</t>
  </si>
  <si>
    <t>ES-013-09/12</t>
  </si>
  <si>
    <t xml:space="preserve">SEC 22 NWNE N2NW SEC 23 SENE S2S2 NESE SEC 24 W2E2 LESS 4 ACRES IN </t>
  </si>
  <si>
    <t>NWNE NW</t>
  </si>
  <si>
    <t>ES-014-09/12</t>
  </si>
  <si>
    <t>SEC 26 ALL THE LESS SWSENW</t>
  </si>
  <si>
    <t>ES-015-09/12</t>
  </si>
  <si>
    <t>SEC 27 ALL</t>
  </si>
  <si>
    <t>ES-016-09/12</t>
  </si>
  <si>
    <t>SEC 28 NWNE S2N2 S2</t>
  </si>
  <si>
    <t>ES-017-09/12</t>
  </si>
  <si>
    <t>SEC 29 E2 NENW E2E2SENW</t>
  </si>
  <si>
    <t>ES-018-09/12</t>
  </si>
  <si>
    <t>SEC 32 NE E2NW PART OF W2NW N2SE SESE</t>
  </si>
  <si>
    <t>ES-019-09/12</t>
  </si>
  <si>
    <t>SEC 33 ALL</t>
  </si>
  <si>
    <t>ES-020-09/12</t>
  </si>
  <si>
    <t>SEC 34 N2NE SWNE NW NESW S2NWSW S2SW W2SE SESE</t>
  </si>
  <si>
    <t>ES-021-09/12</t>
  </si>
  <si>
    <t>SEC 38 TRACT C-59 IN N2</t>
  </si>
  <si>
    <t>ES-022-09/12</t>
  </si>
  <si>
    <t>SEC 2 SENE S2S2NWSW N2SE SEC 4 N2NW SENW SEC 5 ALL OF TRACT C-1685</t>
  </si>
  <si>
    <t>LYING IN THE NE &amp; SENW; SEC 11 NESW S2SENW</t>
  </si>
  <si>
    <t>ES-023-09/12</t>
  </si>
  <si>
    <t>SEC 18 S2SW SEC 19 NE NESE</t>
  </si>
  <si>
    <t>ES-024-09/12</t>
  </si>
  <si>
    <t xml:space="preserve">SEC 28 SESE SEC 30 S2NE S2NENE N2NW SEC 32 S2SW SEC 34 W2SW SEC 36 </t>
  </si>
  <si>
    <t>NENE</t>
  </si>
  <si>
    <t>ES-025-09/12</t>
  </si>
  <si>
    <t>SEC 4 SWSW</t>
  </si>
  <si>
    <t>ES-026-09/12</t>
  </si>
  <si>
    <t xml:space="preserve">SEC 6 ALL LAND WEST OF RD 339 LESS &amp; EXCEPT THE NENE </t>
  </si>
  <si>
    <t>SEC 7 ALL LAND WEST OF RD 339 (37.50 AC)</t>
  </si>
  <si>
    <t>ES-027-09/12</t>
  </si>
  <si>
    <t>SEC 19 ALL LAND SOUTH &amp; WEST OF FOREST HIGHWAY 59</t>
  </si>
  <si>
    <t>ES-028-09/12</t>
  </si>
  <si>
    <t xml:space="preserve">SEC 20 PART OF TRACT K-2 IN SESE AS PART OF LONGLEAF TRAIL (35.30 AC) </t>
  </si>
  <si>
    <t>SEC 21 PART OF TRACT K-2 IN SWSW AS PART OF LONGLEAF TRAIL VISTA RECREATION AREA (47.70 AC)</t>
  </si>
  <si>
    <t>ES-029-09/12</t>
  </si>
  <si>
    <t>SEC 22 TRACT K-15 IN THE E2SE</t>
  </si>
  <si>
    <t>ES-030-09/12</t>
  </si>
  <si>
    <t>SEC 22 TRACT K-178 IN THE N2SE SEC 23 N2 SW</t>
  </si>
  <si>
    <t>ES-031-09/12</t>
  </si>
  <si>
    <t>SEC 26 TRACT K-178 IN SENE E2SWNE SW EAST OF LA 119; SE LESS SENESE</t>
  </si>
  <si>
    <t>ES-032-09/12</t>
  </si>
  <si>
    <t xml:space="preserve">SEC 28 TRACT K-2 IN N2NW AS PART OF LONGLEAF TRAIL VISTA RECREATION </t>
  </si>
  <si>
    <t>AREA</t>
  </si>
  <si>
    <t>ES-033-09/12</t>
  </si>
  <si>
    <t>SEC 28 SWSW SOUTH AND WEST OF FOREST HIGHWAY 59</t>
  </si>
  <si>
    <t>ES-034-09/12</t>
  </si>
  <si>
    <t>SEC 29 ALL LAND SOUTH AND WEST OF FOREST HIGHWAY 59</t>
  </si>
  <si>
    <t>ES-035-09/12</t>
  </si>
  <si>
    <t>SEC 29 THAT PART OF TRACT K-2 IN NE &amp; NESE AS PART OF LONGLEAF TRAIL</t>
  </si>
  <si>
    <t>VISTA RECREATIONAL AREA</t>
  </si>
  <si>
    <t>ES-036-09/12</t>
  </si>
  <si>
    <t>ES-037-09/12</t>
  </si>
  <si>
    <t>SEC 31 ALL</t>
  </si>
  <si>
    <t>ES-038-09/12</t>
  </si>
  <si>
    <t>SEC 32 ALL</t>
  </si>
  <si>
    <t>ES-039-09/12</t>
  </si>
  <si>
    <t>SEC 33 ALL LAND SOUTH OF FOREST HIGHWAY 59</t>
  </si>
  <si>
    <t>ES-040-09/12</t>
  </si>
  <si>
    <t>SEC 34 ALL LAND SOUTH OF FOREST HIGHWAY 59 LESS &amp; EXCEPT 9.96 ACRES</t>
  </si>
  <si>
    <t>IN NESENE</t>
  </si>
  <si>
    <t>ES-041-09/12</t>
  </si>
  <si>
    <t>SEC 35 NENE W2NE W2 LESS &amp; EXCEPT 12.5 ACRES IN NWNW</t>
  </si>
  <si>
    <t>ES-042-09/12</t>
  </si>
  <si>
    <t>VERNON</t>
  </si>
  <si>
    <t>SEC 13 S2NE NWNW SWSW SE SEC 14 N2NE SWNE W2 NESE S2SE</t>
  </si>
  <si>
    <t>ES-043-09/12</t>
  </si>
  <si>
    <t>SEC 15 E2E2 SWSW SEC 16 SWNW S2S2 NESE</t>
  </si>
  <si>
    <t>ES-044-09/12</t>
  </si>
  <si>
    <t>SEC 17 NE N2NW N2SENW S2</t>
  </si>
  <si>
    <t>ES-045-09/12</t>
  </si>
  <si>
    <t>SEC 18 E2 NENW NENWNW S2NWNW S2NW E2SW SEC 19 S2NE NENW E2SE</t>
  </si>
  <si>
    <t>ES-046-09/12</t>
  </si>
  <si>
    <t>SEC 20 ALL LESS 39.80 ACRES (TRACT V-10) IN E2 SEC 21 NE NENW S2NW S2</t>
  </si>
  <si>
    <t>ES-047-09/12</t>
  </si>
  <si>
    <t>SEC 22 ALL SEC 23 N2N2 SWNW S2NESW NWSW S2SW W2SE E2SESE</t>
  </si>
  <si>
    <t>ES-048-09/12</t>
  </si>
  <si>
    <t>SEC 24 ALL</t>
  </si>
  <si>
    <t>ES-049-09/12</t>
  </si>
  <si>
    <t>SEC 25 N2 N2SW SESW SE SEC 26 N2 SW N2SE SWSE</t>
  </si>
  <si>
    <t>ES-050-09/12</t>
  </si>
  <si>
    <t>SEC 27 ALL SEC 28 ALL</t>
  </si>
  <si>
    <t>ES-051-09/12</t>
  </si>
  <si>
    <t>SEC 29 N2 N2S2 SESW S2SE LESS 14.0 ACRES (TRACT V-10) SEC 30 E2NE SWNW</t>
  </si>
  <si>
    <t>NWSW S2SW W2SE</t>
  </si>
  <si>
    <t>ES-052-09/12</t>
  </si>
  <si>
    <t>SEC 31 NENE S2NE NW S2 SEC 32 W2NW S2</t>
  </si>
  <si>
    <t>ES-053-09/12</t>
  </si>
  <si>
    <t>SEC 33 E2 N2NW SENW NWSW SEC 34 ALL</t>
  </si>
  <si>
    <t>ES-054-09/12</t>
  </si>
  <si>
    <t>SEC 35 NWNE S2NE NW S2 SEC 36 E2</t>
  </si>
  <si>
    <t>SOLD TO REAGAN SMITH MAY 2015</t>
  </si>
  <si>
    <t>ACREAGE AMENDED-AS PER MAR 16, 2015 BLM NOTICE. $ 1968.50 TO BE REFUNDED. SOLD TO REAGAN SMITH MAY 2015</t>
  </si>
  <si>
    <t>AHUJA CHILDREN TRST - 7.5% ORRI / R&amp;R - 25% WI. COLEY 35-6# 1 WELL-STETSON PETROLEUM</t>
  </si>
  <si>
    <t>ES-005-07/15</t>
  </si>
  <si>
    <t xml:space="preserve">SEC 23 LOTS 7 AND 8 </t>
  </si>
  <si>
    <t>NWNW N2S2NW S2SW SE SEC 25 ALL SEC 36 NWSW SESE</t>
  </si>
  <si>
    <t>SEC 16 ALL SEC 21 NWNE E2W2 SWSW N2NENE N2SWNE SWSWNE</t>
  </si>
  <si>
    <t>W2SWNENE W2SESWNE S2NWSW W2W2SE SESWSE S2N2SESE SWSESE S2NESWSE</t>
  </si>
  <si>
    <t xml:space="preserve">SEC 4 LOTS 3,4 SWNE SENW NWSE S2SE N2SWNW N2SWSWNW SESWSENW </t>
  </si>
  <si>
    <t>SESWNW W2W2NESE SESWNESE S2SENESE SEC 9 LOTS 4 NE SEC 17 NE</t>
  </si>
  <si>
    <t>SEC 21 S2NE SEC 22 E2NW W2W2</t>
  </si>
  <si>
    <t xml:space="preserve">MERIDIAN NMPM T0220N R0010W </t>
  </si>
  <si>
    <t>SEC 11 N2 SESW SE E2NESW E2W2NESW NWNWNESW SWSWNESW N2N2NWSW</t>
  </si>
  <si>
    <t>SESENWSW NESWSW SENWSWSW S2SWSW SEC 12 LOTS 1-4 W2E2 W2 SEC 14 E2 N2NW S2SW NESWNW NWNWSENW E2NWSENW NESENW NESWSENW N2SESENW E2NWSW NENWNWSW S2NWNWSW SWNWSW S2NENESW W2NWNESW SENWNESW S2NESW SEC 15 N2N2 SWNE N2S2NW W2SENE N2SWSWNW SWSWSWNW NWSESWNW NWNWNWSW</t>
  </si>
  <si>
    <t xml:space="preserve">MERIDIAN NMPM T0230N R0010W </t>
  </si>
  <si>
    <t>SEC 13 S2S2 NWSW NESE S2S2NESW NENWSE NWSWNESW NESENESW SENWNWSE</t>
  </si>
  <si>
    <t>S2NWSE SEC 23 LOTS 1-4 E2 E2W2 SEC 24 ALL</t>
  </si>
  <si>
    <t xml:space="preserve">SEC 25 ALL SEC 26 LOTS 5,8 E2 E2NW NESW E2NWSW NENWNW E2NWNWNW </t>
  </si>
  <si>
    <t>E2SENWNW PT OF LOT 1 E2NESWNW NWSWSWNW NESESWNW S2S2SWNW PT OF LOT 2 SEC 35 LOTS 1-8 E2NE SE SEC 36 ALL</t>
  </si>
  <si>
    <t>SOLD TO RKI EXPLORATION (KHODY MINERALS CO.) IN NOVEMBER 2015</t>
  </si>
  <si>
    <t xml:space="preserve">SUNDANCE ENERGY REASSIGNING TO R&amp;R. WE HAVE TO PAY RENTALS. </t>
  </si>
  <si>
    <t xml:space="preserve"> BOUGHT FROM I MEADE HUFFORD. EXPIRED IN 2015</t>
  </si>
  <si>
    <t>IM MERIDIAN, T170N,R160W</t>
  </si>
  <si>
    <t>SEC 29 NENW; SEC 30, LOT 2</t>
  </si>
  <si>
    <t>95% ASSGND TO MERCED, R&amp;R RETAINED 5% . HBP - CROW CANYON UNIT</t>
  </si>
  <si>
    <t>LEASE CANCELLED - RENTAL NOT PAID AS PER ACA'S DIRECTIVE</t>
  </si>
  <si>
    <t>ES-002-09/12</t>
  </si>
  <si>
    <t xml:space="preserve">SEC 5 N2 AND NESW ALL LYING NORTH OF BIG CREEK SEC 6 TRACK IN NE NORTH </t>
  </si>
  <si>
    <t>OF BIG CREEK</t>
  </si>
  <si>
    <t>ES-006-09/12</t>
  </si>
  <si>
    <t>SEC 11 FRL ENTIRE SECTION</t>
  </si>
  <si>
    <t>ES-009-03/13</t>
  </si>
  <si>
    <t xml:space="preserve">SEC 4 W2W2 SEC 5 ALL SEC 6 ALL </t>
  </si>
  <si>
    <t>ES-010-03/13</t>
  </si>
  <si>
    <t>SEC 8 ALL LESS 6.15 ACRES S7E OF HWY 399 IN SESE; SEC 9 NWNW</t>
  </si>
  <si>
    <t>ES-020-03/13</t>
  </si>
  <si>
    <t>RAPIDS PARISH</t>
  </si>
  <si>
    <t>SEC 4 PART OF TRACT E-3 IN W2NW (LOTS 2&amp;3); SEC 5 FR NE FR SENW FR SW FR SE</t>
  </si>
  <si>
    <t>SEC 6 FR NE NW FR S2</t>
  </si>
  <si>
    <t>ES-021-03/13</t>
  </si>
  <si>
    <t>SEC 7 NE N2NW SENW S2 SEC 8 FR NE (LOTS 1&amp;2) NW S2 SEC 9 FR SWNW FR N2SW FR S2SW FR SWSE</t>
  </si>
  <si>
    <t>ES-022-03/13</t>
  </si>
  <si>
    <t>SEC 15 SENW</t>
  </si>
  <si>
    <t>ES-023-03/13</t>
  </si>
  <si>
    <t xml:space="preserve">SEC 15 FR W2W2 (LOT 4 &amp; SWSW) SEC 16 TRACT E-6 IN NE &amp; S2 NW TRACT E-1in </t>
  </si>
  <si>
    <t>S2SE; SEC 17 ALL</t>
  </si>
  <si>
    <t>ES-024-03/13</t>
  </si>
  <si>
    <t>SEC 18 ALL SEC 19 ALL SEC 20 ALL</t>
  </si>
  <si>
    <t>ES-025-03/13</t>
  </si>
  <si>
    <t>SEE DETAILED DESCRIPTION ON LEASE (TOO LONG)</t>
  </si>
  <si>
    <t>ES-026-03/13</t>
  </si>
  <si>
    <t>ES-027-03/13</t>
  </si>
  <si>
    <t>SEC 28 N2 W2SENE W2W2E2SENE SWNW S2 SEC 29 NW N2SW SESW SEC 30 ALL</t>
  </si>
  <si>
    <t>ES-028-03/13</t>
  </si>
  <si>
    <t xml:space="preserve">SEC 31 ALL SEC 32 ALL SEC 33 ALL </t>
  </si>
  <si>
    <t>SEC 21 W2NE W2 SE SEC 22 W2NE W2 FR SE SEC 23 S2SENE N2SE SESE AND PT OR</t>
  </si>
  <si>
    <t>NW LYING N OF VALENTINE CREEK, TRACT E-3 CONTAINING 10.5 AC LYING IN THE S2NW &amp; N2SW E2SWSW SESW SWSE</t>
  </si>
  <si>
    <t>SEC 25 NE N2NW FR SWNW N OF BAYOU BEOEUF SENW NESW N2SE FR SESE</t>
  </si>
  <si>
    <t>SEC 26 E2 FR W2 SEC 27 TRACT 44 IN FR NW TRACT E-2 IN FR SW &amp; SE</t>
  </si>
  <si>
    <t>ES-029-03/13</t>
  </si>
  <si>
    <t>SEC 34 TRACT E2 IN FR N2 S2 SEC 35 ALL SEC 36 W2</t>
  </si>
  <si>
    <t>ES-030-03/13</t>
  </si>
  <si>
    <t>SEC 40 ALL SEC 43 TRACT E-79 WEST 536.36 ACRES; SEC 44 ALL</t>
  </si>
  <si>
    <t>ES-001-09/13</t>
  </si>
  <si>
    <t>ALLEGAN</t>
  </si>
  <si>
    <t>SEC 1 N2NWNW SEC 3 E2NW</t>
  </si>
  <si>
    <t>ES-003-09/13</t>
  </si>
  <si>
    <t>SEC 3 S 12 ACRES OF NENE NWNE S2NE NW N2SW W2SE SEC 4 NENE SWNE W2SENE</t>
  </si>
  <si>
    <t>NW LOT 4 LOT 5 SWSW E2SE SEC 5 ALL</t>
  </si>
  <si>
    <t>ES-002-09/13</t>
  </si>
  <si>
    <t>SEC 2 S2NE EXC S 300 FT OF E 1452 FT E2SW E2SE; SEC 4 N 10 ACRES OF E2NE W2NE</t>
  </si>
  <si>
    <t>E2SW SENW SEC 11 NE SENW E 45 ACRES OF THE N2SE S2SE SEC 12 NW</t>
  </si>
  <si>
    <t>ES-004-09/13</t>
  </si>
  <si>
    <t>ES-005-09/13</t>
  </si>
  <si>
    <t xml:space="preserve">SEC 15 ALL THAT PART OF W2NE LYING N OF KALAMAZOO RIVER AND ABOVE </t>
  </si>
  <si>
    <t>CONTOUR LINE AT ELEVATION 618 SIX ACCORDING TO USGS DATUM THAT PART OF LOT 1 LYING N OF HWY, THAT PART OF SW LYING ABOVE CONTOUR LINE AT ELEVATION 618 ACCORDING TO USGS</t>
  </si>
  <si>
    <t>ES-006-09/13</t>
  </si>
  <si>
    <t>ES-007-09/13</t>
  </si>
  <si>
    <t>DESCRIPTION NOT ON THE LEASE</t>
  </si>
  <si>
    <t>ES-008-09/13</t>
  </si>
  <si>
    <t>ES-010-09/13</t>
  </si>
  <si>
    <t xml:space="preserve">SEC 12 NENE W2NE S2NW NWNW SW NWSE S2SE SEC 13 E 100 ACRES OF NE </t>
  </si>
  <si>
    <t>W2E2NW W2NW N2NWSW SE SEC 14 W2E2NE NWNW S2NW E2SE NWNE SEC NE</t>
  </si>
  <si>
    <t>ES-014-09/13</t>
  </si>
  <si>
    <t>SEC 7 ALL EXC. N 528 FT OF NWSW SEC 8 N2SW SEC 18 NE EXC SESENE E2NW SEC 20 N2NWSW</t>
  </si>
  <si>
    <t>ES-015-09/13</t>
  </si>
  <si>
    <t>ES-016-09/13</t>
  </si>
  <si>
    <t xml:space="preserve">SEC 11 NE E2NW SW SESE SEC 12 S2N2NE S2NE NW NESW S 32.5 ACRES OF NWSW </t>
  </si>
  <si>
    <t xml:space="preserve">SESW SE SEC 14 NWNE SEC 15 E 3/4 OF N2NE N2S2NE W2 EXC SWSW AND NWNW SEC 16 S2SE SEC 17 W2SW 18 SEC 18 ENTIRE SEC EXC. E2NE </t>
  </si>
  <si>
    <t>ES-019-09/13</t>
  </si>
  <si>
    <t xml:space="preserve">SEC 13 NENE W2NE NENW NWNW EXC 1 ACRE IN SW COR. SWNW SW EXC. SESESW </t>
  </si>
  <si>
    <t>NWSE S2SE SEC 14 E2 S2NW W2SW</t>
  </si>
  <si>
    <t>ES-020-09/13</t>
  </si>
  <si>
    <t>ES-021-09/13</t>
  </si>
  <si>
    <t>SEC 35 N2NE SWNE W 60 ACRES OF W2SW S 528 FT. OF N 1056 FT OF E2SE SWSE</t>
  </si>
  <si>
    <t xml:space="preserve"> EXC. PARCEL COM AT SW COR OF SE TH N 31 RDS E 10 RDS 8 IN S 31 RDS W 10 RDS 8 IN TO PLACE OF BEG. SEC 36 E2NE SWNE E2NENW W2W2 SE</t>
  </si>
  <si>
    <t>ES-009-09/13</t>
  </si>
  <si>
    <t xml:space="preserve">SEC 34 N2N2NE S2NE NENW W2SENW NWSW NWNW W2E2SE; SEC 36 N2 EXC </t>
  </si>
  <si>
    <t>E2E2NE N 30 ACRES OF E2SW W2SW EXC. S 726 FT. OF E 699 FT., E2SE N 70 ACRES OF W2SE</t>
  </si>
  <si>
    <t>ES-001-07/15</t>
  </si>
  <si>
    <t>ES-002-07/15</t>
  </si>
  <si>
    <t>SEC 14 W1/2 NW1/4 NE1/4; SEC 24 N1/2 SW1/4 NW1/4 SE1/4 S1/2 SW1/4 NE1/4</t>
  </si>
  <si>
    <t>ES-042-03/13</t>
  </si>
  <si>
    <t xml:space="preserve">SEC 3 W2NW SEC 6 NENW W2W2 SESW SEC 7 W2 SEC 18 N2NW LESS ILLINOIS </t>
  </si>
  <si>
    <t>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t>
  </si>
  <si>
    <t>Expired 2016</t>
  </si>
  <si>
    <t>BID REJECTED - BONUS &amp; 1ST YR RENTAL REFUNDED. CREDIT GIVEN TO RA &amp; KA</t>
  </si>
  <si>
    <t>SEC 029 NE, E2NW, S2; E2SWNW;  SEC 030 SENESE, E2SESE</t>
  </si>
  <si>
    <t>T3N 21W SEC 35 S2S2</t>
  </si>
  <si>
    <t xml:space="preserve">MARCH 2017-FARMOUT W/ WILCOX ENERGY CO. WE WILL PAY RENTALS &amp; BILL THEM 100% </t>
  </si>
  <si>
    <t xml:space="preserve">SOLD TO ADVANCE ENERGY IN APRIL 2017 / ORRI-ACLT 6.25 % UA 6.25% </t>
  </si>
  <si>
    <t xml:space="preserve"> SOLD TO RKI EXPLORATION (KHODY MINERALS CO.) IN NOVEMBER 2015</t>
  </si>
  <si>
    <t xml:space="preserve">100% RECORD TITLE ASSGND TO PENNINGTON OPER. CO. WILL PAY RENTALS </t>
  </si>
  <si>
    <t>NMPM T0200N R0090W</t>
  </si>
  <si>
    <t xml:space="preserve">DEAL WITH TRIAD HUNTER, LLC </t>
  </si>
  <si>
    <t>NDM110671</t>
  </si>
  <si>
    <t>NDM97300-EO</t>
  </si>
  <si>
    <t>NDM110667</t>
  </si>
  <si>
    <t>NDM110668</t>
  </si>
  <si>
    <t>NDM110669</t>
  </si>
  <si>
    <t>NDM110670</t>
  </si>
  <si>
    <t>BOWMAN</t>
  </si>
  <si>
    <t>ND</t>
  </si>
  <si>
    <t>NDM97300-EW</t>
  </si>
  <si>
    <t xml:space="preserve">SEC 6 LOTS 4,5,7; SEC 10 SWNW, NWSW, S2SW, SWSE; SEC 18 SESE;  </t>
  </si>
  <si>
    <t>SEC 29 NENW SE; SEC 30 N2NE</t>
  </si>
  <si>
    <t>NDM97300-EV</t>
  </si>
  <si>
    <t>NDM12757-BB</t>
  </si>
  <si>
    <t>SEC 15 NENE</t>
  </si>
  <si>
    <t>NDM12757-WA</t>
  </si>
  <si>
    <t>NDM110663</t>
  </si>
  <si>
    <t>NDM110665</t>
  </si>
  <si>
    <t>NDM110666</t>
  </si>
  <si>
    <t>NDM110672</t>
  </si>
  <si>
    <t>NDM110673</t>
  </si>
  <si>
    <t>NDM110675</t>
  </si>
  <si>
    <t>NDM110676</t>
  </si>
  <si>
    <t>NDM110677</t>
  </si>
  <si>
    <t>NDM110679</t>
  </si>
  <si>
    <t>NDM110683</t>
  </si>
  <si>
    <t>SDM110685</t>
  </si>
  <si>
    <t>SDM110686</t>
  </si>
  <si>
    <t>SDM110687</t>
  </si>
  <si>
    <t>SD</t>
  </si>
  <si>
    <t>NDM97300-LW</t>
  </si>
  <si>
    <t>SEC 6 LOT 1</t>
  </si>
  <si>
    <t>NDM97300-ET</t>
  </si>
  <si>
    <t>SEC 2 LOTS 1-4 SEC 2 S2NE E2SE; SEC 8 NWNE N2NW SENW; SEC 15 N2NW</t>
  </si>
  <si>
    <t xml:space="preserve">SEC 20 E2NE; SEC 28 W2NE N2NW; SEC 32 SESW SWSE; SEC 35 S2SE </t>
  </si>
  <si>
    <t>SEC 10 S2NE SENW NESW N2SE SESE; SEC 11 S2NW SW; SEC 14 NWNW</t>
  </si>
  <si>
    <t>SEC 11 SENW E2SW; SEC 26 S2NW SW S2SE</t>
  </si>
  <si>
    <t>NDM97300-EU</t>
  </si>
  <si>
    <t>SEC 5 S2NE SENW SWSW N2SE SESE ;SEC 9 NESE; SEC 14 NENW S2NW NESW</t>
  </si>
  <si>
    <t>SEC 17 NESE; SEC 19 E2SW NWSE S2SE; SEC 23 SESE; SEC 31 NENE</t>
  </si>
  <si>
    <t>NDM97300-EP</t>
  </si>
  <si>
    <t>SEC 30 LOTS 1-4; SEC 30 NWNE S2NE E2NW E2SW; SEC 35</t>
  </si>
  <si>
    <t>NDM97300-EQ</t>
  </si>
  <si>
    <t xml:space="preserve">SEC 32 W2NW N2SW SWSW SESE; SEC 33 NE W2SE; SEC 34 NESE </t>
  </si>
  <si>
    <t>NDM97300-EM</t>
  </si>
  <si>
    <t>SEC 6 LOTS 1-4; SEC 18 LOT 1; SEC 18 E2NE NENW; SEC 20</t>
  </si>
  <si>
    <t>NDM97300-ER</t>
  </si>
  <si>
    <t>SEC 11 N2 N2SE; SEC 18 NENE</t>
  </si>
  <si>
    <t>NDM97300-ES</t>
  </si>
  <si>
    <t>SEC 12; SEC 20 S2NW</t>
  </si>
  <si>
    <t>NDM97300-EL</t>
  </si>
  <si>
    <t>SEC 12 N2NE N2NW</t>
  </si>
  <si>
    <t>NDM97300-4B</t>
  </si>
  <si>
    <t>SEC 11 S2NW SW W2SE</t>
  </si>
  <si>
    <t>SDM97300-TQ</t>
  </si>
  <si>
    <t>SEC 27 SW S2SE; SEC 34</t>
  </si>
  <si>
    <t>SDM97300-TL</t>
  </si>
  <si>
    <t>FALL RIVER</t>
  </si>
  <si>
    <t>SEC 11 NW NESW NWSE S2SE; SEC 12 NE E2NW E2SW; SEC 14 N2NE</t>
  </si>
  <si>
    <t>SDM97300-TM</t>
  </si>
  <si>
    <t>SEC 11 NWSW; SEC 12 SE</t>
  </si>
  <si>
    <t>ARES059333</t>
  </si>
  <si>
    <t>ARES059334</t>
  </si>
  <si>
    <t>ARES059335</t>
  </si>
  <si>
    <t>ARES059336</t>
  </si>
  <si>
    <t>ARES059337</t>
  </si>
  <si>
    <t>ARES059346</t>
  </si>
  <si>
    <t>ARES059347</t>
  </si>
  <si>
    <t>ARES059348</t>
  </si>
  <si>
    <t>MIES059349</t>
  </si>
  <si>
    <t>MIES059351</t>
  </si>
  <si>
    <t>MIES059352</t>
  </si>
  <si>
    <t>MIES059353</t>
  </si>
  <si>
    <t>ES-001-09/2018</t>
  </si>
  <si>
    <t>ES-002-09/2018</t>
  </si>
  <si>
    <t>ES-003-09/2018</t>
  </si>
  <si>
    <t>ES-004-09/2018</t>
  </si>
  <si>
    <t>ES-005-09/2018</t>
  </si>
  <si>
    <t>ES-009-09/2018</t>
  </si>
  <si>
    <t>ES-010-09/2018</t>
  </si>
  <si>
    <t>ES-011-09/2018</t>
  </si>
  <si>
    <t>ES-012-09/2018</t>
  </si>
  <si>
    <t>ES-006-09/2018</t>
  </si>
  <si>
    <t>ES-007-09/2018</t>
  </si>
  <si>
    <t>ES-008-09/2018</t>
  </si>
  <si>
    <t>ES-013-09/2018</t>
  </si>
  <si>
    <t>ES-014-09/2018</t>
  </si>
  <si>
    <t>ES-015-09/2018</t>
  </si>
  <si>
    <t>ES-016-09/2018</t>
  </si>
  <si>
    <t>CLEBURNE</t>
  </si>
  <si>
    <t>MIES059338</t>
  </si>
  <si>
    <t>MIES059339</t>
  </si>
  <si>
    <t>MIES059340</t>
  </si>
  <si>
    <t>MIES059341</t>
  </si>
  <si>
    <t>SEC 36 SESE</t>
  </si>
  <si>
    <t>SEC 24 SWSW</t>
  </si>
  <si>
    <t>SEC 4 SESW</t>
  </si>
  <si>
    <t>SEC 23 SESE</t>
  </si>
  <si>
    <t>SEC 1 W2NWNE</t>
  </si>
  <si>
    <t>SEC 2 Fractional NW</t>
  </si>
  <si>
    <t>SEC 8 NENE NWSE</t>
  </si>
  <si>
    <t>SEC 3 SWNE S2NW</t>
  </si>
  <si>
    <t>SEC 4 E2NW W2NW SW NESE; SEC 5 E2 E2NW; SEC 9 NE N2NW</t>
  </si>
  <si>
    <t>SEC 7 E2SE E2SWSE</t>
  </si>
  <si>
    <t>SEC 8 NWNE SENE NESW W2SW N2SE SWSE; SEC 16 N2NW; SEC 17 ALL</t>
  </si>
  <si>
    <t>SEC 18 E2NE SENW E2SW N2SE E2SWSE SESE</t>
  </si>
  <si>
    <t>SEC 15 W2SE</t>
  </si>
  <si>
    <t>SEC 34 NWSE</t>
  </si>
  <si>
    <t>SEC 11 NESW</t>
  </si>
  <si>
    <t>SEC 19 LOTS 1,4; SEC 19 NENW SESW; SEC22 SWSW; SEC 31</t>
  </si>
  <si>
    <t>Doc#2018101190</t>
  </si>
  <si>
    <t>Doc#2018098546</t>
  </si>
  <si>
    <t>I-2017-002282 Book 1659 Page(s) 0494-0498</t>
  </si>
  <si>
    <t>Instrument#50519 Book 1806 Page- 261</t>
  </si>
  <si>
    <t>Instrument#50537 Book 1806 Page- 399</t>
  </si>
  <si>
    <t>Instrument#50536 Book 1806 Page- 392</t>
  </si>
  <si>
    <t>Instrument#50535 Book 1806 Page- 384</t>
  </si>
  <si>
    <t>Instrument# 50520 Book 1806 Page- 269</t>
  </si>
  <si>
    <t>Instrument#50533 Book 1806 Page 362</t>
  </si>
  <si>
    <t>Instrument#50534 Book 1806 Page 372</t>
  </si>
  <si>
    <t>Assignment of ORRI</t>
  </si>
  <si>
    <t>Instrument#50532 Book 1806 Page 355</t>
  </si>
  <si>
    <t>Instrument#50529 Book 1806 Page 332</t>
  </si>
  <si>
    <t>Instrument#50530 Book 1806 Page 340</t>
  </si>
  <si>
    <t>Instrument#50527 Book 1806 Page 317</t>
  </si>
  <si>
    <t>MSES057091</t>
  </si>
  <si>
    <t>FID</t>
  </si>
  <si>
    <t>Shape</t>
  </si>
  <si>
    <t>LEASE_NO</t>
  </si>
  <si>
    <t>DUE_DATE</t>
  </si>
  <si>
    <t>NO__OF_ACR</t>
  </si>
  <si>
    <t>HYPERLINK</t>
  </si>
  <si>
    <t>Shape_Leng</t>
  </si>
  <si>
    <t>Shape_Area</t>
  </si>
  <si>
    <t>GeneralLoc</t>
  </si>
  <si>
    <t>Due_Year</t>
  </si>
  <si>
    <t>Comments</t>
  </si>
  <si>
    <t>Polygon</t>
  </si>
  <si>
    <t>CRAWFORD; PERRY</t>
  </si>
  <si>
    <t>MARION</t>
  </si>
  <si>
    <t>WHITLEY AND MCCREARY</t>
  </si>
  <si>
    <t>MCCREARY</t>
  </si>
  <si>
    <t>WHITLEY</t>
  </si>
  <si>
    <t>LEASE AMENDED. BID REFUNDED. 50% OWNED BY GINGER</t>
  </si>
  <si>
    <t>WINN &amp; NATCHITOCHES PARISHES</t>
  </si>
  <si>
    <t>NATCHITOCHES &amp; WINN PARISHES</t>
  </si>
  <si>
    <t xml:space="preserve"> GRENADA</t>
  </si>
  <si>
    <t xml:space="preserve"> SCOTT</t>
  </si>
  <si>
    <t>TO BE ASSIGNED TO SAVANNAH</t>
  </si>
  <si>
    <t xml:space="preserve"> WILKINSON</t>
  </si>
  <si>
    <t>ESPEJO PAID $65,527 FOR 10% WI. R&amp;R'S WI - 0.71 &amp; NRI - 0.52 RESPECTIVELY.</t>
  </si>
  <si>
    <t>ROOSEVELT</t>
  </si>
  <si>
    <t>SHELBY &amp; SAN AUGUSTINE</t>
  </si>
  <si>
    <t>NATCHITOCHES</t>
  </si>
  <si>
    <t>Yes</t>
  </si>
  <si>
    <t>Caldwell</t>
  </si>
  <si>
    <t xml:space="preserve"> AMITE</t>
  </si>
  <si>
    <t>1/3RD - US MINERAL INT.</t>
  </si>
  <si>
    <t>WYW186292</t>
  </si>
  <si>
    <t>CAMPBELL</t>
  </si>
  <si>
    <t>WY</t>
  </si>
  <si>
    <t>WYW186293</t>
  </si>
  <si>
    <t>TXNM137113</t>
  </si>
  <si>
    <t>TXNM137114</t>
  </si>
  <si>
    <t>TXNM137115</t>
  </si>
  <si>
    <t>OKNM137105</t>
  </si>
  <si>
    <t>NMNM 137436</t>
  </si>
  <si>
    <t>CHAVEZ</t>
  </si>
  <si>
    <t>NMNM 137450</t>
  </si>
  <si>
    <t>NMNM 137451</t>
  </si>
  <si>
    <t>NMNM 137452</t>
  </si>
  <si>
    <t>NMNM 137456</t>
  </si>
  <si>
    <t>NMNM 137478</t>
  </si>
  <si>
    <t>NMNM 137479</t>
  </si>
  <si>
    <t>NMNM 137480</t>
  </si>
  <si>
    <t>.</t>
  </si>
  <si>
    <t>NMNM 137482</t>
  </si>
  <si>
    <t>NMNM 137483</t>
  </si>
  <si>
    <t>NMNM 137484</t>
  </si>
  <si>
    <t>OKNM137206</t>
  </si>
  <si>
    <t>UTU93534</t>
  </si>
  <si>
    <t>UT0918-106</t>
  </si>
  <si>
    <t>EMERY</t>
  </si>
  <si>
    <t>UT</t>
  </si>
  <si>
    <t>MERIDIAN SLM T23S R16E</t>
  </si>
  <si>
    <t>SEC 11 LOTS 3, 9-11, 14, NWNW, W2SW; SEC 14 ALL</t>
  </si>
  <si>
    <t>NMNM138869</t>
  </si>
  <si>
    <t>NMNM138870</t>
  </si>
  <si>
    <t>NMNM138882</t>
  </si>
  <si>
    <t>NMNM138883</t>
  </si>
  <si>
    <t>NMNM138906</t>
  </si>
  <si>
    <t>NMNM138907</t>
  </si>
  <si>
    <t>NMNM138921</t>
  </si>
  <si>
    <t>NMNM138928</t>
  </si>
  <si>
    <t>NM-201809-075</t>
  </si>
  <si>
    <t>MERIDIAN NMPM T110S R320E</t>
  </si>
  <si>
    <t>SEC 08 N2</t>
  </si>
  <si>
    <t>NM-201809-076</t>
  </si>
  <si>
    <t>SEC 17 E2</t>
  </si>
  <si>
    <t>NM-201809-088</t>
  </si>
  <si>
    <t>MERIDIAN NMPM T140S R350E</t>
  </si>
  <si>
    <t>SEC 31 LOTS 1, 2; SEC 31 NE, E2NW;</t>
  </si>
  <si>
    <t>NM-201809-089</t>
  </si>
  <si>
    <t>SEC 33 N2</t>
  </si>
  <si>
    <t>NM-201809-112</t>
  </si>
  <si>
    <t>NM-201809-127</t>
  </si>
  <si>
    <t>NM-201089-113</t>
  </si>
  <si>
    <t>NM-201809-134</t>
  </si>
  <si>
    <t>MERIDIAN NMPM T240S R360E</t>
  </si>
  <si>
    <t>SEC 22 SWSW</t>
  </si>
  <si>
    <t>SEC 26 NWNE</t>
  </si>
  <si>
    <t>MERIDIAN NMPM T160S R370E</t>
  </si>
  <si>
    <t>SEC 01 LOTS 13</t>
  </si>
  <si>
    <t>MERIDIAN NMPM T110S R380E</t>
  </si>
  <si>
    <t>SEC 25 LOTS 1, 2, 3, 4</t>
  </si>
  <si>
    <t>EFFECTIVE DATE OF LEASE</t>
  </si>
  <si>
    <t>DUE AT SALE</t>
  </si>
  <si>
    <t>DUE AFTER SALE (REFUNDED)</t>
  </si>
  <si>
    <t>TOTAL  PAID</t>
  </si>
  <si>
    <t>AMOUNT OF RENTAL</t>
  </si>
  <si>
    <t>PARCEL NO</t>
  </si>
  <si>
    <t>PLOTTED</t>
  </si>
  <si>
    <t>EXPIRATION DATE</t>
  </si>
  <si>
    <t>TOWNSHIP</t>
  </si>
  <si>
    <t>RANGE</t>
  </si>
  <si>
    <t>GRANTEE</t>
  </si>
  <si>
    <t>R&amp;R Royalty</t>
  </si>
  <si>
    <t>LAES53363</t>
  </si>
  <si>
    <t>Magnum Producing</t>
  </si>
  <si>
    <t>BOUGHT FROM MEADE HUFFORD</t>
  </si>
  <si>
    <t>12N</t>
  </si>
  <si>
    <t>4W</t>
  </si>
  <si>
    <t xml:space="preserve">T12N R4W MERIDIAN LOUISIANA SEC 21 SWNW NWSW THAT PART OF  TRACT C-2293A IN E2NE CONTAINING 62.34 ACRES   </t>
  </si>
  <si>
    <t xml:space="preserve">                                   </t>
  </si>
  <si>
    <t xml:space="preserve">     </t>
  </si>
  <si>
    <t>OKNM115440</t>
  </si>
  <si>
    <t>BOUGHT FROM QEP AT O&amp;G CLEARINGHOUSE. EXPIRED 2016</t>
  </si>
  <si>
    <t>5N</t>
  </si>
  <si>
    <t>24E</t>
  </si>
  <si>
    <t xml:space="preserve">T5N R24E SEC 31 LOTS 3,4 E2SW  SEC 33 S2     </t>
  </si>
  <si>
    <t>OKNM117594</t>
  </si>
  <si>
    <t>BOUGHT FROM QEP AT O&amp;G CLEARINGHOUSE. EXPIRED 2017</t>
  </si>
  <si>
    <t>4N</t>
  </si>
  <si>
    <t xml:space="preserve">T4N R24E SEC 1 W2SW SESW SEC 2 S2NE S2 SEC 11 N2SW SESW SEC 12 N2 NESW SWSW SE   </t>
  </si>
  <si>
    <t>OKNM117595</t>
  </si>
  <si>
    <t xml:space="preserve">T4N R24E SEC 3 S2 SEC 4 S2N2 E2SW  SWSW SE LOTS 1-4    </t>
  </si>
  <si>
    <t>OKNM117596</t>
  </si>
  <si>
    <t xml:space="preserve">T4N R24E SEC 5 LOTS 1-4 S2N2 E2SW N2NWSW SENWSW SWSW SE SEC 6 LOT 1 PART OF LOT 3(LESS 17.25 AC.) LOT 6 LOT 7 SENW E2SW SWSE SWSESE SEC 7 LOTS 1-4 E2 E2W2 SEC 8 ALL  </t>
  </si>
  <si>
    <t>OKNM117597</t>
  </si>
  <si>
    <t xml:space="preserve">T4N R24E SEC 13 NE S2 SEC 14 ALL  SEC 23 N2N2 S2NE SWNW NESE SEC 24 W2 SE    </t>
  </si>
  <si>
    <t>OKNM117598</t>
  </si>
  <si>
    <t xml:space="preserve">T4N R24E SEC 15 N2 N2S2 S2SW SESE SEC 16 SENE S2 SEC 21 ALL SEC 22 E2NW SWNW W2SW   </t>
  </si>
  <si>
    <t>OKNM117599</t>
  </si>
  <si>
    <t xml:space="preserve">T4N R24E SEC 17 E2 NENW W2NW  SW N2SENW SESENW SEC 18 LOTS 1 2 E2 E2NW  SESW SEC 19 E2NWSE SEC 20 N2 N2S2 S2SW   </t>
  </si>
  <si>
    <t>OKNM117600</t>
  </si>
  <si>
    <t xml:space="preserve">T4N R24E SEC 17 SEC 25 ALL SEC 26 N2 NESE S2S2 SEC 35 ALL SEC 36 ALL    </t>
  </si>
  <si>
    <t>OKNM117601</t>
  </si>
  <si>
    <t xml:space="preserve">T4N R24E SEC 27 ALL SEC 28 N2 NESW N2NWSW SWNWSW E2SE SWSE SEC 33 E2 S2NW SW SEC 34 ALL   </t>
  </si>
  <si>
    <t>OKNM117602</t>
  </si>
  <si>
    <t xml:space="preserve">T4N R24E SEC 29 NENE W2E2 W2 E2SE SEC 30 LOTS 1-4 NENE S2NE SENW E2SW SE SEC 31 LOTS 1-4 E2 E2W2 SEC 32 NENE W2E2 W2 E2SE   </t>
  </si>
  <si>
    <t>OKNM117603</t>
  </si>
  <si>
    <t>25E</t>
  </si>
  <si>
    <t xml:space="preserve">T4N R25E SEC 7 LOTS 2,3,4 S2NE SENW E2SW N2SE SEC 8 S2S2NESE SEC 17 N2NW E2SW NESE W2SE SEC 18 LOTS 1,2,3 W2NE SENE E2W2 N2SE SWSE   </t>
  </si>
  <si>
    <t>OKNM117604</t>
  </si>
  <si>
    <t xml:space="preserve">T4N R25E SEC 9 S2SW SEC 14 W2SW SEC 15 W2SW SESE SEC 16 ALL    </t>
  </si>
  <si>
    <t>OKNM117605</t>
  </si>
  <si>
    <t xml:space="preserve">T4N R25E SEC 20 NENE W2NE SWSW  S2SESW SE SEC 21 ALL SEC 22 NW W2SW SESW SE    </t>
  </si>
  <si>
    <t>OKNM117606</t>
  </si>
  <si>
    <t xml:space="preserve">T4N R25E SEC 27 NENE W2NE W2  N2NWSE SWNWSE N2S2SE SEC 28 N2 W2SW SE SEC 33 N2NE E2SENE E2NENW W2NWNW S2NW N2S2 SESW  SESE SEC 34 SENE N2NW S2 SEC 36 W2SW </t>
  </si>
  <si>
    <t>OKNM117607</t>
  </si>
  <si>
    <t xml:space="preserve">T4N R25E SEC 29 ALL SEC 30 LOTS 1,2,3,4 NENE W2NE E2W2 SE SEC 31 LOTS 1,2,3,4 W2NE SENE E2W2 SE SEC 32 ALL   </t>
  </si>
  <si>
    <t>OKNM119300</t>
  </si>
  <si>
    <t>22E</t>
  </si>
  <si>
    <t xml:space="preserve">T5N R22E SEC 1 SESW OF LOT 1 SE OF LOT 1  N2NESWNE NWNWSENE E2SENE E2W2SENE E2NWSE N2SWSE E2SESWSE E2SE SEC 2 SWSW SWSESW SEC 11 W2SWNWNE NESENWNW N2SESENWNW S2NW E2NESE SEC 12 S2S2NENW S2SENWNW </t>
  </si>
  <si>
    <t>OKNM119310</t>
  </si>
  <si>
    <t>T5N R24E SEC 20 E2NENENE, SWNENENE  SENWNENE S2NENE NESWNE NESWSWNE NWSESWNE N2SENE SEC 21 N2N2NE N2SWNENE N2S2NWNE SWSWNWNE  E2NENW W2E2W2 N2NESENW  SWNESENW W2W2 SWNENESW W2SENESW E2SESW NWSWSWSE S2SWSWSE</t>
  </si>
  <si>
    <t>ALES55549</t>
  </si>
  <si>
    <t>HALE</t>
  </si>
  <si>
    <t>22N</t>
  </si>
  <si>
    <t>6E</t>
  </si>
  <si>
    <t xml:space="preserve">T22N R6E ST STEPHENS MERIDIAN SEC 2 SWSW    </t>
  </si>
  <si>
    <t>ALES55550</t>
  </si>
  <si>
    <t xml:space="preserve">T22N R6E ST STEPHENS MERIDIAN SEC 15 NW    </t>
  </si>
  <si>
    <t>ALES55552</t>
  </si>
  <si>
    <t>23N</t>
  </si>
  <si>
    <t>7E</t>
  </si>
  <si>
    <t xml:space="preserve">T23N R7E ST STEPHENS MERIDIAN SEC 5 NWNW S2NW S2    </t>
  </si>
  <si>
    <t>ALES55553</t>
  </si>
  <si>
    <t xml:space="preserve">T23N R7E ST STEPHENS MERIDIAN SEC 7 N2NE SWNE NW SESW SE LESS 2 ACRES IN SWSE AS FOLLOWS BEGIN SE CORNER SWSE RUN W 4.6 CHS. THENCE N 4.6 CHS. TO POINT OF BEG. THENCE RUN W 3.16 CHS THENCE N 6.32 CHS. THENCE E 3.16 CHS THENCE S 6.32 CHS. TO POINT OF BEG.     </t>
  </si>
  <si>
    <t>ALES55554</t>
  </si>
  <si>
    <t xml:space="preserve">T23N R7E ST STEPHENS MERIDIAN SEC 17 SWNW N2SW E2SE NWSE    </t>
  </si>
  <si>
    <t>ALES55555</t>
  </si>
  <si>
    <t xml:space="preserve">T23N R7E ST STEPHENS MERIDIAN SEC 19 NENE    </t>
  </si>
  <si>
    <t>LAES56545</t>
  </si>
  <si>
    <t>POINT COUPEE PARISH</t>
  </si>
  <si>
    <t>5S</t>
  </si>
  <si>
    <t>9E</t>
  </si>
  <si>
    <t xml:space="preserve">T5S R9E MERIDIAN LOUISIANA SEC 58 ALL ALSO KNOWN AS LOT 87    </t>
  </si>
  <si>
    <t>MIES56553</t>
  </si>
  <si>
    <t>16N</t>
  </si>
  <si>
    <t>15W</t>
  </si>
  <si>
    <t xml:space="preserve">T16N R15W MERIDIAN MICHIGAN SEC 21 SW* 47.92%* (115/240) - U.S. MINERAL INTERESTS    </t>
  </si>
  <si>
    <t>NDM101156</t>
  </si>
  <si>
    <t>BILLINGS</t>
  </si>
  <si>
    <t>143N</t>
  </si>
  <si>
    <t>101W</t>
  </si>
  <si>
    <t xml:space="preserve">T.143 N, R.101 W, 5TH PM, ND SEC. 5 LOTS 3,4;    </t>
  </si>
  <si>
    <t>NDM101159</t>
  </si>
  <si>
    <t>SLOPE</t>
  </si>
  <si>
    <t>136N</t>
  </si>
  <si>
    <t>102W</t>
  </si>
  <si>
    <t xml:space="preserve">T136N, R.102 W, 5TH PM,ND SEC.1 LOTS 1-12; SEC.1 S2;    </t>
  </si>
  <si>
    <t>NDM101160</t>
  </si>
  <si>
    <t xml:space="preserve">T.136N,R.102W,5TH PM.ND SEC.2 LOTS 1,2;    </t>
  </si>
  <si>
    <t>NDM101161</t>
  </si>
  <si>
    <t xml:space="preserve">T.136 N,R.102 W,5TH PM,ND SEC. 6 BED LTL MO RIV RIPAR TO LOT 16 DESC BY M&amp;B; SEC.6 LOT 16;    </t>
  </si>
  <si>
    <t>NDM101162</t>
  </si>
  <si>
    <t xml:space="preserve">T.136 N, R.102 W, 5TH PM, ND SEC. 6 BED LTL MO RIV RIPAR TO LOTS 12,13,14,19 DESC BY M&amp;B; SEC.6 LOTS 12,13,14,19 ;  SEC.7 BED LTL MO RIV RIPAR TO LOTS 1-14 DESC BY M&amp;B;  SEC.7 LOTS 1-14  SEC.7 E2SW;     </t>
  </si>
  <si>
    <t>NDM101164</t>
  </si>
  <si>
    <t xml:space="preserve">T.136 N,R.102 W,5TH PM,ND SEC. 12 ALL;    </t>
  </si>
  <si>
    <t>NDM101165</t>
  </si>
  <si>
    <t xml:space="preserve">T.136 N, R.102 W, 5TH PM, ND SEC.22 E2NE, SWSWNE, S2SESWNE,S2SWSWNW,SESWNW,S2SENW,S2; SEC.27 ALL;    </t>
  </si>
  <si>
    <t>NDM101166</t>
  </si>
  <si>
    <t xml:space="preserve">T.136 N,R.102 W,5TH PM,ND SEC.32 N2,SE ; SEC.33 ALL; SEC.34 ALL ;    </t>
  </si>
  <si>
    <t>NDM101167</t>
  </si>
  <si>
    <t>144N</t>
  </si>
  <si>
    <t xml:space="preserve">T.144 N, R.102 W, 5TH PM, ND SEC. 8 BED LTL MO RIV RIPAR TO LOT 6 DESC BY M&amp;B;     </t>
  </si>
  <si>
    <t>NDM101169</t>
  </si>
  <si>
    <t>133N</t>
  </si>
  <si>
    <t>103W</t>
  </si>
  <si>
    <t xml:space="preserve">T.133 N, R. 103 W, 5TH PM, ND SEC.28 ALL; SEC.33 ALL; SEC. 34 SW;    </t>
  </si>
  <si>
    <t>NDM101172</t>
  </si>
  <si>
    <t>104W</t>
  </si>
  <si>
    <t xml:space="preserve">T.136 N, R.104 W, 5TH PM, ND SEC. 2 SE; SEC.11 ALL; SEC.14 NENE EXCL 2.00 AC TRACT; SEC.14 NWNE, S2NE, E2W2; SEC.15 LOTS 1,2,3,4 ; SEC.15 E2 E2W2, SWSW;    </t>
  </si>
  <si>
    <t>NDM101173</t>
  </si>
  <si>
    <t xml:space="preserve">T.136 N,R. 104 W, 5TH PM, ND SEC.17 LOTS 1-8 ; SEC.17 N2N2, SWNW, W2SW, SESE ; SEC.20 LOTS 1,2,5,6,7,11 ; SEC. 20 SWNE, SESE ;    </t>
  </si>
  <si>
    <t>NDM101174</t>
  </si>
  <si>
    <t xml:space="preserve">T.136 N, R. 104 W, 5TH PM, ND SEC.20 LOTS 3,4; SEC.20 NENW;    </t>
  </si>
  <si>
    <t>NDM101180</t>
  </si>
  <si>
    <t>135N</t>
  </si>
  <si>
    <t>105W</t>
  </si>
  <si>
    <t xml:space="preserve">T.135 N, R. 105 W, 5TH PM, ND SEC.34 LOTS 1,4,5,7; SEC.34 E2NE, SESW, SE;    </t>
  </si>
  <si>
    <t>TOTALS</t>
  </si>
  <si>
    <t>MTM101455</t>
  </si>
  <si>
    <t>RICHLAND</t>
  </si>
  <si>
    <t>MT</t>
  </si>
  <si>
    <t>27N</t>
  </si>
  <si>
    <t>51E</t>
  </si>
  <si>
    <t xml:space="preserve">T.27 N, R.51 E, PMM, MT  SEC.19 POR LOT 4 NOT ERODED BY MISSOURI RIV (3.40 AC); SEC.21 FOR LOT 3 NOT ERODED BY MISSOURI RIV (4.05 AC); SEC.21 FOR LOT 4 NOT ERODED BY MISSOURI RIV (2.87 AC);    </t>
  </si>
  <si>
    <t>MTM101456</t>
  </si>
  <si>
    <t>52E</t>
  </si>
  <si>
    <t xml:space="preserve">T.27 N, R.52 E, PMM, MT  SEC.23 POR NWNW NOT ERODED BY MISSOURI RIV;     </t>
  </si>
  <si>
    <t>MTM101457</t>
  </si>
  <si>
    <t>HBP by CONTINENTAL RESOURCES WELL : POTTS 1-11H 40 acres/ MOTTS 1-16H 121.43 acres</t>
  </si>
  <si>
    <t>26N</t>
  </si>
  <si>
    <t>54E</t>
  </si>
  <si>
    <t xml:space="preserve">T.26 N, R.54 E, PMM, MT SEC.2 NWSE (40 acres - owned 100% by Magnum); SEC.4 LOT 1; SEC.4 SENE, NESE (121.43 acres - owned 84 % by Alerion Gas SA,LLC 16% by Magnum);    </t>
  </si>
  <si>
    <t>MTM101458</t>
  </si>
  <si>
    <t xml:space="preserve">T.27 N, R.54 E, PMM, MT SEC.11 SWNW;    </t>
  </si>
  <si>
    <t>MTM101460</t>
  </si>
  <si>
    <t>DAWSON</t>
  </si>
  <si>
    <t>15N</t>
  </si>
  <si>
    <t>55E</t>
  </si>
  <si>
    <t xml:space="preserve">T.15 N,R.55 E,PMM,MT SEC.2 SENE, N2SE,SESE; SEC.4 POR LOT 8 NOT ERODED BY YELLOWSTONE RIV (48.63 AC); SEC.4 LOT 7; SEC.6 LOT 7; SEC.6 S2NE, SESW, SE; SEC.12 ALL;    </t>
  </si>
  <si>
    <t>MTM101461</t>
  </si>
  <si>
    <t xml:space="preserve">T.15 N,R.55 E,PMM,MT SEC.8 NW; SEC.10 SWNE, W2SE; SEC.24 ALL;    </t>
  </si>
  <si>
    <t>MTM101462</t>
  </si>
  <si>
    <t xml:space="preserve">T.15 N,R.55 E,PMM,MT SEC.14 LOTS 1,2,3,4; SEC.14 E2,E2W2; SEC.22 LOT 3; SEC.22 NWNE; SEC.30 LOTS 1,2; SEC.30 E2NW;    </t>
  </si>
  <si>
    <t>MTM101463</t>
  </si>
  <si>
    <t xml:space="preserve">T.15 N,R.55 E,PMM,MT SEC.26 LOTS 3,4; SEC.26 E2, E2W2; SEC.34 N2NE, NW;    </t>
  </si>
  <si>
    <t>MTM101464</t>
  </si>
  <si>
    <t>21N</t>
  </si>
  <si>
    <t xml:space="preserve">T.21 N,R.55 E,PMM,MT SEC.14 N2;    </t>
  </si>
  <si>
    <t>MTM101465</t>
  </si>
  <si>
    <t xml:space="preserve">T.21 N,R.55 E,PMM,MT SEC.18 LOTS 1,2; SEC.18 NE, E2NW;    </t>
  </si>
  <si>
    <t>MTM101466</t>
  </si>
  <si>
    <t xml:space="preserve">T.26 N,R.55 E,PMM,MT SEC.5 LOTS 1,3,4; SEC.5 SENE; SEC.6 S2NE;    </t>
  </si>
  <si>
    <t>MTM101471</t>
  </si>
  <si>
    <t>56E</t>
  </si>
  <si>
    <t xml:space="preserve">T.15 N,R.56 E,PMM,MT SEC.14 E2E2, NWNE,NWNW,NWSW,NWSE; SEC.22 ALL; SEC.28 ALL;    </t>
  </si>
  <si>
    <t>MTM101475</t>
  </si>
  <si>
    <t>POWDER RIVER</t>
  </si>
  <si>
    <t>6S</t>
  </si>
  <si>
    <t xml:space="preserve">T.6S,R.52 E,PMM,MT SEC.24 S2N2,S2; SEC.25 NE, S2;    </t>
  </si>
  <si>
    <t>MTM101477</t>
  </si>
  <si>
    <t>53E</t>
  </si>
  <si>
    <t xml:space="preserve">T.6S,R.53 E,PMM,MT SEC.19 S2SE; SEC.30 LOTS 1,2,3,4; SEC.30 E2,E2W2; SEC.31  LOTS 1,2,3,4; SEC.31 E2W2;    </t>
  </si>
  <si>
    <t>NDM101479</t>
  </si>
  <si>
    <t>MCKENZIE</t>
  </si>
  <si>
    <t>146N</t>
  </si>
  <si>
    <t xml:space="preserve">T.146 N, R.102 W, 5TH PM, ND SEC.12 LOTS 5,10,11; SEC.12 NENE;    </t>
  </si>
  <si>
    <t>NDM102132</t>
  </si>
  <si>
    <t>MOUNTRAIL</t>
  </si>
  <si>
    <t>155N</t>
  </si>
  <si>
    <t>89W</t>
  </si>
  <si>
    <t xml:space="preserve">T.155 N,R.89 W. 5TH PM, ND SEC.22 NE;SEC.23 E2; SEC.24 W2SW;    </t>
  </si>
  <si>
    <t>NDM102136</t>
  </si>
  <si>
    <t>158N</t>
  </si>
  <si>
    <t xml:space="preserve">T.158 N,R.89 W,5TH PM, ND SEC.21 SENE,SW,E2SE;SEC.22 NWSW;    </t>
  </si>
  <si>
    <t>NDM102130</t>
  </si>
  <si>
    <t>MERCER</t>
  </si>
  <si>
    <t>145N</t>
  </si>
  <si>
    <t xml:space="preserve">T.145 N,R.89 W. 5TH PM,ND SEC.7 SE; SEC.8 NWNE,N2NW,SWNW;    </t>
  </si>
  <si>
    <t>NDM102131</t>
  </si>
  <si>
    <t xml:space="preserve">T.146 N,R.89 W. 5TH PM,ND SEC.19 NE;SEC.34 SE;SEC.35 NW;    </t>
  </si>
  <si>
    <t>SDM102222</t>
  </si>
  <si>
    <t>1E</t>
  </si>
  <si>
    <t xml:space="preserve">T.22 N, R. 1 E, BHM, SD SEC.19 LOTS 1,2,3,4; SEC.20 ALL; SEC.28 N2NE , W2 , S2SE;    </t>
  </si>
  <si>
    <t>SDM102219</t>
  </si>
  <si>
    <t xml:space="preserve">T.22 N, R.1 E, BHM, SD SEC.4 LOTS 1,2; SEC.4 S2NE,SE; SEC.9 ALL ;    </t>
  </si>
  <si>
    <t>SDM102226</t>
  </si>
  <si>
    <t xml:space="preserve">T.22 N, 1 E, BHM, SD SEC.26 N2, N2SW; SEC.27 NW,SE;    </t>
  </si>
  <si>
    <t>NDM102137</t>
  </si>
  <si>
    <t>90W</t>
  </si>
  <si>
    <t xml:space="preserve">T.145 N, R.90 W,5TH PM, ND SEC.33 NE;    </t>
  </si>
  <si>
    <t>NDM102144</t>
  </si>
  <si>
    <t>HBP - EOG SIDONIA 15-1102H</t>
  </si>
  <si>
    <t xml:space="preserve">T.158 N,R.90 W,5TH PM, ND SEC.11 SENE;     </t>
  </si>
  <si>
    <t>SDM102228</t>
  </si>
  <si>
    <t xml:space="preserve">T.22 N, 1 E, BHM, SD SEC.30 LOTS 1,2,3,4; SEC.32 W2;    </t>
  </si>
  <si>
    <t>SDM102231</t>
  </si>
  <si>
    <t>20N</t>
  </si>
  <si>
    <t xml:space="preserve">T.20 N,6 E, BHM, SD SEC.27 SW    </t>
  </si>
  <si>
    <t>NDM102126</t>
  </si>
  <si>
    <t>BOTTINEAU</t>
  </si>
  <si>
    <t>159N</t>
  </si>
  <si>
    <t>83W</t>
  </si>
  <si>
    <t xml:space="preserve">T.159 N, R.83 W. 5TH PM, ND SEC. 33 NE    </t>
  </si>
  <si>
    <t>MTM102588</t>
  </si>
  <si>
    <t>DANIELS</t>
  </si>
  <si>
    <t>36N</t>
  </si>
  <si>
    <t>44E</t>
  </si>
  <si>
    <t xml:space="preserve">T.36 N, R.44E,PMM,MT SEC.22 SWNE,W2SE;SEC.27 S2NW    </t>
  </si>
  <si>
    <t>MTM102590</t>
  </si>
  <si>
    <t>33N</t>
  </si>
  <si>
    <t>45E</t>
  </si>
  <si>
    <t xml:space="preserve">T.33 N, R.45E,PMM,MT SEC..4 LOTS 3,4; SEC 4 SENE,SWNW,NESE; SEC.9 LOT 6;     </t>
  </si>
  <si>
    <t>MTM102592</t>
  </si>
  <si>
    <t>46E</t>
  </si>
  <si>
    <t xml:space="preserve">T.33 N, R.46E,PMM,MT SEC.1 LOTS 2,3; SEC.1 SENE; SEC.11 LOT 8; SEC.12 LOT 5;    </t>
  </si>
  <si>
    <t>MTM102593</t>
  </si>
  <si>
    <t xml:space="preserve">T.33 N, R.46E, PMM,MT SEC.3 LOT1; SEC.3 S2SW; SEC.4 SESE; SEC.8 LOT 5; SEC.9 LOTS 5,6,7,8; SEC.10 LOTS 7,8;    </t>
  </si>
  <si>
    <t>MTM102594</t>
  </si>
  <si>
    <t>34N</t>
  </si>
  <si>
    <t xml:space="preserve">T.34 N,R.46 E, PMM, MT SEC.17 SWSE;    </t>
  </si>
  <si>
    <t>MTM102595</t>
  </si>
  <si>
    <t xml:space="preserve">T.34 N,R.46 E, PMM, MT SEC.33 S2SW;    </t>
  </si>
  <si>
    <t>MTM102596</t>
  </si>
  <si>
    <t>47E</t>
  </si>
  <si>
    <t xml:space="preserve">T.33 N,R.47 E,PMM,MT SEC.2 LOT 3    </t>
  </si>
  <si>
    <t>MTM102597</t>
  </si>
  <si>
    <t xml:space="preserve">T.33 N,R.47 E,PMM,MT SEC.5 SWSW; SEC.6 SESW;    </t>
  </si>
  <si>
    <t>MTM102598</t>
  </si>
  <si>
    <t>48E</t>
  </si>
  <si>
    <t xml:space="preserve">T.33 N,R.48 E, PMM, MT SEC.2 LOTS 1,2;    </t>
  </si>
  <si>
    <t>MTM102599</t>
  </si>
  <si>
    <t xml:space="preserve">T.33 N, R.48 E, PMM, MT SEC.3 LOT 2;    </t>
  </si>
  <si>
    <t>MTM102600</t>
  </si>
  <si>
    <t xml:space="preserve">T.33 N, R.48 E, PMM, MT SEC.4 NESE;    </t>
  </si>
  <si>
    <t>MTM102601</t>
  </si>
  <si>
    <t xml:space="preserve">T.33 N, R.48 E, PMM, MT SEC.11 LOT 8;    </t>
  </si>
  <si>
    <t>MTM102603</t>
  </si>
  <si>
    <t xml:space="preserve">T.34 N,R.48 E, PMM, MT SEC.13 SENE;    </t>
  </si>
  <si>
    <t>SDM102664</t>
  </si>
  <si>
    <t>11S</t>
  </si>
  <si>
    <t xml:space="preserve">T.11S,R. 1E,BHM,SD SEC.30 LOTS 2,3,4;SEC.30 S2NE,SENW,E2SW,SE;SEC.31 LOTS 1,2,3,4;SEC.31 E2,E2W2;     </t>
  </si>
  <si>
    <t>NDM102947</t>
  </si>
  <si>
    <t>RENVILLE</t>
  </si>
  <si>
    <t>160N</t>
  </si>
  <si>
    <t>84W</t>
  </si>
  <si>
    <t xml:space="preserve">T.160N,R.84W,5TH PM,ND SEC.23 SE,SEC.24 SW,SEC.26 NE;    </t>
  </si>
  <si>
    <t>MTM103416</t>
  </si>
  <si>
    <t>PRAIRIE</t>
  </si>
  <si>
    <t xml:space="preserve">T.12N R.56E PMM,MT SEC.6 LOTS 4-6, 11-14 SEC.6 E2SW    </t>
  </si>
  <si>
    <t>MTM103417</t>
  </si>
  <si>
    <t xml:space="preserve">T.12N R.56E PMM,MT SEC.8 ALL     </t>
  </si>
  <si>
    <t>MTM103418</t>
  </si>
  <si>
    <t xml:space="preserve">T.12N R.56E PMM,MT SEC.18 NE SENW NESW N2SE    </t>
  </si>
  <si>
    <t>MTM103419</t>
  </si>
  <si>
    <t xml:space="preserve">T.12N R.56E PMM,MT SEC.20 W2    </t>
  </si>
  <si>
    <t>MTM103420</t>
  </si>
  <si>
    <t xml:space="preserve">T.12N R.56E PMM,MT SEC.27 ALL, SEC.34 N2    </t>
  </si>
  <si>
    <t>MTM103421</t>
  </si>
  <si>
    <t xml:space="preserve">T.12N R.56E PMM,MT SEC.29 ALL, SEC.30 LOTS 1-4, SEC.30 E2 E2W2    </t>
  </si>
  <si>
    <t>MTM103422</t>
  </si>
  <si>
    <t xml:space="preserve">T.12N R.56E PMM,MT SEC.32 ALL, SEC.33 ALL    </t>
  </si>
  <si>
    <t>NDM103694</t>
  </si>
  <si>
    <t>138N</t>
  </si>
  <si>
    <t xml:space="preserve">T138N R102W 5TH PM,ND SEC.12 N2    </t>
  </si>
  <si>
    <t>NDM103695</t>
  </si>
  <si>
    <t xml:space="preserve">T138N R102W 5TH PM,ND SEC.12 S2    </t>
  </si>
  <si>
    <t>NDM103703</t>
  </si>
  <si>
    <t xml:space="preserve">T135N R104W 5TH PM,ND SEC.6 LOT 15    </t>
  </si>
  <si>
    <t>SDM103746</t>
  </si>
  <si>
    <t xml:space="preserve">T11S R1E BHM,SD SEC.4 LOT 4, SEC.4 SWNW; SEC.5 LOTS 1-4; SEC.5 S2N2 S2; SEC.6 LOTS 1,2; SEC.6 S2NE, SE;    </t>
  </si>
  <si>
    <t>SDM103748</t>
  </si>
  <si>
    <t xml:space="preserve">T11S R1E BHM,SD SEC.6 LOTS 3-7, SEC.6 SENW E2SW; SEC.7 LOTS 1-4; SEC.7 E2 E2W2; SEC.8 W2W2    </t>
  </si>
  <si>
    <t>SDM103750</t>
  </si>
  <si>
    <t xml:space="preserve">T11S R1E BHM,SD SEC.12 NESW S2SW SEC.13 NW    </t>
  </si>
  <si>
    <t>SDM103751</t>
  </si>
  <si>
    <t xml:space="preserve">T11S R1E BHM,SD SEC.12 SE SEC.13 NE    </t>
  </si>
  <si>
    <t>SDM103758</t>
  </si>
  <si>
    <t xml:space="preserve">T11S R1E BHM,SD SEC.26 N2 E2SW SWSW SE SEC.27 N2NE, SENE SEC.35 ALL    </t>
  </si>
  <si>
    <t>SDM103761</t>
  </si>
  <si>
    <t xml:space="preserve">T11S R1E BHM,SD SEC.32 E2    </t>
  </si>
  <si>
    <t>SDM103770</t>
  </si>
  <si>
    <t>12S</t>
  </si>
  <si>
    <t xml:space="preserve">T12S R1E BHM,SD SEC.8 E2NE, SEC.9 ALL SEC.10 ALL    </t>
  </si>
  <si>
    <t>SDM103773</t>
  </si>
  <si>
    <t xml:space="preserve">T12S R1E BHM,SD SEC.17 LOTS 1-4; SEC.17 N2,N2S2,SEC.18 LOTS 1-7; SEC.18 NE,E2NW,NESW,N2SE    </t>
  </si>
  <si>
    <t>LAES57692</t>
  </si>
  <si>
    <t>DESOTO PARISH</t>
  </si>
  <si>
    <t>11N</t>
  </si>
  <si>
    <t>11W</t>
  </si>
  <si>
    <t xml:space="preserve">T11N R11W MERIDIAN LOUISIANA SEC 2 LOTS 2 4 &amp; 6    </t>
  </si>
  <si>
    <t>LAES57773</t>
  </si>
  <si>
    <t>3N</t>
  </si>
  <si>
    <t xml:space="preserve">T3N R1E MERIDIAN LOUISIANA SEC 9 ALL    </t>
  </si>
  <si>
    <t>ARES57930</t>
  </si>
  <si>
    <t>16W</t>
  </si>
  <si>
    <t xml:space="preserve">T11N R16W MERIDIAN 5TH PM SEC 19 E2NW SWNW NESW    </t>
  </si>
  <si>
    <t>ARES57931</t>
  </si>
  <si>
    <t xml:space="preserve">T11N R16W MERIDIAN 5TH PM SEC 22 W2NW SENW    </t>
  </si>
  <si>
    <t>ARES57932</t>
  </si>
  <si>
    <t xml:space="preserve">T12N R16W MERIDIAN 5TH PM SEC 20 NESE    </t>
  </si>
  <si>
    <t>ARES57933</t>
  </si>
  <si>
    <t xml:space="preserve">T12N R16W MERIDIAN 5TH PM SEC 25 NWNE    </t>
  </si>
  <si>
    <t>ARES57934</t>
  </si>
  <si>
    <t>17W</t>
  </si>
  <si>
    <t xml:space="preserve">T11N R17W MERIDIAN 5TH PM SEC 24 SENW    </t>
  </si>
  <si>
    <t>LAES57935</t>
  </si>
  <si>
    <t>CLAIBORNE PARISH</t>
  </si>
  <si>
    <t>7W</t>
  </si>
  <si>
    <t xml:space="preserve">T22N R7W MERIDIAN LOUISIANA SEC 14 SWNE    </t>
  </si>
  <si>
    <t>KYES58148</t>
  </si>
  <si>
    <t>UNION</t>
  </si>
  <si>
    <t xml:space="preserve">TRACT 306     </t>
  </si>
  <si>
    <t>MSES58149</t>
  </si>
  <si>
    <t xml:space="preserve">T5N R9E MERIDIAN CHOCTAW SEC 1 S2NE W2 SE    </t>
  </si>
  <si>
    <t>MSES58150</t>
  </si>
  <si>
    <t xml:space="preserve">T5N R9E MERIDIAN CHOCTAW SEC 3 N2NE W2 S2SE    </t>
  </si>
  <si>
    <t>MSES58151</t>
  </si>
  <si>
    <t xml:space="preserve">T5N R9E MERIDIAN CHOCTAW SEC 10 N2NE SWNE NENW NWNW N2SWNW E2SE LESS S 20 ACRES AS FOLLOWS : SEE DETAILED DESCRIPTION ON THE LEASE   </t>
  </si>
  <si>
    <t>MSES58152</t>
  </si>
  <si>
    <t xml:space="preserve">T5N R9E MERIDIAN CHOCTAW SEC 11 NE W2NW SENW S2    </t>
  </si>
  <si>
    <t>MSES58153</t>
  </si>
  <si>
    <t>MSES58154</t>
  </si>
  <si>
    <t xml:space="preserve">T5N R9E MERIDIAN CHOCTAW SEC 13 NWNW W2SW SESW WEST 10 ACRES OF SWSE    </t>
  </si>
  <si>
    <t>MSES58155</t>
  </si>
  <si>
    <t xml:space="preserve">T5N R9E MERIDIAN CHOCTAW SEC 14 E2 NWNW S2NW N2SW SWSW    </t>
  </si>
  <si>
    <t>MSES58156</t>
  </si>
  <si>
    <t xml:space="preserve">T5N R9E MERIDIAN CHOCTAW SEC 28 NENE LESS 10 ACRES BEG. 8 CHAINS SOUTH OF NW CORNER OF NENE, EAST 8 1/4 CHAINS, SOUTH 12 CHAINS, WEST 8 1/4 CHAINS TO  SW CORNER OF NENE, NOTH 12 CHAINS TO  BEGINNING; NWNE LESS 16 ACRES ON WEST SIDE </t>
  </si>
  <si>
    <t>MSES58157</t>
  </si>
  <si>
    <t xml:space="preserve">T5N R9E MERIDIAN CHOCTAW SEC 35 NE NENW N2SE N2SWSE SESE    </t>
  </si>
  <si>
    <t>MSES58158</t>
  </si>
  <si>
    <t xml:space="preserve">T5N R9E MERIDIAN CHOCTAW SEC 36 ALL    </t>
  </si>
  <si>
    <t>MSES58159</t>
  </si>
  <si>
    <t>6N</t>
  </si>
  <si>
    <t>2E</t>
  </si>
  <si>
    <t xml:space="preserve">T6N R2E MERIDIAN WASHINGTON SEC 35 EAST 8 ACRES NESW S2SW    </t>
  </si>
  <si>
    <t>MSES58160</t>
  </si>
  <si>
    <t xml:space="preserve">T6N R2E MERIDIAN WASHINGTON SEC 35 NWSE S2SE    </t>
  </si>
  <si>
    <t>MSES58161</t>
  </si>
  <si>
    <t>1W</t>
  </si>
  <si>
    <t xml:space="preserve">T4N R1W MERIDIAN WASHINGTON SEC 17 - SEE DETAILED DESCRIPTION ON LEASE    </t>
  </si>
  <si>
    <t>MSES58184</t>
  </si>
  <si>
    <t xml:space="preserve">T5N R9E MERIDIAN CHOCTAW SEC 33 SESW    </t>
  </si>
  <si>
    <t>NVN95160</t>
  </si>
  <si>
    <t>EUREKA</t>
  </si>
  <si>
    <t>NV</t>
  </si>
  <si>
    <t xml:space="preserve">T27N R52E MERIDIAN MDM  SEC 2 LOTS 2,5,6; SWNE S2NW SW W2SE; SEC 11 E2NW SWNW NWSW S2SW SEC 14 LOTS 3-5 , 8-11; SENW NESW NWSE; SEC 26 LOTS 3-5 SENW NESW NWSE;  </t>
  </si>
  <si>
    <t>NVN95161</t>
  </si>
  <si>
    <t>28N</t>
  </si>
  <si>
    <t xml:space="preserve">T28N R52E MERIDIAN MDM SEC 25 LOTS 4 S2NW SW; SEC 34 E2; SEC 35 ALL; SEC 36 NW NWSW;   </t>
  </si>
  <si>
    <t>MTM109204</t>
  </si>
  <si>
    <t>GARFIELD</t>
  </si>
  <si>
    <t>30E</t>
  </si>
  <si>
    <t xml:space="preserve">T15N R30E PMM MT SEC 22 S1/2NW1/4 NE1/4SW1/4 S1/2SW1/4 SE1/4;    </t>
  </si>
  <si>
    <t>MTM109205</t>
  </si>
  <si>
    <t xml:space="preserve">T15N R30E PMM MT SEC 23 SW1/4 S1/2SE1/4;    </t>
  </si>
  <si>
    <t>MTM109206</t>
  </si>
  <si>
    <t xml:space="preserve">T15N R30E PMM MT SEC 26 N1/2 SW1/4 N1/2SE1/4 SW1/4SE1/4;    </t>
  </si>
  <si>
    <t>MTM109207</t>
  </si>
  <si>
    <t xml:space="preserve">T15N R30E PMM MT SEC 27 N1/2NE1/4 SE1/4NE1/4;     </t>
  </si>
  <si>
    <t>MTM109323</t>
  </si>
  <si>
    <t>FALLON</t>
  </si>
  <si>
    <t>9N</t>
  </si>
  <si>
    <t>59E</t>
  </si>
  <si>
    <t xml:space="preserve">T9N R59E PMM MT SEC 14 NE1/4;    </t>
  </si>
  <si>
    <t>MTM109324</t>
  </si>
  <si>
    <t xml:space="preserve">T9N R59E PMM MT SEC 22 N1/2NW1/4 SW1/4NW1/4;    </t>
  </si>
  <si>
    <t>MTM109325</t>
  </si>
  <si>
    <t xml:space="preserve">T9N R59E PMM MT SEC 24 SW1/4NE1/4 N1/2NW1/4 SE1/4SE1/4;    </t>
  </si>
  <si>
    <t>MTM109326</t>
  </si>
  <si>
    <t xml:space="preserve">T9N R59E PMM MT SEC 26 NW1/4 N1/2SW1/4 SE1/4SW1/4;    </t>
  </si>
  <si>
    <t>MTM109327</t>
  </si>
  <si>
    <t xml:space="preserve">T9N R59E PMM MT SEC 26 SW1/4SW1/4;    </t>
  </si>
  <si>
    <t>MTM109328</t>
  </si>
  <si>
    <t>10N</t>
  </si>
  <si>
    <t xml:space="preserve">T10N R59E PMM MT SEC 8 W1/2NW1/4 S1/2SW1/4 SEC 20 NE1/4NE1/4;    </t>
  </si>
  <si>
    <t>MTM109357</t>
  </si>
  <si>
    <t>8S</t>
  </si>
  <si>
    <t xml:space="preserve">T8S R53E PMM MT SEC 5 LOT 1 SEC 5 S1/2SW1/4 SE1/4;    </t>
  </si>
  <si>
    <t>MTM109359</t>
  </si>
  <si>
    <t xml:space="preserve">T8S R53E PMM MT SEC 17 NE1/4 N1/2NW1/4 SE1/4NW1/4 S1/2;    </t>
  </si>
  <si>
    <t>COC78348</t>
  </si>
  <si>
    <t>RIO BLANCO</t>
  </si>
  <si>
    <t>CO</t>
  </si>
  <si>
    <t>2N</t>
  </si>
  <si>
    <t xml:space="preserve">T2N R101W SEC 20 ALL SEC 21 ALL   SEC 22 LOT 2-6, 8 SEC 22 W2NE W2    </t>
  </si>
  <si>
    <t>COC78349</t>
  </si>
  <si>
    <t xml:space="preserve">T2N R101W SEC 27 LOT 1,3-5,7,8,10-13; SEC 27 W2W2;  SEC 28 ALL; SEC 29 ALL; SEC 31 LOT 6;  SEC 32 LOT 5   </t>
  </si>
  <si>
    <t>COC78350</t>
  </si>
  <si>
    <t xml:space="preserve">T2N R101W SEC 17 ALL; SEC 18 LOT 1-4;  SEC 18 E2,E2W2; SEC 19 LOT 1-3; SEC 19 E2, E2W2   </t>
  </si>
  <si>
    <t>COC78351</t>
  </si>
  <si>
    <t xml:space="preserve">T2N R101W SEC 7 LOT 1-4; SEC 7 E2, E2W2;  SEC 8 ALL; SEC 9 ALL    </t>
  </si>
  <si>
    <t>COC78352</t>
  </si>
  <si>
    <t xml:space="preserve">T2N R101W SEC 4 LOT 1-4; SEC 4 S2N2,S2; SEC 5 LOT 1-4; SEC 5 S2N2,S2; SEC 6 LOT 1-7; SEC 6 S2NE,SENW,E2SW,SE;   </t>
  </si>
  <si>
    <t>COC78353</t>
  </si>
  <si>
    <t xml:space="preserve">T2N R101W SEC 23 LOT 1,3,4;  SEC 23 E2,E2W2,SWSW;SEC 26 ALL;  SEC 35 NE,E2NW,S2   </t>
  </si>
  <si>
    <t>COC78355</t>
  </si>
  <si>
    <t xml:space="preserve">T2N R101W SEC 36 ALL     </t>
  </si>
  <si>
    <t>COC78356</t>
  </si>
  <si>
    <t xml:space="preserve">T2N R102W SEC 13 ALL; SEC 14 N2,N2SE; SEC 15 E2NE; SEC 24 N2    </t>
  </si>
  <si>
    <t>COC78357</t>
  </si>
  <si>
    <t xml:space="preserve">T2N R102W SEC 9 N2,N2N2N2SW;  SEC 9 NESE,N2N2NWSE; SEC 10 N2,N2SW,SE  SEC 11 ALL; SEC 12 ALL   </t>
  </si>
  <si>
    <t>COC78358</t>
  </si>
  <si>
    <t xml:space="preserve">T2N R102W SEC 1 LOT1-4; SEC 1 S2N2, S2;  SEC 2 LOT 1-4; SEC 2 S2N2,S2; SEC 3 LOT 1-4; SEC 3 S2N2,S2   </t>
  </si>
  <si>
    <t>COC78359</t>
  </si>
  <si>
    <t xml:space="preserve">T2N R102W SEC 4 LOT 1-4; SEC 4 S2N2,S2; SEC 5 LOT 1-4; SEC 5 S2N2,S2; SEC 6 LOT 1-7; SEC 6 S2NE,SENW,E2SW,SE; SEC 8 NE,E2NW,N2N2NESE   </t>
  </si>
  <si>
    <t>COC78360</t>
  </si>
  <si>
    <t xml:space="preserve">T3N R102W SEC 19 LOT 1-4; SEC 19 E2E2W2;  SEC 30 LOT 1-4; SEC 30 E2E2W2    </t>
  </si>
  <si>
    <t>COC78361</t>
  </si>
  <si>
    <t>1N</t>
  </si>
  <si>
    <t xml:space="preserve">T1N R103W SEC 4 E2,S2SW; SEC 5 SW,S2SE SEC 6 LOT 1-4    </t>
  </si>
  <si>
    <t>COC78362</t>
  </si>
  <si>
    <t xml:space="preserve">T1N R103W SEC 23 NE,SW; SEC 24 W2, SEC 25 N2NW SEC 26 N2N2    </t>
  </si>
  <si>
    <t>COC78363</t>
  </si>
  <si>
    <t xml:space="preserve">T1N R103W SEC 29 S2N2, S2; SEC 30 E2, SEC 31 LOT 5 SEC 31 NESW    </t>
  </si>
  <si>
    <t>COC78365</t>
  </si>
  <si>
    <t xml:space="preserve">T2N R103W SEC 22 W2NW, SW;  SEC 27 ALL    </t>
  </si>
  <si>
    <t>COC78366</t>
  </si>
  <si>
    <t xml:space="preserve">T2N R103W SEC 4 LOT 1-4; SEC 4 SENE     </t>
  </si>
  <si>
    <t>COC78367</t>
  </si>
  <si>
    <t xml:space="preserve">T2N R103W SEC 1 LOT1-4; SEC 1 S2N2,N2SW,SESW,SE; SEC 2 LOT 1-4; SEC 2 S2N2,N2S2; SEC 3 LOT 1-4  SEC 3 S2N2;   </t>
  </si>
  <si>
    <t>COC78368</t>
  </si>
  <si>
    <t xml:space="preserve">T2N R103W SEC 10 N2,N2SW; SEC 15 SWSW;  SEC 16 SWNE,NENW,NWSE,E2SE; SEC 17N2NW,S2SW    </t>
  </si>
  <si>
    <t>COC78369</t>
  </si>
  <si>
    <t xml:space="preserve">T2N R103W SEC 7 LOT 1-4; SEC 7 E2, E2W2;  SEC 18 LOT 1-4; SEC 18 E2,E2W2;    </t>
  </si>
  <si>
    <t>COC78370</t>
  </si>
  <si>
    <t xml:space="preserve">T2N R103W SEC 20 ALL; SEC 21 ALL; SEC 28 ALL     </t>
  </si>
  <si>
    <t>COC78371</t>
  </si>
  <si>
    <t xml:space="preserve">T1N R104W SEC 10 LOT 1-4; SEC 15 LOT 1-4;  SEC 22 LOT 1-4    </t>
  </si>
  <si>
    <t>COC78372</t>
  </si>
  <si>
    <t xml:space="preserve">T1N R104W SEC 3 LOT 1-4     </t>
  </si>
  <si>
    <t>COC78374</t>
  </si>
  <si>
    <t xml:space="preserve">T1N R104W SEC 24 LOT 2,3,5,9,10 SEC 24 W2NE,NWSE; SEC 26 LOT 9,12; SEC 26 SWNW,NWSW;    </t>
  </si>
  <si>
    <t xml:space="preserve">      </t>
  </si>
  <si>
    <t>140N</t>
  </si>
  <si>
    <t>240W</t>
  </si>
  <si>
    <t>OKNM137106</t>
  </si>
  <si>
    <t>TXNM137112</t>
  </si>
  <si>
    <t>No Surface Occupany/Drilling Stipulation Notice received</t>
  </si>
  <si>
    <t xml:space="preserve">TRACTS 205,208,209,211; TRACTS 214,215,220     </t>
  </si>
  <si>
    <t xml:space="preserve">TRACTS 404,405,407,408,411; TRACTS 412,413-1,413-2     </t>
  </si>
  <si>
    <t xml:space="preserve">TRACTS 600,602,606,608     </t>
  </si>
  <si>
    <t xml:space="preserve">TRACTS I-C-206-1, I-C-206-2;     </t>
  </si>
  <si>
    <t>500N</t>
  </si>
  <si>
    <t>710W</t>
  </si>
  <si>
    <t xml:space="preserve">T500N R710W SEC 34 LOTS 1,8;      </t>
  </si>
  <si>
    <t>470N</t>
  </si>
  <si>
    <t>720W</t>
  </si>
  <si>
    <t>WYW186296</t>
  </si>
  <si>
    <t xml:space="preserve">480N </t>
  </si>
  <si>
    <t xml:space="preserve">T480N  R720W SEC 22 LOTS 14; SEC 29 LOTS 3;      </t>
  </si>
  <si>
    <t>WYW186297</t>
  </si>
  <si>
    <t xml:space="preserve">T500N R720W SEC 017 LOTS 5,10-12,15; SEC 018 LOTS 12,13,19,20;  SEC 019 LOTS 10;  LOT 9(EXCL 1.34 AC IN RR  ROW WYW0119068)   </t>
  </si>
  <si>
    <t>WYW186298</t>
  </si>
  <si>
    <t xml:space="preserve">T500N R720W SEC 031 LOTS 20;      </t>
  </si>
  <si>
    <t>WYW186307</t>
  </si>
  <si>
    <t>730W</t>
  </si>
  <si>
    <t xml:space="preserve">T500N R730W SEC 17 LOTS 6; SEC 018 LOTS 17-19; SEC 022 LOT 4 ( EXCL 1.64 AC ON RR ROW WYW0119068); SEC 022  LOT 5 ( EXCL 1.64 AC ON RR ROW WYW0119068);  SEC 028 LOTS 15;  </t>
  </si>
  <si>
    <t>WYW186309</t>
  </si>
  <si>
    <t>570N</t>
  </si>
  <si>
    <t xml:space="preserve">T570N R730W SEC 14 S2SW;     </t>
  </si>
  <si>
    <t>SDM109688</t>
  </si>
  <si>
    <t xml:space="preserve">T8S R1E SEC 8 N12NE1/4;     </t>
  </si>
  <si>
    <t>SDM109689</t>
  </si>
  <si>
    <t xml:space="preserve">T8S R1E SEC 8 NW1/4SE1/4,S1/2SE1/4;     </t>
  </si>
  <si>
    <t>SDM109690</t>
  </si>
  <si>
    <t xml:space="preserve">T8S R1E SEC 26 S1/2SW1/4,SE1/4;     </t>
  </si>
  <si>
    <t>SDM109691</t>
  </si>
  <si>
    <t xml:space="preserve">T8S R1E SEC 32 NE1/4NE1/4;     </t>
  </si>
  <si>
    <t>SDM109692</t>
  </si>
  <si>
    <t xml:space="preserve">T8S R1E SEC 32 SE1/4NE1/4,NE1/4SE1/4; SEC 33 N1/2NE1/4, SW1/4NE1/4,S1/2NW1/4,NW1/4SW1/4;    </t>
  </si>
  <si>
    <t>SDM109693</t>
  </si>
  <si>
    <t xml:space="preserve">T8S R1E SEC 32 SE1/4SE1/4; SEC 33 SE1/4NE1/4;     </t>
  </si>
  <si>
    <t>SDM109694</t>
  </si>
  <si>
    <t xml:space="preserve">T11S R1E SEC 19;     </t>
  </si>
  <si>
    <t>SDM109695</t>
  </si>
  <si>
    <t xml:space="preserve">T11S R1E SEC 20     </t>
  </si>
  <si>
    <t>SDM109696</t>
  </si>
  <si>
    <t xml:space="preserve">T11S R1E SEC 27 SW1/4NW1/4; SEC 28 NW1/4NE1/4,SI/2 NE1/4,NW1/4, S1/2;    </t>
  </si>
  <si>
    <t>SDM109697</t>
  </si>
  <si>
    <t xml:space="preserve">T11S R1E SEC 29     </t>
  </si>
  <si>
    <t>SDM109698</t>
  </si>
  <si>
    <t xml:space="preserve">T11S R1E SEC 30 LOT 1; SEC 30 N1/2NE1/4, NE1/4 NW1/4 NW1/4    </t>
  </si>
  <si>
    <t>SDM109699</t>
  </si>
  <si>
    <t xml:space="preserve">T12S R1E SEC 1 LOTS 1-4; SEC 1 S1/2NE 1/4, S1/2NW1/4 N1/2SW1/4,N1/2SE1/4; SEC 2 LOTS 1,2; SEC 2 S1/2 NE1/4;   </t>
  </si>
  <si>
    <t>UTU92311</t>
  </si>
  <si>
    <t>SEVIER</t>
  </si>
  <si>
    <t>22S</t>
  </si>
  <si>
    <t xml:space="preserve">T22S R1W SEC 1 SESW, SE      </t>
  </si>
  <si>
    <t>UTU92312</t>
  </si>
  <si>
    <t xml:space="preserve">T22S R1W SEC 6 LOTS 8-13, 15 AND 16      </t>
  </si>
  <si>
    <t>UTU92313</t>
  </si>
  <si>
    <t xml:space="preserve">T22S R1W SEC 10 SWSW, SE     </t>
  </si>
  <si>
    <t>UTU92314</t>
  </si>
  <si>
    <t>23S</t>
  </si>
  <si>
    <t xml:space="preserve">T23S R1W SEC 1 SW, W2SE SEC 11 AND 12:ALL      </t>
  </si>
  <si>
    <t>UTU92315</t>
  </si>
  <si>
    <t xml:space="preserve">T23S R1W SEC 13 ALL SEC 14 N2 SE; SEC 23 E2; SEC 24 ALL.     </t>
  </si>
  <si>
    <t>UTU92316</t>
  </si>
  <si>
    <t xml:space="preserve">T23S R1W SEC 22 ALL     </t>
  </si>
  <si>
    <t>UTU92328</t>
  </si>
  <si>
    <t>SANPETE</t>
  </si>
  <si>
    <t>20S</t>
  </si>
  <si>
    <t xml:space="preserve">T20S R1E SEC 1 LOTS 1-4, S2N2, N2SW, SWSW,SE;  SEC 11 S2NE, SE; SEC 12 E2,S2NW    </t>
  </si>
  <si>
    <t>UTU92330</t>
  </si>
  <si>
    <t>19S</t>
  </si>
  <si>
    <t xml:space="preserve">T19S R2E SEC 19 LOTS 3,4,7, SESW; SEC 30 LOTS 1-4 6,7  E2W2,W2SE,SESE; SEC 31 LOTS 1-4, NE, E2W2 N2SE,SWSE,W2SESE   </t>
  </si>
  <si>
    <t>LAES058292</t>
  </si>
  <si>
    <t xml:space="preserve"> $                    -  </t>
  </si>
  <si>
    <t>CATAHOULA PARISH</t>
  </si>
  <si>
    <t xml:space="preserve">T6N R7E SEC 6, LOT 2     </t>
  </si>
  <si>
    <t>LAES058293</t>
  </si>
  <si>
    <t xml:space="preserve">T6N R7E SEC 6, LOT 5     </t>
  </si>
  <si>
    <t>LAES058318</t>
  </si>
  <si>
    <t>13N</t>
  </si>
  <si>
    <t>6W</t>
  </si>
  <si>
    <t xml:space="preserve">T13N R6W SEC 2, E1/2, N1/2NW, SENW, NESW, E1/2SESW,  E1/2W1/2SESW    </t>
  </si>
  <si>
    <t>COC78800</t>
  </si>
  <si>
    <t>LA PLATA</t>
  </si>
  <si>
    <t xml:space="preserve">T34N R11W SEC 6, NESW,NWSE     </t>
  </si>
  <si>
    <t>COC78801</t>
  </si>
  <si>
    <t>SAN MIGUEL</t>
  </si>
  <si>
    <t>42N</t>
  </si>
  <si>
    <t xml:space="preserve">T42N R11W SEC 4, LOT4; SEC 4 SWNW,SW,S2SE     </t>
  </si>
  <si>
    <t>COC78802</t>
  </si>
  <si>
    <t>14W</t>
  </si>
  <si>
    <t xml:space="preserve">T42N R14W SEC 9, S2NE,SENW,NESW,SE; SEC 10, S2     </t>
  </si>
  <si>
    <t>COC78806</t>
  </si>
  <si>
    <t>43N</t>
  </si>
  <si>
    <t xml:space="preserve">T43N R15W SEC 27 NENW.S2NW; SEC 28 N2NW,S2N2;     </t>
  </si>
  <si>
    <t>OHES059251</t>
  </si>
  <si>
    <t>Monroe</t>
  </si>
  <si>
    <t xml:space="preserve">T1N R4W Sec 34; SESW less 5.35 ac of SE cor., Pt. W2SW      </t>
  </si>
  <si>
    <t>OHES059252</t>
  </si>
  <si>
    <t>Noble</t>
  </si>
  <si>
    <t>WYW186741</t>
  </si>
  <si>
    <t>530N</t>
  </si>
  <si>
    <t>690W</t>
  </si>
  <si>
    <t xml:space="preserve">T530N R690W Sec 32; LOTS 7,13     </t>
  </si>
  <si>
    <t>WYW186750</t>
  </si>
  <si>
    <t>510N</t>
  </si>
  <si>
    <t>700W</t>
  </si>
  <si>
    <t xml:space="preserve">T510N R700W Sec 004 LOTS 8,9,14,15; Sec 009 LOTS 1-4     </t>
  </si>
  <si>
    <t>WYW186751</t>
  </si>
  <si>
    <t>520N</t>
  </si>
  <si>
    <t xml:space="preserve">T520N R700W Sec 012 LOTS 2,5,6,9     </t>
  </si>
  <si>
    <t>WYW186754</t>
  </si>
  <si>
    <t xml:space="preserve">T530N R720W Sec 5 LOTS 7,8; Sec 6 LOTS 9,10,14-17; Sec 8 LOTS 3-5, 8-11; Sec 8 SWSE; Sec 9 LOTS 13;  Sec 17 LOTS 3-5, 10, 11   </t>
  </si>
  <si>
    <t>WYW186755</t>
  </si>
  <si>
    <t>540N</t>
  </si>
  <si>
    <t xml:space="preserve">T540N R720W Sec 5 LOTS 7; Sec 6 LOTS 8,15; Sec 21 LOTS 1-7;  Sec 30 LOTS 19    </t>
  </si>
  <si>
    <t>WYW186756</t>
  </si>
  <si>
    <t xml:space="preserve">T540N R720W Sec 9 LOTS 5-8; Sec 20 LOTS 1-4, 6-8; Sec 31 LOTS 6-8,12,17    </t>
  </si>
  <si>
    <t>WYW186757</t>
  </si>
  <si>
    <t>550N</t>
  </si>
  <si>
    <t xml:space="preserve">T550N R720W Sec 29 LOTS 6,7; Sec 30 LOTS 5,13     </t>
  </si>
  <si>
    <t>WYW186758</t>
  </si>
  <si>
    <t xml:space="preserve">T550N R720W Sec 30, LOT 6; Sec 32, LOT 1     </t>
  </si>
  <si>
    <t>WYW186765</t>
  </si>
  <si>
    <t xml:space="preserve">T540N R730W Sec 1 LOTS 7,8; Sec 14, LOTS 1,2; Sec 24 LOTS 3,6,7 10,11,14,15    </t>
  </si>
  <si>
    <t>WYW186768</t>
  </si>
  <si>
    <t>Converse</t>
  </si>
  <si>
    <t>330N</t>
  </si>
  <si>
    <t>750W</t>
  </si>
  <si>
    <t xml:space="preserve">T330N R750W Sec 10, SWNE,E2NW,NESW,W2SE; Sec 15, NWNE NENW    </t>
  </si>
  <si>
    <t>NMNM137436</t>
  </si>
  <si>
    <t>30S</t>
  </si>
  <si>
    <t>270E</t>
  </si>
  <si>
    <t>NMNM137450</t>
  </si>
  <si>
    <t>70S</t>
  </si>
  <si>
    <t>300E</t>
  </si>
  <si>
    <t>NMNM137451</t>
  </si>
  <si>
    <t>NMNM137452</t>
  </si>
  <si>
    <t>80S</t>
  </si>
  <si>
    <t>NMNM137456</t>
  </si>
  <si>
    <t>120S</t>
  </si>
  <si>
    <t>320E</t>
  </si>
  <si>
    <t>NMNM137478</t>
  </si>
  <si>
    <t>190S</t>
  </si>
  <si>
    <t>380E</t>
  </si>
  <si>
    <t>NMNM137479</t>
  </si>
  <si>
    <t>NMNM137480</t>
  </si>
  <si>
    <t>260S</t>
  </si>
  <si>
    <t>NMNM137482</t>
  </si>
  <si>
    <t>NMNM137483</t>
  </si>
  <si>
    <t>NMNM137484</t>
  </si>
  <si>
    <t>MTM110399</t>
  </si>
  <si>
    <t>MUSSELSHELL</t>
  </si>
  <si>
    <t>23E</t>
  </si>
  <si>
    <t xml:space="preserve">T9N R23E Sec 9, S1/2; Sec 15 SW1/4     </t>
  </si>
  <si>
    <t>MTM110400</t>
  </si>
  <si>
    <t xml:space="preserve">T9N R23E Sec 20 NE1/4NE1/4, SE1/4NW1/4, S1/2SE1/4     </t>
  </si>
  <si>
    <t>MTM110401</t>
  </si>
  <si>
    <t xml:space="preserve">T9N R24E Sec 28 NE1/4     </t>
  </si>
  <si>
    <t>MTM110402</t>
  </si>
  <si>
    <t xml:space="preserve">T9N R24E Sec 34 SW1/4     </t>
  </si>
  <si>
    <t>MTM110403</t>
  </si>
  <si>
    <t xml:space="preserve">T10N R25E Sec 11     </t>
  </si>
  <si>
    <t>MTM110404</t>
  </si>
  <si>
    <t>26E</t>
  </si>
  <si>
    <t xml:space="preserve">T9N R26E Sec 11; Sec 15 N1/2NE1/4. NW1/4     </t>
  </si>
  <si>
    <t>MTM110405</t>
  </si>
  <si>
    <t xml:space="preserve">T9N R26E Sec 12 S1/2SW1/4, S1/2SE1/4     </t>
  </si>
  <si>
    <t>MTM110406</t>
  </si>
  <si>
    <t xml:space="preserve">T9N R26E Sec 13; Sec 14 E1/2; Sec 24 NE1/4     </t>
  </si>
  <si>
    <t>MTM110407</t>
  </si>
  <si>
    <t xml:space="preserve">T9N R26E Sec 22 SW1/4     </t>
  </si>
  <si>
    <t>MTM110408</t>
  </si>
  <si>
    <t xml:space="preserve">T11N R30E Sec 4 S1/2; Sec 10 N1/2, SE1/4     </t>
  </si>
  <si>
    <t>MTM110409</t>
  </si>
  <si>
    <t>CARBON</t>
  </si>
  <si>
    <t>9S</t>
  </si>
  <si>
    <t xml:space="preserve">T9S R22E Sec 1; Sec 2; Sec 11; Sec 12     </t>
  </si>
  <si>
    <t>MTM110410</t>
  </si>
  <si>
    <t xml:space="preserve">T9S R22E Sec 3, LOTS 1-3; Sec 3 S1/2NE1/4, SE1/4NW1/4, S1/2; Sec 4, SE1/4SE1/4; Sec 10; Sec 13 N1/2, SW1/4 Sec 14   </t>
  </si>
  <si>
    <t>MTM110411</t>
  </si>
  <si>
    <t xml:space="preserve">T9S R22E Sec 32 E1/2NE1/4,E1/2SE1/4; Sec 33; Sec 35 S1/2     </t>
  </si>
  <si>
    <t>MTM110412</t>
  </si>
  <si>
    <t xml:space="preserve">T9S R22E Sec 13 SE1/4; Sec 34 E1/2NE1/4; Sec 35 N1/2     </t>
  </si>
  <si>
    <t>MTM110413</t>
  </si>
  <si>
    <t xml:space="preserve">T9S R22E Sec 20 E1/2NE1/4, SE1/4; Sec 21; Sec 28 SW1/4SW1/4 Sec 29 LOT 9; Sec 29 NE1/4, E1/2SE1/4    </t>
  </si>
  <si>
    <t>MTM110414</t>
  </si>
  <si>
    <t xml:space="preserve">T9S R22E Sec 25; Sec 27 E1/2, SE1/4SW1/4     </t>
  </si>
  <si>
    <t>MTM110415</t>
  </si>
  <si>
    <t>7S</t>
  </si>
  <si>
    <t xml:space="preserve">T7S R23E Sec 13 W1/2SW1/4; Sec 14 SE1/4NE1/4, S1/2SW1/4 Sec 22, NE1/4, E1/2NW1/4; Sec 23 NW1/4 Sec 24 NW1/4; Sec 26, N1/2NE1/4, SE1/4NE1/4   </t>
  </si>
  <si>
    <t>MTM110416</t>
  </si>
  <si>
    <t xml:space="preserve">T7S R23E Sec 27, NE1/4SW1/4,SE1/4; Sec 31 W1/2NE1/4; Sec 32 Sec 33 NE1/4,S 1/2; Sec 34 NW1/4NE1/4, SW1/4NW1/4, NW1/4SW1/4; Sec 35, E1/2 , E1/2NW1/4, E1/2SW1/4  </t>
  </si>
  <si>
    <t>MTM110418</t>
  </si>
  <si>
    <t xml:space="preserve">T8S R23E Sec 21 SW1/4SW1/4; Sec 27 NW1/4SW1/4, S1/2SW1/4 Sec 28 NW1/4NE1/4, S1/2NE1/4 NW1/4, S1/2; Sec 29 NE1/4, S1/2NW1/4, S1/2   </t>
  </si>
  <si>
    <t>MTM110420</t>
  </si>
  <si>
    <t>CHOUTEAU</t>
  </si>
  <si>
    <t>3E</t>
  </si>
  <si>
    <t xml:space="preserve">T27N R3E Sec 7 NE1/4SE1/4, S1/2SE1/4; Sec 8 W1/2SW1/4;  Sec 11 SE1/4NW1/4    </t>
  </si>
  <si>
    <t>MTM110432</t>
  </si>
  <si>
    <t>GLACIER</t>
  </si>
  <si>
    <t>37N</t>
  </si>
  <si>
    <t xml:space="preserve">T37N R6W Sec 26 SW1/4SE1/4; Sec 35 NE1/4, N1/2SE1/4     </t>
  </si>
  <si>
    <t>ARES059276</t>
  </si>
  <si>
    <t>10W</t>
  </si>
  <si>
    <t xml:space="preserve">T12N R10W SEC 9 N2SW N2NESWSW N2NWSESW N2NWSWSW  NWSE N2SWSE SESWSE SESE    </t>
  </si>
  <si>
    <t>ARES059277</t>
  </si>
  <si>
    <t xml:space="preserve">T12N R10W SEC 15 NWSW SESW SWSE     </t>
  </si>
  <si>
    <t>ARES059278</t>
  </si>
  <si>
    <t>12W</t>
  </si>
  <si>
    <t xml:space="preserve">T12N R12W SEC 23 NESE     </t>
  </si>
  <si>
    <t>ARES059279</t>
  </si>
  <si>
    <t xml:space="preserve">T9N R12W SEC21 S2SE that part lying southerly of Cardon Creek     </t>
  </si>
  <si>
    <t>ARES059280</t>
  </si>
  <si>
    <t xml:space="preserve">T11N R14W SEC 2 NENW      </t>
  </si>
  <si>
    <t>ARES059281</t>
  </si>
  <si>
    <t xml:space="preserve">T11N R14W SEC 4 W2SE     </t>
  </si>
  <si>
    <t>ARES059282</t>
  </si>
  <si>
    <t xml:space="preserve">T11N R14W Sec 6 S2NW S2NE NWNE N2NW W2SW     </t>
  </si>
  <si>
    <t>ARES059283</t>
  </si>
  <si>
    <t xml:space="preserve">T11N R14W SEC 18 W2NW NESW     </t>
  </si>
  <si>
    <t>ARES059285</t>
  </si>
  <si>
    <t xml:space="preserve">T11N R15W SEC 13 NENE     </t>
  </si>
  <si>
    <t>ARES059286</t>
  </si>
  <si>
    <t xml:space="preserve">T11N R15W SEC 20 SENW S2SWNW S2NWSWNW NWNWSWNW     </t>
  </si>
  <si>
    <t>ARES059287</t>
  </si>
  <si>
    <t xml:space="preserve">T11N R15W SEC 23 SWSE     </t>
  </si>
  <si>
    <t>ARES059288</t>
  </si>
  <si>
    <t xml:space="preserve">T11N R15W SEC 24 NWNE     </t>
  </si>
  <si>
    <t>ARES059289</t>
  </si>
  <si>
    <t xml:space="preserve">T11N R15W SEC 26 S2NW     </t>
  </si>
  <si>
    <t>ARES059290</t>
  </si>
  <si>
    <t xml:space="preserve">T11N R15W SEC 29 SESW S2SE     </t>
  </si>
  <si>
    <t>ARES059291</t>
  </si>
  <si>
    <t xml:space="preserve">T12N R15W SEC 15 W2NE     </t>
  </si>
  <si>
    <t>ARES059292</t>
  </si>
  <si>
    <t xml:space="preserve">T12N R15W SEC 26 NWNW     </t>
  </si>
  <si>
    <t>ARES059293</t>
  </si>
  <si>
    <t xml:space="preserve">T9N R11W SEC 6 N2NE     </t>
  </si>
  <si>
    <t>ARES059299</t>
  </si>
  <si>
    <t xml:space="preserve">T11N R14W SEC 1 SWSW     </t>
  </si>
  <si>
    <t>NMNM138795</t>
  </si>
  <si>
    <t>15S</t>
  </si>
  <si>
    <t>NMNM138803</t>
  </si>
  <si>
    <t>21S</t>
  </si>
  <si>
    <t>NMNM138853</t>
  </si>
  <si>
    <t>31E</t>
  </si>
  <si>
    <t>NMNM138854</t>
  </si>
  <si>
    <t>NMNM138857</t>
  </si>
  <si>
    <t>NMNM138858</t>
  </si>
  <si>
    <t>NMNM138863</t>
  </si>
  <si>
    <t>16S</t>
  </si>
  <si>
    <t xml:space="preserve"> FALL RIVER</t>
  </si>
  <si>
    <t xml:space="preserve"> SD</t>
  </si>
  <si>
    <t xml:space="preserve"> CATAHOULA PARISH</t>
  </si>
  <si>
    <t>NOBLE</t>
  </si>
  <si>
    <t>CONVERSE</t>
  </si>
  <si>
    <t xml:space="preserve"> CLEBURNE</t>
  </si>
  <si>
    <t xml:space="preserve"> VAN BUREN</t>
  </si>
  <si>
    <t xml:space="preserve"> AR</t>
  </si>
  <si>
    <t>Grand Total</t>
  </si>
  <si>
    <t>R &amp; R ROYALTY, LTD. &amp; MAGNUM PRODUCING, LP</t>
  </si>
  <si>
    <t>Today's Date</t>
  </si>
  <si>
    <t>Sale Purchase Information</t>
  </si>
  <si>
    <t>Partner Interests</t>
  </si>
  <si>
    <t>TOTAL INVESTMENT (BONUS + RENTALS)</t>
  </si>
  <si>
    <t>YEARS RENEWED</t>
  </si>
  <si>
    <t>EXPIRATION YEAR</t>
  </si>
  <si>
    <t>ST/County</t>
  </si>
  <si>
    <t>Acreage</t>
  </si>
  <si>
    <t>Lease Details</t>
  </si>
  <si>
    <t>Recording &amp; ORRI</t>
  </si>
  <si>
    <t>SOLD TO REAGAN SMITH/BOUGHT BACK</t>
  </si>
  <si>
    <t>BOUGHT FROM  SOLAR RESOURCES &amp; SOLD TO REAGAN SMITH/BOUGHT BACK</t>
  </si>
  <si>
    <t>Instrument #693188 Book #1562 Page #208</t>
  </si>
  <si>
    <t xml:space="preserve">POINT COUPEE </t>
  </si>
  <si>
    <t>POINT COUPEE</t>
  </si>
  <si>
    <t>Lease Number to Filter Master Sheet</t>
  </si>
  <si>
    <t>Filter List</t>
  </si>
  <si>
    <t>Filter Data</t>
  </si>
  <si>
    <t xml:space="preserve"> RENTALS PAID UP TO DATE</t>
  </si>
  <si>
    <t>Rental Calculations</t>
  </si>
  <si>
    <t>Years 1-5  ($/acre)</t>
  </si>
  <si>
    <t>Years 6-10 ($/acre)</t>
  </si>
  <si>
    <t>ACRES</t>
  </si>
  <si>
    <t>% OF OVERRIDES</t>
  </si>
  <si>
    <t xml:space="preserve">RECORDED LEASE  </t>
  </si>
  <si>
    <t>DATE FILED (OVERRIDE)</t>
  </si>
  <si>
    <t>Book# J-13; Page#305-308</t>
  </si>
  <si>
    <t>Instrument#201800002075, Vol#380, Pgs#1555-1560</t>
  </si>
  <si>
    <t>Book#537; Page#1436; Doc Id#2014-01436</t>
  </si>
  <si>
    <t>Instrument#2014006054; Book#417: Page#6054</t>
  </si>
  <si>
    <t>Instrument#201403129; Book#1570; Page#784</t>
  </si>
  <si>
    <t>Instrument#201403130; Book#1570; Page#785</t>
  </si>
  <si>
    <t>Instrument#201403131; Book#1570; Page#786</t>
  </si>
  <si>
    <t>Book#2094; Page#587</t>
  </si>
  <si>
    <t>Instrument#50521; Book#1806; Page#278</t>
  </si>
  <si>
    <t>Instrument#24956; Book#1914; Page#899</t>
  </si>
  <si>
    <t>Book#2094; Page#593</t>
  </si>
  <si>
    <t>Book#2094; Page#603</t>
  </si>
  <si>
    <t>Instrument#50522; Book#1806; Page#286</t>
  </si>
  <si>
    <t>Instrument#50528; Book#1806; Page#325</t>
  </si>
  <si>
    <t>Book#2094; Page#608</t>
  </si>
  <si>
    <t>Book#2094; Page#598</t>
  </si>
  <si>
    <t>Book#2086; Page#558</t>
  </si>
  <si>
    <t>Instrument#50531; Book# 1806; Page#346</t>
  </si>
  <si>
    <t>Book#1881; Page#55</t>
  </si>
  <si>
    <t>Reception#1706878; Book#1095; Page#1086</t>
  </si>
  <si>
    <t>Reception#1512008; Book#1045; Page#1188</t>
  </si>
  <si>
    <t>Book#1045; Page#1183</t>
  </si>
  <si>
    <t>Reception#1512007; Book#1045; Page#1183</t>
  </si>
  <si>
    <t>Book #2015; Page# 5142</t>
  </si>
  <si>
    <t>Instument#2014019473; Book#417; Page#19473</t>
  </si>
  <si>
    <t>Book#537; Page#4354; Doc Id#2014-04354</t>
  </si>
  <si>
    <t>Instrument#201410634; Book#1577; Page#1007</t>
  </si>
  <si>
    <t>Instrument#201410635; Book#1577; Page#1008</t>
  </si>
  <si>
    <t>Instrument#201410636; Book#1577; Page#1009</t>
  </si>
  <si>
    <t>Instrument#201410633; Book#1577; Page#1006</t>
  </si>
  <si>
    <t>Instument#201410632; Book#1577; Page#1005</t>
  </si>
  <si>
    <t>Instrument#201410637; Book#1577; Page#1010</t>
  </si>
  <si>
    <t>Instrument#201410638; Book#1577; Page#1011</t>
  </si>
  <si>
    <t>Book#2015; Page#5444</t>
  </si>
  <si>
    <t>Winn- Registry# 223129 Book# 318 Page# 887; Natchitoches-instrument#407866, Book#725, Page#570</t>
  </si>
  <si>
    <t>Winn- Registry# 223129 Book# 318 Page# 887; Natchitoches- Instrument#407866, Book#725, Page#570</t>
  </si>
  <si>
    <t>Winn- Registry# 223129 Book# 318 Page# 887</t>
  </si>
  <si>
    <t>Estimated Rental Payment Information</t>
  </si>
  <si>
    <t>WYW187269</t>
  </si>
  <si>
    <t>WYW187272</t>
  </si>
  <si>
    <t>WYW187295</t>
  </si>
  <si>
    <t>WYW187296</t>
  </si>
  <si>
    <t>WYW187313</t>
  </si>
  <si>
    <t>NIOBRARA</t>
  </si>
  <si>
    <t xml:space="preserve">MERIDIAN 6TH T370N R630W </t>
  </si>
  <si>
    <t>WY-183Q-003</t>
  </si>
  <si>
    <t xml:space="preserve">MERIDIAN 6TH T380N R630W </t>
  </si>
  <si>
    <t>SEC 12 SWSW</t>
  </si>
  <si>
    <t>WY-183Q-006</t>
  </si>
  <si>
    <t xml:space="preserve">MERIDIAN 6TH T470N R700W </t>
  </si>
  <si>
    <t>SEC 07 LOTS 9, 10</t>
  </si>
  <si>
    <t>WY-183Q-029</t>
  </si>
  <si>
    <t>SEC 18 LOTS 7-10</t>
  </si>
  <si>
    <t>WY-183Q-030</t>
  </si>
  <si>
    <t xml:space="preserve">MERIDIAN 6TH T460N R750W </t>
  </si>
  <si>
    <t>SEC 17 LOTS 10, 14, 15; SEC 20 LOTS 3-6;</t>
  </si>
  <si>
    <t>SEC 19 N2SE; SEC 30 NE</t>
  </si>
  <si>
    <t>WY-183Q-047</t>
  </si>
  <si>
    <t>EXP. AGREEMENT - PRUET 3D/CRAIN- EXPIRED</t>
  </si>
  <si>
    <t>LEASE AMENDED. 320 ACR. CANC. SEC.11 REMOVED. EXP. AGREEMENT - PRUET 3D/CRAIN- EXPIRED</t>
  </si>
  <si>
    <t>RECEIVED NOTICE OF PENDING LAWSUIT ON OCTOBER 17, 2018</t>
  </si>
  <si>
    <t>NOTICE OF APPEAL WAS FILED BY WILDEARTH GUARDIANS, et al.,</t>
  </si>
  <si>
    <t>NOTICE OF APPEAL WAS FILED BY MONTANA WILDLIFE FEDERATION, et al.,</t>
  </si>
  <si>
    <t>DO NOT UNDERTAKE ANY GROUND DISTURBING ACTIVITIES</t>
  </si>
  <si>
    <t>ACREAGE (INCREASED) AMENDED AS PER NOTICE REC. DEC 5 2016 / DO NOT UNDERTAKE ANY GROUND DISTURBING ACTIVITIES</t>
  </si>
  <si>
    <t>ES-024-03/11</t>
  </si>
  <si>
    <t>Book # 309 Page # 589</t>
  </si>
  <si>
    <t>ES-025-03/11</t>
  </si>
  <si>
    <t>Book # 309 Page # 595</t>
  </si>
  <si>
    <t>Book # 309 Page # 601</t>
  </si>
  <si>
    <t>ES-002-03/10</t>
  </si>
  <si>
    <t>Instrument # 377498 Book # 2015 Page # 25111</t>
  </si>
  <si>
    <t>ES-003-03/10</t>
  </si>
  <si>
    <t>Instrument # 377499 Book # 2015 Page # 25124</t>
  </si>
  <si>
    <t>ES-004-03/10</t>
  </si>
  <si>
    <t>Instrument # 377500 Book # 2015 Page # 25134</t>
  </si>
  <si>
    <t>ES-005-03/10</t>
  </si>
  <si>
    <t>Instrument # 377501 Book # 2015 Page # 25147</t>
  </si>
  <si>
    <t>ES-001-03/10</t>
  </si>
  <si>
    <t>Book #2015; Page# 5433</t>
  </si>
  <si>
    <t>Book # 2015; Page # 13789-13797</t>
  </si>
  <si>
    <t>Book # 2015; Page # 13781-13788</t>
  </si>
  <si>
    <t>Book # 2015; Page # 13798-13806</t>
  </si>
  <si>
    <t>Book # 2015; Page # 13807-13814</t>
  </si>
  <si>
    <t>Book # 2015; Page # 13815-13822</t>
  </si>
  <si>
    <t>Book # 2015; Page # 13823-13830</t>
  </si>
  <si>
    <t>Book # 2015; Page # 13831-13838</t>
  </si>
  <si>
    <t>Book # 2015; Page # 13839-13847</t>
  </si>
  <si>
    <t>Book # 2015; Page # 13848-13856</t>
  </si>
  <si>
    <t>Book # 2015; Page # 13857-13864</t>
  </si>
  <si>
    <t>Book # 2015; Page # 13865-13872</t>
  </si>
  <si>
    <t>Book # 2015; Page # 13873-13881</t>
  </si>
  <si>
    <t>Book # 2015; Page # 13882-13896</t>
  </si>
  <si>
    <t>Book # 2015; Page # 13897-13902</t>
  </si>
  <si>
    <t>Book # 2015; Page # 13903-13910</t>
  </si>
  <si>
    <t>Book # 2015; Page # 13911-13917</t>
  </si>
  <si>
    <t>Book # 2015; Page # 13918-13923</t>
  </si>
  <si>
    <t>Book # 2015; Page # 13924-13930</t>
  </si>
  <si>
    <t>Book # 2015; Page # 13931-13937</t>
  </si>
  <si>
    <t>Book # 2015; Page # 13938-13945</t>
  </si>
  <si>
    <t>Book # 2015; Page # 13946-13954</t>
  </si>
  <si>
    <t>Book # 2015; Page # 13955-13963</t>
  </si>
  <si>
    <t>Book # 2015; Page # 13964-13971</t>
  </si>
  <si>
    <t>Book # 2015; Page # 13972-13979</t>
  </si>
  <si>
    <t>Book # 2015; Page # 13980</t>
  </si>
  <si>
    <t>Book # 2015; Page # 13988-13998</t>
  </si>
  <si>
    <t>Book # 606; Page # 516-523</t>
  </si>
  <si>
    <t>Book # 606; Page # 524-531</t>
  </si>
  <si>
    <t>Book # 606; Page # 532-539</t>
  </si>
  <si>
    <t>Book # 606; Page # 540-547</t>
  </si>
  <si>
    <t>Book # 606; Page # 548-554</t>
  </si>
  <si>
    <t>Book # 606; Page # 555-564</t>
  </si>
  <si>
    <t>Book # 606; Page # 565-574</t>
  </si>
  <si>
    <t>Book # 606; Page # 575-583</t>
  </si>
  <si>
    <t>Book # 606; Page # 584-591</t>
  </si>
  <si>
    <t>Book # 606; Page # 592-599</t>
  </si>
  <si>
    <t>Book # 606; Page # 600-608</t>
  </si>
  <si>
    <t>Book # 606; Page # 609-618</t>
  </si>
  <si>
    <t>ES-007-03/10</t>
  </si>
  <si>
    <t>Book #522; Page# 955-963</t>
  </si>
  <si>
    <t>ES-009-03/02</t>
  </si>
  <si>
    <t>ES-008-03/02</t>
  </si>
  <si>
    <t>ES-008-03/10</t>
  </si>
  <si>
    <t>Book #522; Page# 964-972</t>
  </si>
  <si>
    <t>Book # 622; Page 1-10</t>
  </si>
  <si>
    <t>Book # 314; Page # 686-695</t>
  </si>
  <si>
    <t>ES-011-03/10</t>
  </si>
  <si>
    <t>Doc # 2015-11845</t>
  </si>
  <si>
    <t>Book # 195; Page # 386</t>
  </si>
  <si>
    <t>Book # 195; Page # 366</t>
  </si>
  <si>
    <t>Book # 195; Page # 376</t>
  </si>
  <si>
    <t>Book # 195; Page # 394</t>
  </si>
  <si>
    <t>Book # 2015015-00366;  Instrument # 217448</t>
  </si>
  <si>
    <t>Book2015015-00376;  Instrument # 217449</t>
  </si>
  <si>
    <t>Instrument # 049040</t>
  </si>
  <si>
    <t>Book # 2015-35-00732</t>
  </si>
  <si>
    <t>Book # 2015-35-00741</t>
  </si>
  <si>
    <t>Book # 2015-35-00749</t>
  </si>
  <si>
    <t>Book # 2015-35-00757</t>
  </si>
  <si>
    <t>Book # 2015-35-00763</t>
  </si>
  <si>
    <t>Book # 2015-35-00770</t>
  </si>
  <si>
    <t>Book # 2015-35-00777</t>
  </si>
  <si>
    <t>Book # 2015-35-00784</t>
  </si>
  <si>
    <t>Book # 2015-35-00793</t>
  </si>
  <si>
    <t>Book # 2015; Page # 2233</t>
  </si>
  <si>
    <t>Book # 2015; Page # 2249</t>
  </si>
  <si>
    <t>Book # 2015; Page # 2270</t>
  </si>
  <si>
    <t>Book # 2015; Page # 2292</t>
  </si>
  <si>
    <t>Book # 2015; Page # 2326</t>
  </si>
  <si>
    <t>Book # 2015; Page # 2341</t>
  </si>
  <si>
    <t>Book # 2015; Page # 22241</t>
  </si>
  <si>
    <t>Book # 2015; Page # 2257</t>
  </si>
  <si>
    <t>Book # 2015; Page # 2263</t>
  </si>
  <si>
    <t>Book # 2015; Page # 2278</t>
  </si>
  <si>
    <t>Book # 2015; Page # 2285</t>
  </si>
  <si>
    <t>Book # 2015; Page # 2300</t>
  </si>
  <si>
    <t>Book # 2015; Page # 2311</t>
  </si>
  <si>
    <t>Book # 2015; Page # 2318</t>
  </si>
  <si>
    <t>Book # 2015; Page # 2334</t>
  </si>
  <si>
    <t>Doc # 2015-3788</t>
  </si>
  <si>
    <t>Doc # 2015-3789</t>
  </si>
  <si>
    <t>Doc # 2015-3790</t>
  </si>
  <si>
    <t>Doc # 2015-3791</t>
  </si>
  <si>
    <t>Doc # 2015-3792</t>
  </si>
  <si>
    <t>Book # 530; Pages 227-235</t>
  </si>
  <si>
    <t>Book # 530; Pages # 244-251</t>
  </si>
  <si>
    <t>Book # 530; Pages # 236-243</t>
  </si>
  <si>
    <t>Book # 223; Page # 400-403</t>
  </si>
  <si>
    <t>MTM110881</t>
  </si>
  <si>
    <t>MTM110888</t>
  </si>
  <si>
    <t>MTM110889</t>
  </si>
  <si>
    <t>MTM110890</t>
  </si>
  <si>
    <t>MTM110893</t>
  </si>
  <si>
    <t>TOOLE</t>
  </si>
  <si>
    <t>MERIDIAN PMM T350N R20W</t>
  </si>
  <si>
    <t>SEC 6 LOT 2 EXCL RR ROW (14.04 AC); SEC 19 SE1/4NE1/4, SE1/4SW1/4; SEC 20 NW1/4NW1/4, NW1/4SW1/4;</t>
  </si>
  <si>
    <t>MTM 108952-J7</t>
  </si>
  <si>
    <t>MERIDIAN PMM T160N R540E</t>
  </si>
  <si>
    <t>SEC 2 LOTS 1-4; SEC 2 S1/2NE1/4, S1/2NW1/4; SEC 4 LOT 1; SEC 26 S1/2SW1/4, S1/2SE1/4; SEC 34 LOTS 3, 4; SEC 34 N1/2SE1/4;</t>
  </si>
  <si>
    <t>MTM 108952-JX</t>
  </si>
  <si>
    <t>MERIDIAN PMM T170N R540E</t>
  </si>
  <si>
    <t>SEC 32 S1/2;</t>
  </si>
  <si>
    <t>MTM 108952-KA</t>
  </si>
  <si>
    <t>MERIDIAN PMM T150N R550E</t>
  </si>
  <si>
    <t>SEC 22 LOT 1, 5; SEC 22 E1/2NE1/4;</t>
  </si>
  <si>
    <t>MTM 108952-HX</t>
  </si>
  <si>
    <t>SHERIDAN</t>
  </si>
  <si>
    <t>MERIDIAN PMM T370N R550E</t>
  </si>
  <si>
    <t>SEC 6 NE1/4SE1/4; SEC 7 NW1/4NE1/4; SEC 8 NE1/4NW1/4;</t>
  </si>
  <si>
    <t>MTM 108952-HD</t>
  </si>
  <si>
    <t>Doc # 3890; Vol # 1074; Page # 348-360;</t>
  </si>
  <si>
    <t>Doc # 3891; Vol # 1074; Page # 361-371;</t>
  </si>
  <si>
    <t>Doc # 3892; Vol # 1074; Page # 372-382;</t>
  </si>
  <si>
    <t>Doc # 3893; Vol # 1074; Page # 383-394;</t>
  </si>
  <si>
    <t>Instrument # 166807; Book # 924; Page # 511-517</t>
  </si>
  <si>
    <t>Book # 911; Page # 0567-586</t>
  </si>
  <si>
    <t>Doc # 368627; Page # 1-3</t>
  </si>
  <si>
    <t>Doc # 368628; Page # 1-3</t>
  </si>
  <si>
    <t>Instrument # 201403731; Book # 276; Page # 3731</t>
  </si>
  <si>
    <t>Instrument # 201403732; Book # 276; Page # 3732</t>
  </si>
  <si>
    <r>
      <t xml:space="preserve"> </t>
    </r>
    <r>
      <rPr>
        <b/>
        <u/>
        <sz val="10"/>
        <rFont val="Cambria"/>
        <family val="1"/>
        <scheme val="major"/>
      </rPr>
      <t>Walker</t>
    </r>
    <r>
      <rPr>
        <sz val="10"/>
        <rFont val="Cambria"/>
        <family val="1"/>
        <scheme val="major"/>
      </rPr>
      <t xml:space="preserve"> - Instrument # 3896; Vol # 1074; Page # 418-432;  </t>
    </r>
    <r>
      <rPr>
        <b/>
        <u/>
        <sz val="10"/>
        <rFont val="Cambria"/>
        <family val="1"/>
        <scheme val="major"/>
      </rPr>
      <t>Montomery</t>
    </r>
    <r>
      <rPr>
        <sz val="10"/>
        <rFont val="Cambria"/>
        <family val="1"/>
        <scheme val="major"/>
      </rPr>
      <t xml:space="preserve"> - Doc # PI145-2013029108; Pages # 15; </t>
    </r>
  </si>
  <si>
    <r>
      <t xml:space="preserve"> </t>
    </r>
    <r>
      <rPr>
        <b/>
        <u/>
        <sz val="10"/>
        <rFont val="Cambria"/>
        <family val="1"/>
        <scheme val="major"/>
      </rPr>
      <t>Walker</t>
    </r>
    <r>
      <rPr>
        <sz val="10"/>
        <rFont val="Cambria"/>
        <family val="1"/>
        <scheme val="major"/>
      </rPr>
      <t xml:space="preserve"> - Instrument # 3897; Vol # 1074; Page # 433-445;  </t>
    </r>
    <r>
      <rPr>
        <b/>
        <u/>
        <sz val="10"/>
        <rFont val="Cambria"/>
        <family val="1"/>
        <scheme val="major"/>
      </rPr>
      <t>Montomery</t>
    </r>
    <r>
      <rPr>
        <sz val="10"/>
        <rFont val="Cambria"/>
        <family val="1"/>
        <scheme val="major"/>
      </rPr>
      <t xml:space="preserve"> - Doc # PI145-2013029109; Pages # 13; </t>
    </r>
  </si>
  <si>
    <r>
      <t xml:space="preserve"> </t>
    </r>
    <r>
      <rPr>
        <b/>
        <u/>
        <sz val="10"/>
        <rFont val="Cambria"/>
        <family val="1"/>
        <scheme val="major"/>
      </rPr>
      <t>Walker</t>
    </r>
    <r>
      <rPr>
        <sz val="10"/>
        <rFont val="Cambria"/>
        <family val="1"/>
        <scheme val="major"/>
      </rPr>
      <t xml:space="preserve"> - Instrument # 3898; Vol # 1074; Page # 446-457;  </t>
    </r>
    <r>
      <rPr>
        <b/>
        <u/>
        <sz val="10"/>
        <rFont val="Cambria"/>
        <family val="1"/>
        <scheme val="major"/>
      </rPr>
      <t>Montomery</t>
    </r>
    <r>
      <rPr>
        <sz val="10"/>
        <rFont val="Cambria"/>
        <family val="1"/>
        <scheme val="major"/>
      </rPr>
      <t xml:space="preserve"> - Doc # PI145-2013029105; Pages # 12; </t>
    </r>
  </si>
  <si>
    <r>
      <t xml:space="preserve"> </t>
    </r>
    <r>
      <rPr>
        <b/>
        <u/>
        <sz val="10"/>
        <rFont val="Cambria"/>
        <family val="1"/>
        <scheme val="major"/>
      </rPr>
      <t>Walker</t>
    </r>
    <r>
      <rPr>
        <sz val="10"/>
        <rFont val="Cambria"/>
        <family val="1"/>
        <scheme val="major"/>
      </rPr>
      <t xml:space="preserve"> - Instrument # 3899; Vol # 1074; Page # 458-470;  </t>
    </r>
    <r>
      <rPr>
        <b/>
        <u/>
        <sz val="10"/>
        <rFont val="Cambria"/>
        <family val="1"/>
        <scheme val="major"/>
      </rPr>
      <t>Montomery</t>
    </r>
    <r>
      <rPr>
        <sz val="10"/>
        <rFont val="Cambria"/>
        <family val="1"/>
        <scheme val="major"/>
      </rPr>
      <t xml:space="preserve"> - Doc # PI145-2013029110; Pages # 13; </t>
    </r>
  </si>
  <si>
    <r>
      <t xml:space="preserve"> </t>
    </r>
    <r>
      <rPr>
        <b/>
        <u/>
        <sz val="10"/>
        <rFont val="Cambria"/>
        <family val="1"/>
        <scheme val="major"/>
      </rPr>
      <t>Walker</t>
    </r>
    <r>
      <rPr>
        <sz val="10"/>
        <rFont val="Cambria"/>
        <family val="1"/>
        <scheme val="major"/>
      </rPr>
      <t xml:space="preserve"> - Instrument # 3900; Vol # 1074; Page # 471-491;  </t>
    </r>
    <r>
      <rPr>
        <b/>
        <u/>
        <sz val="10"/>
        <rFont val="Cambria"/>
        <family val="1"/>
        <scheme val="major"/>
      </rPr>
      <t>Montomery</t>
    </r>
    <r>
      <rPr>
        <sz val="10"/>
        <rFont val="Cambria"/>
        <family val="1"/>
        <scheme val="major"/>
      </rPr>
      <t xml:space="preserve"> - Doc # PI145-2013029111; Pages # 24; </t>
    </r>
  </si>
  <si>
    <t>Doc # 3894; Vol # 1074; Page # 395-405;</t>
  </si>
  <si>
    <t>Doc # 3895; Vol # 1074; Page # 406-417;</t>
  </si>
  <si>
    <t>Instrument # 2013-18250; Vol # 2440; Page # 378;</t>
  </si>
  <si>
    <t>Instrument # 2013-18251; Vol # 2440; Page # 389;</t>
  </si>
  <si>
    <r>
      <rPr>
        <b/>
        <u/>
        <sz val="10"/>
        <rFont val="Cambria"/>
        <family val="1"/>
        <scheme val="major"/>
      </rPr>
      <t>Logan</t>
    </r>
    <r>
      <rPr>
        <sz val="10"/>
        <rFont val="Cambria"/>
        <family val="1"/>
        <scheme val="major"/>
      </rPr>
      <t xml:space="preserve"> - Book # 201509; Page # 168  </t>
    </r>
    <r>
      <rPr>
        <b/>
        <u/>
        <sz val="10"/>
        <rFont val="Cambria"/>
        <family val="1"/>
        <scheme val="major"/>
      </rPr>
      <t>Yell</t>
    </r>
    <r>
      <rPr>
        <b/>
        <sz val="10"/>
        <rFont val="Cambria"/>
        <family val="1"/>
        <scheme val="major"/>
      </rPr>
      <t xml:space="preserve"> - </t>
    </r>
    <r>
      <rPr>
        <sz val="10"/>
        <rFont val="Cambria"/>
        <family val="1"/>
        <scheme val="major"/>
      </rPr>
      <t>Book # 532; Pages # 433-443</t>
    </r>
  </si>
  <si>
    <t>Doc # 459805; Book # 1731; Page # 167</t>
  </si>
  <si>
    <t>Doc # 459806; Book # 1731; Page # 179</t>
  </si>
  <si>
    <t>Doc # 459807; Book # 1731; Page # 190</t>
  </si>
  <si>
    <t>Instrument # 201500889; Book # 0532; Page # 57-66</t>
  </si>
  <si>
    <t>Instrument # 201500891; Book # 0532; Page # 67-75</t>
  </si>
  <si>
    <t>Instrument # 201500892; Book # 0532; Page # 76-85</t>
  </si>
  <si>
    <t>Instrument # 201500893; Book # 0532; Page # 86-94</t>
  </si>
  <si>
    <t>Instrument # 201500894; Book # 0532; Page # 95-104</t>
  </si>
  <si>
    <t>Instrument # 201500895; Book # 0532; Page # 105-114</t>
  </si>
  <si>
    <t>Instrument # 201500897; Book # 0532; Page # 115-123</t>
  </si>
  <si>
    <t>Instrument # 201500899; Book # 0532; Page # 124-133</t>
  </si>
  <si>
    <t>Instrument # 201500901; Book # 0532; Page # 134-143</t>
  </si>
  <si>
    <t>Instrument # 201500904; Book # 0532; Page # 144-151</t>
  </si>
  <si>
    <t>Instrument # 201500905; Book # 0532; Page # 152-160</t>
  </si>
  <si>
    <t>Instrument # 201501458;  Page # 1-9</t>
  </si>
  <si>
    <t>Instrument # 201501459;  Page # 1-9</t>
  </si>
  <si>
    <t>Instrument # 201501460;  Page # 1-9</t>
  </si>
  <si>
    <t>Instrument # 201501461;  Page # 1-9</t>
  </si>
  <si>
    <t>Instrument # 201501462;  Page # 1-9</t>
  </si>
  <si>
    <t>Instrument # 201501463;  Page # 1-10</t>
  </si>
  <si>
    <t>Instrument # 201501464;  Page # 1-9</t>
  </si>
  <si>
    <t>Instrument # 201501465;  Page # 1-9</t>
  </si>
  <si>
    <t>Instrument # 201501466;  Page # 1-9</t>
  </si>
  <si>
    <t>Instrument # 201501467;  Page # 1-10</t>
  </si>
  <si>
    <t>Instrument # 201501468;  Page # 1-9</t>
  </si>
  <si>
    <t>Instrument # 201501469;  Page # 1-9</t>
  </si>
  <si>
    <t>Instrument # 11500626; Page # 1-9</t>
  </si>
  <si>
    <t>Instrument # 11500627; Page # 1-10</t>
  </si>
  <si>
    <t>Instrument # 11500628; Page # 1-10</t>
  </si>
  <si>
    <t>Instrument # 11500629; Page # 1-9</t>
  </si>
  <si>
    <t>Instrument # 11500630; Page # 1-9</t>
  </si>
  <si>
    <t>Volume # 56; Page # 163-171</t>
  </si>
  <si>
    <t>Volume # 56; Page # 127-135</t>
  </si>
  <si>
    <t>Doc # 059089; Book # 206; Page # 387-397</t>
  </si>
  <si>
    <t>Doc # 059090; Book # 206; Page # 398-408</t>
  </si>
  <si>
    <t>Doc # 059095; Book # 206; Page # 460-471</t>
  </si>
  <si>
    <t>Doc # 059096 Book # 206; Page # 472-483</t>
  </si>
  <si>
    <r>
      <rPr>
        <b/>
        <u/>
        <sz val="10"/>
        <rFont val="Cambria"/>
        <family val="1"/>
        <scheme val="major"/>
      </rPr>
      <t>Houston</t>
    </r>
    <r>
      <rPr>
        <sz val="10"/>
        <rFont val="Cambria"/>
        <family val="1"/>
        <scheme val="major"/>
      </rPr>
      <t xml:space="preserve"> - Instrument # 1301347; Pages # 13; </t>
    </r>
    <r>
      <rPr>
        <b/>
        <u/>
        <sz val="10"/>
        <rFont val="Cambria"/>
        <family val="1"/>
        <scheme val="major"/>
      </rPr>
      <t>Trinity</t>
    </r>
    <r>
      <rPr>
        <sz val="10"/>
        <rFont val="Cambria"/>
        <family val="1"/>
        <scheme val="major"/>
      </rPr>
      <t xml:space="preserve"> - Doc # 156029 Vol # 908; Pages # 468 -480;</t>
    </r>
  </si>
  <si>
    <t>Instrument # 130591; Vol # 377; Page # 378-392;</t>
  </si>
  <si>
    <t>Doc # 156030 Vol # 908; Pages # 481-492;</t>
  </si>
  <si>
    <t>Doc # 156031 Vol # 908; Pages # 493-505;</t>
  </si>
  <si>
    <t>Doc # 156032 Vol # 908; Pages # 506-518;</t>
  </si>
  <si>
    <t>Doc # 156033 Vol # 908; Pages # 519-534;</t>
  </si>
  <si>
    <t>Doc # 156034 Vol # 908; Pages # 535-557;</t>
  </si>
  <si>
    <t>Doc # 68827; Vol # 8; Page # 483-496;</t>
  </si>
  <si>
    <t>Receipt # 374134; Book # 00736; Page # 00447</t>
  </si>
  <si>
    <t>Doc # 368629; Page # 1-3</t>
  </si>
  <si>
    <t>Instrument # 201500016024; Vol # 2977; Page # 766-769</t>
  </si>
  <si>
    <t>Instrument # 2015004371; Book # 1570; Page # 139-141</t>
  </si>
  <si>
    <t>Instrument # 2015004372; Book # 1570; Page # 142-144</t>
  </si>
  <si>
    <t>Doc # I-J-002091; Book # 0907; Page # 172-176</t>
  </si>
  <si>
    <t>Doc # I-J-002092; Book # 0907; Page # 177-180</t>
  </si>
  <si>
    <t>Doc # I-2015-003148; Book # 2314; Page # 64-66;</t>
  </si>
  <si>
    <t>Doc # I-2015-003149; Book # 2314; Page # 67-69;</t>
  </si>
  <si>
    <t>Doc # I-J-002093; Book # 0907; Page # 181-184</t>
  </si>
  <si>
    <t>Doc # I-2015-001323; Book # 711; Page # 203-210</t>
  </si>
  <si>
    <t>Instrument # 2015-004269; Book # 1679; Page # 117-120</t>
  </si>
  <si>
    <t>Doc # I-2015-002291; Book # 2289; Pages # 656-662;</t>
  </si>
  <si>
    <t>Doc # I-2015-003150; Book # 2314; Page # 70-72;</t>
  </si>
  <si>
    <t>Doc # 68826; Vol # 8; Page # 461-482;</t>
  </si>
  <si>
    <t>Doc # 156035 Vol # 908; Pages # 558-570;</t>
  </si>
  <si>
    <t>Doc # 156036 Vol # 908; Pages # 571-581;</t>
  </si>
  <si>
    <t>Doc # 156037 Vol # 908; Pages # 582-592;</t>
  </si>
  <si>
    <t xml:space="preserve"> Instrument # 1301338; Pages # 11; </t>
  </si>
  <si>
    <t xml:space="preserve"> Instrument # 1301339; Pages # 11; </t>
  </si>
  <si>
    <t xml:space="preserve"> Instrument # 1301340; Pages # 13; </t>
  </si>
  <si>
    <t xml:space="preserve"> Instrument # 1301341; Pages # 11; </t>
  </si>
  <si>
    <t>Doc # 459808; Book # 1731; Page # 200</t>
  </si>
  <si>
    <t>Doc # 059047; Book # 205; Page # 634-644</t>
  </si>
  <si>
    <t>Doc # 059048; Book # 205; Page # 645-655</t>
  </si>
  <si>
    <t>Doc # 059050; Book # 205; Page # 665-675</t>
  </si>
  <si>
    <t>Doc # 059055; Book # 205; Page # 712-722</t>
  </si>
  <si>
    <t>Doc # 059056; Book # 206; Page # 1-11</t>
  </si>
  <si>
    <t>Doc # 059058; Book # 206; Page # 21-31</t>
  </si>
  <si>
    <t>Doc # 059060; Book # 205; Page # 41-51</t>
  </si>
  <si>
    <t>Doc # 059061; Book # 206; Page # 52-62</t>
  </si>
  <si>
    <t>Doc # 059062; Book # 206; Page # 63-73</t>
  </si>
  <si>
    <t>Doc # 059085; Book # 206; Page # 337-347</t>
  </si>
  <si>
    <t>Doc # 059064; Book # 206; Page # 84-94</t>
  </si>
  <si>
    <t>Doc # 059065; Book # 206; Page # 95-105</t>
  </si>
  <si>
    <t>Doc # 059066; Book # 206; Page # 106-116</t>
  </si>
  <si>
    <t>Doc # 059067; Book # 206; Page # 117-127</t>
  </si>
  <si>
    <t>Doc # 059068; Book # 206; Page # 128-138</t>
  </si>
  <si>
    <t>Doc # 059071; Book # 206; Page # 163-173</t>
  </si>
  <si>
    <t>Doc # 059084; Book # 206; Page # 326-336</t>
  </si>
  <si>
    <t>Instrument # 201402131;  Pages # 1-6</t>
  </si>
  <si>
    <t>Instrument # 201402132;  Pages # 1-6</t>
  </si>
  <si>
    <t>Instrument # 201402133;  Pages # 1-6</t>
  </si>
  <si>
    <t>Instrument # 201402134;  Pages # 1-6</t>
  </si>
  <si>
    <t>Instrument # 201402135;  Pages # 1-6</t>
  </si>
  <si>
    <t>Instrument # 201402136;  Pages # 1-6</t>
  </si>
  <si>
    <t>Instrument # 201402137;  Pages # 1-6</t>
  </si>
  <si>
    <t>Instrument # 201402138;  Pages # 1-6</t>
  </si>
  <si>
    <t>Instrument # 201402130;  Pages # 1-6</t>
  </si>
  <si>
    <t>Receipt # 374134; Book # 00736; Page # 00452</t>
  </si>
  <si>
    <t>Receipt # 374134; Book # 00736; Page # 00458</t>
  </si>
  <si>
    <t>Receipt # 374134; Book # 00736; Page # 00465</t>
  </si>
  <si>
    <t>Document # 20150160</t>
  </si>
  <si>
    <t>Receipt # 374134; Book # 00736; Page # 00471</t>
  </si>
  <si>
    <t xml:space="preserve"> Book # 911 Page # 603</t>
  </si>
  <si>
    <t>Instrument#50523; Book 1806; Page 294</t>
  </si>
  <si>
    <t>Instrument#50524;  Book 1806; Page 300</t>
  </si>
  <si>
    <t xml:space="preserve"> Instrument#50525; Book 1806; Page 306</t>
  </si>
  <si>
    <t>Instrument # 2016-000201; Book # 0386; Page # 244-251</t>
  </si>
  <si>
    <t>Doc # 57591; Vol # 1746; Page # 553;</t>
  </si>
  <si>
    <t>Doc # 57592; Vol # 1746; Page # 559;</t>
  </si>
  <si>
    <t>Doc # 201300005769; Pages # 7;</t>
  </si>
  <si>
    <t>Doc # 57593; Vol # 1746; Page # 565;</t>
  </si>
  <si>
    <t>Instrument # 2013-18252; Vol # 2440; Page # 402;</t>
  </si>
  <si>
    <t>Instrument # 2013-18253; Vol # 2440; Page # 412;</t>
  </si>
  <si>
    <t>Instrument # 2013-18254; Vol # 2440; Page # 422;</t>
  </si>
  <si>
    <t>Instrument # 2013-18255; Vol # 2440; Page # 433;</t>
  </si>
  <si>
    <t>Instrument # 2013-18256; Vol # 2440; Page # 443;</t>
  </si>
  <si>
    <t>Instrument # 2013-18257; Vol # 2440; Page # 454;</t>
  </si>
  <si>
    <t>Doc # 2011-195224; Vol # 191; Page # 938-947;</t>
  </si>
  <si>
    <r>
      <rPr>
        <b/>
        <u/>
        <sz val="10"/>
        <rFont val="Cambria"/>
        <family val="1"/>
        <scheme val="major"/>
      </rPr>
      <t>Live Oak</t>
    </r>
    <r>
      <rPr>
        <sz val="10"/>
        <rFont val="Cambria"/>
        <family val="1"/>
        <scheme val="major"/>
      </rPr>
      <t xml:space="preserve"> - Doc # 2011-195227; Vol # 191; Pages # 966-974; </t>
    </r>
    <r>
      <rPr>
        <b/>
        <u/>
        <sz val="10"/>
        <rFont val="Cambria"/>
        <family val="1"/>
        <scheme val="major"/>
      </rPr>
      <t>Mc Mullen</t>
    </r>
    <r>
      <rPr>
        <sz val="10"/>
        <rFont val="Cambria"/>
        <family val="1"/>
        <scheme val="major"/>
      </rPr>
      <t xml:space="preserve"> - Doc # 68823; Vol # 8; Pages # 430-437;</t>
    </r>
  </si>
  <si>
    <r>
      <rPr>
        <b/>
        <u/>
        <sz val="10"/>
        <rFont val="Cambria"/>
        <family val="1"/>
        <scheme val="major"/>
      </rPr>
      <t>Live Oak</t>
    </r>
    <r>
      <rPr>
        <sz val="10"/>
        <rFont val="Cambria"/>
        <family val="1"/>
        <scheme val="major"/>
      </rPr>
      <t xml:space="preserve"> - Doc # 2011-195226; Vol # 191; Pages # 957-965; </t>
    </r>
    <r>
      <rPr>
        <b/>
        <u/>
        <sz val="10"/>
        <rFont val="Cambria"/>
        <family val="1"/>
        <scheme val="major"/>
      </rPr>
      <t>Mc Mullen</t>
    </r>
    <r>
      <rPr>
        <sz val="10"/>
        <rFont val="Cambria"/>
        <family val="1"/>
        <scheme val="major"/>
      </rPr>
      <t xml:space="preserve"> - Doc # 68822; Vol # 8; Pages # 422-429;</t>
    </r>
  </si>
  <si>
    <t>Doc # 57594; Vol # 1746; Page # 571;</t>
  </si>
  <si>
    <r>
      <rPr>
        <b/>
        <u/>
        <sz val="10"/>
        <rFont val="Cambria"/>
        <family val="1"/>
        <scheme val="major"/>
      </rPr>
      <t>Yell</t>
    </r>
    <r>
      <rPr>
        <sz val="10"/>
        <rFont val="Cambria"/>
        <family val="1"/>
        <scheme val="major"/>
      </rPr>
      <t xml:space="preserve"> - Book # 552; Pages 49-56</t>
    </r>
    <r>
      <rPr>
        <b/>
        <sz val="10"/>
        <rFont val="Cambria"/>
        <family val="1"/>
        <scheme val="major"/>
      </rPr>
      <t xml:space="preserve"> </t>
    </r>
    <r>
      <rPr>
        <b/>
        <u/>
        <sz val="10"/>
        <rFont val="Cambria"/>
        <family val="1"/>
        <scheme val="major"/>
      </rPr>
      <t>Perry</t>
    </r>
    <r>
      <rPr>
        <b/>
        <sz val="10"/>
        <rFont val="Cambria"/>
        <family val="1"/>
        <scheme val="major"/>
      </rPr>
      <t xml:space="preserve"> -</t>
    </r>
    <r>
      <rPr>
        <sz val="10"/>
        <rFont val="Cambria"/>
        <family val="1"/>
        <scheme val="major"/>
      </rPr>
      <t xml:space="preserve"> Instrument #</t>
    </r>
    <r>
      <rPr>
        <b/>
        <sz val="10"/>
        <rFont val="Cambria"/>
        <family val="1"/>
        <scheme val="major"/>
      </rPr>
      <t xml:space="preserve"> </t>
    </r>
    <r>
      <rPr>
        <sz val="10"/>
        <rFont val="Cambria"/>
        <family val="1"/>
        <scheme val="major"/>
      </rPr>
      <t>049039</t>
    </r>
  </si>
  <si>
    <t>Doc # 732300; Book # 1280; Page # 683</t>
  </si>
  <si>
    <t>Doc # 2567366; Pages # 9</t>
  </si>
  <si>
    <t>Instrument # 405788</t>
  </si>
  <si>
    <t>Acct #20152088; Pages # 11</t>
  </si>
  <si>
    <t>Instrument # 405789</t>
  </si>
  <si>
    <t>Instrument # 405790</t>
  </si>
  <si>
    <t>File # 154981; Book # 1383; Page # 354</t>
  </si>
  <si>
    <t>Doc # 2567367; Pages # 6</t>
  </si>
  <si>
    <t>File # 555624; Book # 1195; Page # 309</t>
  </si>
  <si>
    <t>Doc # 1688023; Book # 2442; Page # 214</t>
  </si>
  <si>
    <t>Doc # 1688024; Book # 2442; Page # 225</t>
  </si>
  <si>
    <t>Doc # 1688025; Book # 2442; Page # 236</t>
  </si>
  <si>
    <t>Doc # 3200020; Book # 4063; Page # 800</t>
  </si>
  <si>
    <t>Doc # 3200021; Book # 4063; Page # 810</t>
  </si>
  <si>
    <t>Doc # 3200022; Book # 4063; Page # 820</t>
  </si>
  <si>
    <t>File # 1132408; Pages # 10</t>
  </si>
  <si>
    <t>File # 3582; Book # 670; Page # 126</t>
  </si>
  <si>
    <t>File # 3583; Book # 670; Page # 127</t>
  </si>
  <si>
    <t>Doc # 238052; Book # 94; Page # 189</t>
  </si>
  <si>
    <t>File # 409876; Book # 823; Page # 637</t>
  </si>
  <si>
    <t>File # 409877; Book # 823; Page # 649</t>
  </si>
  <si>
    <t>File # 409878; Book # 823; Page # 661</t>
  </si>
  <si>
    <t>File # 409879; Book # 823; Page # 673</t>
  </si>
  <si>
    <t>File # 409880; Book # 823; Page # 685</t>
  </si>
  <si>
    <t>File # 409881; Book # 823; Page # 697</t>
  </si>
  <si>
    <t>File # 409882; Book # 823; Page # 709</t>
  </si>
  <si>
    <t>Doc # 057971; Book # 120; Page # 133</t>
  </si>
  <si>
    <t>Book # 911 Page # 596</t>
  </si>
  <si>
    <t xml:space="preserve"> Instrument#50526; Book 1806; Page 311</t>
  </si>
  <si>
    <r>
      <rPr>
        <b/>
        <u/>
        <sz val="10"/>
        <rFont val="Cambria"/>
        <family val="1"/>
        <scheme val="major"/>
      </rPr>
      <t>Muskogee</t>
    </r>
    <r>
      <rPr>
        <b/>
        <sz val="10"/>
        <rFont val="Cambria"/>
        <family val="1"/>
        <scheme val="major"/>
      </rPr>
      <t xml:space="preserve"> - </t>
    </r>
    <r>
      <rPr>
        <sz val="10"/>
        <rFont val="Cambria"/>
        <family val="1"/>
        <scheme val="major"/>
      </rPr>
      <t xml:space="preserve">Doc # I-2015-009818; Book # 4455; Page # 289-294;    </t>
    </r>
    <r>
      <rPr>
        <b/>
        <u/>
        <sz val="10"/>
        <rFont val="Cambria"/>
        <family val="1"/>
        <scheme val="major"/>
      </rPr>
      <t>Wagoner</t>
    </r>
    <r>
      <rPr>
        <sz val="10"/>
        <rFont val="Cambria"/>
        <family val="1"/>
        <scheme val="major"/>
      </rPr>
      <t xml:space="preserve"> - Doc # 2015-12378; Book # 2245; Page # 857-862;</t>
    </r>
  </si>
  <si>
    <t>Doc # I-2015-219552; Book # 566; Pages # 601-609;</t>
  </si>
  <si>
    <t>Doc # 6214; Book # 1946; Page # 408-415</t>
  </si>
  <si>
    <t>Doc # 6215; Book # 1946; Page # 416-424</t>
  </si>
  <si>
    <t>Doc # 6216; Book # 1946; Page # 425-432</t>
  </si>
  <si>
    <t>Doc # 6217; Book # 1946; Page # 433-441</t>
  </si>
  <si>
    <t>Doc # I-2015-001324; Book # 711; Page # 211-220</t>
  </si>
  <si>
    <t xml:space="preserve"> Instrument # 1301342; Pages # 8; </t>
  </si>
  <si>
    <r>
      <rPr>
        <b/>
        <u/>
        <sz val="10"/>
        <rFont val="Cambria"/>
        <family val="1"/>
        <scheme val="major"/>
      </rPr>
      <t>Live Oak</t>
    </r>
    <r>
      <rPr>
        <sz val="10"/>
        <rFont val="Cambria"/>
        <family val="1"/>
        <scheme val="major"/>
      </rPr>
      <t xml:space="preserve"> - Doc # 2011-195228; Vol # 191; Pages # 975-986; </t>
    </r>
    <r>
      <rPr>
        <b/>
        <u/>
        <sz val="10"/>
        <rFont val="Cambria"/>
        <family val="1"/>
        <scheme val="major"/>
      </rPr>
      <t>Mc Mullen</t>
    </r>
    <r>
      <rPr>
        <sz val="10"/>
        <rFont val="Cambria"/>
        <family val="1"/>
        <scheme val="major"/>
      </rPr>
      <t xml:space="preserve"> - Doc # 68824; Vol # 8; Pages # 438-448;</t>
    </r>
  </si>
  <si>
    <t>Doc # 68825; Vol # 8; Page # 449-460;</t>
  </si>
  <si>
    <t>Instrument # 130592; Vol # 377; Page # 393-402;</t>
  </si>
  <si>
    <t>Doc # 2011-195229; Vol # 191; Page # 987-997;</t>
  </si>
  <si>
    <t>Instrument # 20151020000365790; Pages 1-8</t>
  </si>
  <si>
    <t>Instrument # 2015010213</t>
  </si>
  <si>
    <t>Doc # 5528769; Book # 4062; Page # 916</t>
  </si>
  <si>
    <t>Doc # 5528770; Book # 4062; Page # 917</t>
  </si>
  <si>
    <t>Doc # 5528771; Book # 4062; Page # 918</t>
  </si>
  <si>
    <t>Doc # 5528772; Book # 4062; Page # 919</t>
  </si>
  <si>
    <t>Doc # 5528773; Book # 4062; Page # 920</t>
  </si>
  <si>
    <t>Doc # 5528774; Book # 4062; Page # 921</t>
  </si>
  <si>
    <t>Doc # 5528777; Book # 4062; Page # 924</t>
  </si>
  <si>
    <t>Doc # 5528775; Book # 4062; Page # 922</t>
  </si>
  <si>
    <t>Doc # 5528776; Book # 4062; Page # 923</t>
  </si>
  <si>
    <t>Instrument # 2015R004468</t>
  </si>
  <si>
    <t>Instrument # 2015R004467</t>
  </si>
  <si>
    <t>Instrument # 2015R004469</t>
  </si>
  <si>
    <t>Instrument # 2015R004470</t>
  </si>
  <si>
    <t>Instrument # 2015R004471</t>
  </si>
  <si>
    <t>Instrument # 2015R004472</t>
  </si>
  <si>
    <t>Instrument # 2015R004473</t>
  </si>
  <si>
    <t>Book # 22; Page # 646;</t>
  </si>
  <si>
    <t>Book # 22; Page # 652;</t>
  </si>
  <si>
    <t>Instrument # 201462479; Book # 134; Page # 604</t>
  </si>
  <si>
    <t>Instrument # 201462445; Book # 134; Page # 434</t>
  </si>
  <si>
    <t>Instrument # 201462446; Book # 134; Page # 438</t>
  </si>
  <si>
    <t>Instrument # 201462447; Book # 134; Page # 443</t>
  </si>
  <si>
    <t>Instrument # 201462448; Book # 134; Page # 448</t>
  </si>
  <si>
    <t>Instrument # 201462449; Book # 134; Page # 454</t>
  </si>
  <si>
    <t>Instrument # 201462450; Book # 134; Page # 458</t>
  </si>
  <si>
    <t>Instrument # 201462451; Book # 134; Page # 463</t>
  </si>
  <si>
    <t>Instrument # 201462452; Book # 134; Page # 467</t>
  </si>
  <si>
    <t>Instrument # 201462453; Book # 134; Page # 472</t>
  </si>
  <si>
    <t>Instrument # 201462454; Book # 134; Page # 475</t>
  </si>
  <si>
    <t>Instrument # 201462455; Book # 134; Page # 480</t>
  </si>
  <si>
    <t>Instrument # 201462456; Book # 134; Page # 485</t>
  </si>
  <si>
    <t>Instrument # 201462457; Book # 134; Page # 492</t>
  </si>
  <si>
    <t>Instrument # 201462458; Book # 134; Page # 499</t>
  </si>
  <si>
    <t>Instrument # 201462459; Book # 134; Page # 506</t>
  </si>
  <si>
    <t>Instrument # 201462460; Book # 134; Page # 513</t>
  </si>
  <si>
    <t>Instrument # 201462461; Book # 134; Page # 520</t>
  </si>
  <si>
    <t>Instrument # 201462462; Book # 134; Page # 527</t>
  </si>
  <si>
    <t>Instrument # 201462463; Book # 134; Page # 530</t>
  </si>
  <si>
    <t>Instrument # 201462464; Book # 134; Page # 533</t>
  </si>
  <si>
    <t>Instrument # 201462465; Book # 134; Page # 538</t>
  </si>
  <si>
    <t>Instrument # 201462466; Book # 134; Page # 543</t>
  </si>
  <si>
    <t>Instrument # 201462467; Book # 134; Page # 548</t>
  </si>
  <si>
    <t>Instrument # 201462468; Book # 134; Page # 553</t>
  </si>
  <si>
    <t>Instrument # 201462469; Book # 134; Page # 558</t>
  </si>
  <si>
    <t>Instrument # 201462470; Book # 134; Page # 565</t>
  </si>
  <si>
    <t>Instrument # 201462471; Book # 134; Page # 569</t>
  </si>
  <si>
    <t>Instrument # 201462472; Book # 134; Page # 574</t>
  </si>
  <si>
    <t>Instrument # 201462473; Book # 134; Page # 580</t>
  </si>
  <si>
    <t>Instrument # 201462474; Book # 134; Page # 584</t>
  </si>
  <si>
    <t>Instrument # 201462475; Book # 134; Page # 588</t>
  </si>
  <si>
    <t>Instrument # 201462476; Book # 134; Page # 593</t>
  </si>
  <si>
    <t>Instrument # 1420918; Pages # 5</t>
  </si>
  <si>
    <t>Instrument # 1420915; Pages # 5</t>
  </si>
  <si>
    <t>Instrument # 1420917; Pages # 5</t>
  </si>
  <si>
    <t>Instrument # 1420914; Pages # 5</t>
  </si>
  <si>
    <t>Instrument # 1420916; Pages # 5</t>
  </si>
  <si>
    <t>Instrument # 1420913; Pages # 5</t>
  </si>
  <si>
    <t>Instrument # 1420927; Pages # 4</t>
  </si>
  <si>
    <t>Instrument # 1420919; Pages # 4</t>
  </si>
  <si>
    <t>Instrument # 1420926; Pages # 4</t>
  </si>
  <si>
    <t>Instrument # 1420925; Pages # 4</t>
  </si>
  <si>
    <t>Instrument # 1420929; Pages # 4</t>
  </si>
  <si>
    <t>Instrument # 1420924; Pages # 4</t>
  </si>
  <si>
    <t>Instrument # 1420928; Pages # 4</t>
  </si>
  <si>
    <t>Instrument # 1420923; Pages # 4</t>
  </si>
  <si>
    <t>Instrument # 1420922; Pages # 4</t>
  </si>
  <si>
    <t>Instrument # 1420921; Pages # 4</t>
  </si>
  <si>
    <t>Instrument # 1420920; Pages # 4</t>
  </si>
  <si>
    <t>Doc # 368630; Page # 1-4</t>
  </si>
  <si>
    <t>Doc # 368631; Page # 1-3</t>
  </si>
  <si>
    <t>Doc # I-2015-002292; Book # 2289; Pages # 663-668;</t>
  </si>
  <si>
    <t>Doc # 6218; Book # 1946; Page # 442-450</t>
  </si>
  <si>
    <t>Doc # 6219; Book # 1946; Page # 451-457</t>
  </si>
  <si>
    <t xml:space="preserve"> Instrument # 1301343; Pages # 12; </t>
  </si>
  <si>
    <t xml:space="preserve"> Instrument # 1301344; Pages # 12; </t>
  </si>
  <si>
    <t xml:space="preserve"> Instrument # 1301345; Pages # 24; </t>
  </si>
  <si>
    <r>
      <rPr>
        <b/>
        <u/>
        <sz val="10"/>
        <rFont val="Cambria"/>
        <family val="1"/>
        <scheme val="major"/>
      </rPr>
      <t>Live Oak</t>
    </r>
    <r>
      <rPr>
        <sz val="10"/>
        <rFont val="Cambria"/>
        <family val="1"/>
        <scheme val="major"/>
      </rPr>
      <t xml:space="preserve"> - Doc # 2011-195225; Vol # 191; Pages # 948-956; </t>
    </r>
    <r>
      <rPr>
        <b/>
        <u/>
        <sz val="10"/>
        <rFont val="Cambria"/>
        <family val="1"/>
        <scheme val="major"/>
      </rPr>
      <t>Mc Mullen</t>
    </r>
    <r>
      <rPr>
        <sz val="10"/>
        <rFont val="Cambria"/>
        <family val="1"/>
        <scheme val="major"/>
      </rPr>
      <t xml:space="preserve"> - Doc # 68821; Vol # 8; Pages # 414-421;</t>
    </r>
  </si>
  <si>
    <t>Receipt # 374134; Book # 00736; Page # 00476</t>
  </si>
  <si>
    <t>Document # 201410100011; Pages # 3</t>
  </si>
  <si>
    <t>Document # 201410100008; Pages # 4</t>
  </si>
  <si>
    <t>Doc # 368644; Page # 1-6</t>
  </si>
  <si>
    <t>Doc # 368632; Page # 1-6</t>
  </si>
  <si>
    <t>Doc # 368633; Page # 1-6</t>
  </si>
  <si>
    <t>Doc # 368634; Page # 1-7</t>
  </si>
  <si>
    <t>Doc # 368635; Page # 1-6</t>
  </si>
  <si>
    <t>Doc # 368636; Page # 1-6</t>
  </si>
  <si>
    <t>Doc # I-2015-003691; Book # 1228; Page # 549-551;</t>
  </si>
  <si>
    <t>Doc # 6220; Book # 1946; Page # 458-465</t>
  </si>
  <si>
    <t>Doc # 6221; Book # 1946; Page # 466-473</t>
  </si>
  <si>
    <t>Doc # 6222; Book # 1946; Page # 474-481</t>
  </si>
  <si>
    <t>Doc # 6223; Book # 1946; Page # 482-489</t>
  </si>
  <si>
    <t>Doc # 6224; Book # 1946; Page # 490-495</t>
  </si>
  <si>
    <t>Instrument # 130588; Vol # 377; Page # 343-350;</t>
  </si>
  <si>
    <t>Instrument # 130589; Vol # 377; Page # 351-362;</t>
  </si>
  <si>
    <t>Instrument # 130590; Vol # 377; Page # 363-377;</t>
  </si>
  <si>
    <t>Doc # 1562971; Book # 2021; Page # 351</t>
  </si>
  <si>
    <t>Doc # 1562972; Book # 2021; Page # 361</t>
  </si>
  <si>
    <t>Doc # 1562973; Book # 2021; Page # 371</t>
  </si>
  <si>
    <t>Doc # 1562974; Book # 2021; Page # 381</t>
  </si>
  <si>
    <t>Doc # 1562975; Book # 2021; Page # 391</t>
  </si>
  <si>
    <t>Doc # 1562976; Book # 2021; Page # 402</t>
  </si>
  <si>
    <t>Doc # 1562977; Book # 2021; Page # 412</t>
  </si>
  <si>
    <t>Doc # 1562978; Book # 2021; Page # 422</t>
  </si>
  <si>
    <t>Doc # 1562979; Book # 2021; Page # 432</t>
  </si>
  <si>
    <t>Doc # 1562980; Book # 2021; Page # 443</t>
  </si>
  <si>
    <t>Doc # 1562981; Book # 2021; Page # 453</t>
  </si>
  <si>
    <t>Doc # 1562982; Book # 2021; Page # 462</t>
  </si>
  <si>
    <t>Doc # 1562983; Book # 2021; Page # 473</t>
  </si>
  <si>
    <t>Doc # 1562984; Book # 2021; Page # 483</t>
  </si>
  <si>
    <t>Doc # 1562985; Book # 2021; Page # 494</t>
  </si>
  <si>
    <t>Doc # 1562986; Book # 2021; Page # 505</t>
  </si>
  <si>
    <t>Doc # 1562987; Book # 2021; Page # 516</t>
  </si>
  <si>
    <t>Doc # 1562988; Book # 2021; Page # 526</t>
  </si>
  <si>
    <t>Doc # 1562989; Book # 2021; Page # 536</t>
  </si>
  <si>
    <t>Doc # 1562990; Book # 2021; Page # 546</t>
  </si>
  <si>
    <t>Doc # 1562991; Book # 2021; Page # 557</t>
  </si>
  <si>
    <t>Doc # 1562992; Book # 2021; Page # 569</t>
  </si>
  <si>
    <t>Doc # 1562993; Book # 2021; Page # 581</t>
  </si>
  <si>
    <t>Doc # 1636244; Book # 2104; Page # 379</t>
  </si>
  <si>
    <t>Doc # 1562995; Book # 2021; Page # 602</t>
  </si>
  <si>
    <t>Doc # 1562995; Book # 2021; Page # 612</t>
  </si>
  <si>
    <t>Doc # 1562997; Book # 2021; Page # 621</t>
  </si>
  <si>
    <t>Doc # 1562998; Book # 2021; Page # 631</t>
  </si>
  <si>
    <t>Doc # 1562999; Book # 2021; Page # 641</t>
  </si>
  <si>
    <t>Doc # 1563000; Book # 2021; Page # 651</t>
  </si>
  <si>
    <t>Doc # 1563001; Book # 2021; Page # 661</t>
  </si>
  <si>
    <t>Doc # 1563002; Book # 2021; Page # 673</t>
  </si>
  <si>
    <t>Doc # 1563003; Book # 2021; Page # 685</t>
  </si>
  <si>
    <t>Doc # 1563004; Book # 2021; Page # 696</t>
  </si>
  <si>
    <t>Doc # 1563005; Book # 2021; Page # 707</t>
  </si>
  <si>
    <t>Doc # 1563006; Book # 2021; Page # 718</t>
  </si>
  <si>
    <t>Doc # 1563007; Book # 2021; Page # 726</t>
  </si>
  <si>
    <t>Doc # 1563008; Book # 2021; Page # 736</t>
  </si>
  <si>
    <t>Doc # 1563009; Book # 2021; Page # 747</t>
  </si>
  <si>
    <t>Doc # 1563010; Book # 2021; Page # 754</t>
  </si>
  <si>
    <t>Doc # 1563011; Book # 2021; Page # 762</t>
  </si>
  <si>
    <t>Doc # 1563012; Book # 2021; Page # 770</t>
  </si>
  <si>
    <t>Doc # 1563013; Book # 2021; Page # 781</t>
  </si>
  <si>
    <t>Doc # 1563014; Book # 2021; Page # 792</t>
  </si>
  <si>
    <t>Doc # 1563015; Book # 2021; Page # 804</t>
  </si>
  <si>
    <t>Doc # 1563016; Book # 2021; Page # 815</t>
  </si>
  <si>
    <t>Instrument # 201500906; Book # 0532; Page # 161-173</t>
  </si>
  <si>
    <t>Instrument # 201500907; Book # 0532; Page # 174-186</t>
  </si>
  <si>
    <t>Instrument # 201500908; Book # 0532; Page # 187-199</t>
  </si>
  <si>
    <t>Instrument # 201500909; Book # 0532; Page # 200-212</t>
  </si>
  <si>
    <t>Instrument # 201500913; Book # 0532; Page # 213-225</t>
  </si>
  <si>
    <t>Book # 911 Page # 609</t>
  </si>
  <si>
    <t>Book # 911 Page # 618</t>
  </si>
  <si>
    <t>Document # 201410100013; Pages # 6</t>
  </si>
  <si>
    <t>Doc # 368637; Page # 1-10</t>
  </si>
  <si>
    <t>Doc # 6225; Book # 1946; Page # 496-506</t>
  </si>
  <si>
    <t>Doc # 6226; Book # 1946; Page # 507-515</t>
  </si>
  <si>
    <t>Doc # 6227; Book # 1946; Page # 516-524</t>
  </si>
  <si>
    <t>Doc # 6228; Book # 1946; Page # 525-532</t>
  </si>
  <si>
    <t>Doc # 1666; Book # 891; Pages # 207-214;</t>
  </si>
  <si>
    <t xml:space="preserve">Instrument # 2013001689; Page # 6990-7002; </t>
  </si>
  <si>
    <t xml:space="preserve">Instrument # 2013001690; Page # 7003-7013; </t>
  </si>
  <si>
    <t xml:space="preserve">Instrument # 2013001691; Page # 7014-7024; </t>
  </si>
  <si>
    <t>DOC#2013029100; Pages # 12;</t>
  </si>
  <si>
    <t>Doc # 57595; Vol # 1746; Page # 577;</t>
  </si>
  <si>
    <t>Doc # 57596; Vol # 1746; Page # 585;</t>
  </si>
  <si>
    <t>Registry # 216340; Book # 158; Page # 467</t>
  </si>
  <si>
    <t>File # 555625; Book # 1195; Page # 319</t>
  </si>
  <si>
    <t>File # 555626; Book # 1195; Page # 330</t>
  </si>
  <si>
    <t>File # 555627; Book # 1195; Page # 339</t>
  </si>
  <si>
    <t>File # 555628; Book # 1195; Page # 350</t>
  </si>
  <si>
    <t>File # 555629; Book # 1195; Page # 359</t>
  </si>
  <si>
    <t>File # 555630; Book # 1195; Page # 370</t>
  </si>
  <si>
    <t>File # 555631; Book # 1195; Page # 381</t>
  </si>
  <si>
    <t>File # 555632; Book # 1195; Page # 392</t>
  </si>
  <si>
    <t>File # 555633; Book # 1195; Page # 403</t>
  </si>
  <si>
    <t>File # 555634; Book # 1195; Page # 414</t>
  </si>
  <si>
    <t>File # 555635; Book # 1195; Page # 424</t>
  </si>
  <si>
    <t>File # 555636; Book # 1195; Page # 434</t>
  </si>
  <si>
    <t>File # 555637; Book # 1195; Page # 445</t>
  </si>
  <si>
    <t>File # 555638; Book # 1195; Page # 456</t>
  </si>
  <si>
    <t>File # 555639; Book # 1195; Page # 468</t>
  </si>
  <si>
    <t>File # 555640; Book # 1195; Page # 480</t>
  </si>
  <si>
    <t>Doc # 459809; Book # 1731; Page # 212</t>
  </si>
  <si>
    <t>Instrument # 201500002439; Book # 517; Page # 11-24</t>
  </si>
  <si>
    <t>Book # 458; Page # 9776</t>
  </si>
  <si>
    <t>Instrument # 201500004558; Book # 2015; Page # 12919-12933</t>
  </si>
  <si>
    <t>Instrument # 201500004559; Book # 2015; Page # 12934-12948</t>
  </si>
  <si>
    <t>Instrument # 201500004560; Book # 2015; Page # 12949-12963</t>
  </si>
  <si>
    <t>Instrument # 201500004561; Book # 2015; Page # 12964-12978</t>
  </si>
  <si>
    <t>Book # 458; Page # 9790</t>
  </si>
  <si>
    <t>Book # 458; Page # 9805</t>
  </si>
  <si>
    <t>Book # 458; Page # 9820</t>
  </si>
  <si>
    <t>Book # 458; Page # 9834</t>
  </si>
  <si>
    <t>Instrument # 201500004562; Book # 2015; Page # 12979-12993</t>
  </si>
  <si>
    <t>Instrument # 201500004563; Book # 2015; Page # 12994-13008</t>
  </si>
  <si>
    <t>Instrument # 201500004564; Book # 2015; Page # 13009-13023</t>
  </si>
  <si>
    <t>Instrument # 201500004565; Book # 2015; Page # 13024-13038</t>
  </si>
  <si>
    <t>Instrument # 201500004566; Book # 2015; Page # 13039-13053</t>
  </si>
  <si>
    <t>Instrument # 201500004567; Book # 2015; Page # 13054-13068</t>
  </si>
  <si>
    <t>Instrument # 2015R04465</t>
  </si>
  <si>
    <t>Instrument # 2015R04466</t>
  </si>
  <si>
    <t>Instrument # 2015R04467</t>
  </si>
  <si>
    <t>Instrument # 2015R04468</t>
  </si>
  <si>
    <t>Instrument # 2015R04469</t>
  </si>
  <si>
    <t>Doc # 73123; Book # 346; Pages # 669-687;</t>
  </si>
  <si>
    <t>Doc # 73124; Book # 346; Pages # 688-706;</t>
  </si>
  <si>
    <t>Doc # 73125; Book # 346; Pages # 707-725;</t>
  </si>
  <si>
    <t>Doc # 73126; Book # 346; Pages # 726-744;</t>
  </si>
  <si>
    <t>Doc # 73127; Book # 346; Pages # 745-763;</t>
  </si>
  <si>
    <t>Doc # 73128; Book # 346; Pages # 764-782;</t>
  </si>
  <si>
    <t>Doc # 73129; Book # 346; Pages # 783-801;</t>
  </si>
  <si>
    <t>Doc # 73130; Book # 346; Pages # 802-821;</t>
  </si>
  <si>
    <t>Doc # 73131; Book # 346; Pages # 822-841;</t>
  </si>
  <si>
    <t>Instrument # 201462477; Book # 134; Page # 595</t>
  </si>
  <si>
    <t>Instrument # 201462478; Book # 134; Page # 599</t>
  </si>
  <si>
    <t>Receipt # 374134; Book # 00736; Page # 00480</t>
  </si>
  <si>
    <t>Doc # 6229; Book # 1946; Page # 533-544</t>
  </si>
  <si>
    <t>Doc # 1665; Book # 891; Pages # 199-206;</t>
  </si>
  <si>
    <r>
      <rPr>
        <b/>
        <u/>
        <sz val="10"/>
        <rFont val="Cambria"/>
        <family val="1"/>
        <scheme val="major"/>
      </rPr>
      <t>Shelby</t>
    </r>
    <r>
      <rPr>
        <sz val="10"/>
        <rFont val="Cambria"/>
        <family val="1"/>
        <scheme val="major"/>
      </rPr>
      <t xml:space="preserve"> - Doc # 2013001228; Pages # 12; </t>
    </r>
    <r>
      <rPr>
        <b/>
        <u/>
        <sz val="10"/>
        <rFont val="Cambria"/>
        <family val="1"/>
        <scheme val="major"/>
      </rPr>
      <t>San Augustine</t>
    </r>
    <r>
      <rPr>
        <sz val="10"/>
        <rFont val="Cambria"/>
        <family val="1"/>
        <scheme val="major"/>
      </rPr>
      <t xml:space="preserve"> - Doc # 49024; Vol # 270; Pages # 90-103;</t>
    </r>
  </si>
  <si>
    <t>Instrument # 130593; Vol # 377; Page # 403-415;</t>
  </si>
  <si>
    <t>DOC#2013029101; Pages # 13;</t>
  </si>
  <si>
    <t>DOC#2013029102; Pages # 17;</t>
  </si>
  <si>
    <t>DOC#2013029103; Pages # 18;</t>
  </si>
  <si>
    <t>Instrument # 130594; Vol # 377; Page # 416-426;</t>
  </si>
  <si>
    <t>DOC#2013029104; Pages # 20;</t>
  </si>
  <si>
    <t>DOC#2013029106; Pages # 18;</t>
  </si>
  <si>
    <t>DOC#2018098553; Pages # 21;</t>
  </si>
  <si>
    <t>File # 555641; Book # 1195; Page # 491</t>
  </si>
  <si>
    <t>Doc # 459811; Book # 1731; Page # 231</t>
  </si>
  <si>
    <t>Doc # 459812; Book # 1731; Page # 239</t>
  </si>
  <si>
    <t>Doc # 459813; Book # 1731; Page # 247</t>
  </si>
  <si>
    <t>Doc # 459814; Book # 1731; Page # 256</t>
  </si>
  <si>
    <t>Doc # 459815; Book # 1731; Page # 265</t>
  </si>
  <si>
    <t>Instrument # 201500004568; Book # 2015; Page # 13069-13076</t>
  </si>
  <si>
    <t>Instrument # 20151020000365780; Pages 1-14</t>
  </si>
  <si>
    <t>Book # 2015; Page # 59-69</t>
  </si>
  <si>
    <t>Instrument # 201501470;  Page # 1-11</t>
  </si>
  <si>
    <t>Book # 263; Page # 155-165</t>
  </si>
  <si>
    <t>Instrument # 201500083918; Book # 312; Page # 68-83</t>
  </si>
  <si>
    <t>Instrument# 201500083919; Book# 312; Page# 84-99</t>
  </si>
  <si>
    <t>Instrument# 201500083920; Book# 312; Page# 100-112</t>
  </si>
  <si>
    <t>Doc # 003649220016; Book # 817; Page # 356-371</t>
  </si>
  <si>
    <t>Doc # 003649230015; Book # 817; Page # 372-386</t>
  </si>
  <si>
    <t>Doc # 003649240015; Book # 817; Page # 387-401</t>
  </si>
  <si>
    <t xml:space="preserve">Doc Id # 000771830016; Book # 572; Page # 269-284 </t>
  </si>
  <si>
    <t xml:space="preserve">Doc Id # 000771840016; Book # 572; Page # 285-300 </t>
  </si>
  <si>
    <t xml:space="preserve">Doc Id # 000771850016; Book # 572; Page # 301-316 </t>
  </si>
  <si>
    <t xml:space="preserve">Doc Id # 000771860016; Book # 572; Page # 317-332 </t>
  </si>
  <si>
    <t xml:space="preserve">Doc Id # 000771870016; Book # 572; Page # 333-348 </t>
  </si>
  <si>
    <t>Doc # 003649260016; Book # 817; Page # 417-432</t>
  </si>
  <si>
    <t>Doc # 003649270016; Book # 817; Page # 433-448</t>
  </si>
  <si>
    <t>Doc # 003649290016; Book # 817; Page # 464-479</t>
  </si>
  <si>
    <t>Doc # 003649250015; Book # 817; Page # 402-416</t>
  </si>
  <si>
    <t>Doc # 003649280015; Book # 817; Page # 449-463</t>
  </si>
  <si>
    <t xml:space="preserve">Doc Id # 000771880015; Book # 572; Page # 349-363 </t>
  </si>
  <si>
    <t>Instrument # 201500005522; Book # 585; Page # 543-556</t>
  </si>
  <si>
    <t>Document # 140006598; Book # 531; Page # 7808</t>
  </si>
  <si>
    <t>Instument#2014019472; Book#417; Page#19472</t>
  </si>
  <si>
    <t>Instument#2014019471; Book#417; Page#19471</t>
  </si>
  <si>
    <t>Doc # I-2015-006835; Book # 2195; Pages # 301-308;</t>
  </si>
  <si>
    <t>Doc # I-2015-002444; Book # 715; Page # 591-601</t>
  </si>
  <si>
    <t>Instrument # 130595; Vol # 377; Page # 427-437;</t>
  </si>
  <si>
    <t>Registry # 216341; Book # 158; Page # 475</t>
  </si>
  <si>
    <t>Registry # 216343; Book # 158; Page # 483</t>
  </si>
  <si>
    <t>Registry # 216344; Book # 158; Page # 490</t>
  </si>
  <si>
    <t>Registry # 216345; Book # 158; Page # 497</t>
  </si>
  <si>
    <r>
      <rPr>
        <b/>
        <u/>
        <sz val="10"/>
        <rFont val="Cambria"/>
        <family val="1"/>
        <scheme val="major"/>
      </rPr>
      <t>Winn</t>
    </r>
    <r>
      <rPr>
        <sz val="10"/>
        <rFont val="Cambria"/>
        <family val="1"/>
        <scheme val="major"/>
      </rPr>
      <t>- Registry#216346, Book#158, Page#505</t>
    </r>
  </si>
  <si>
    <t>Registry#216347, Book#158, Page#512</t>
  </si>
  <si>
    <t>Registry#216348, Book#158, Page#520</t>
  </si>
  <si>
    <t>Registry#216349, Book#158, Page#529</t>
  </si>
  <si>
    <t>Instrument# 90003; Book # 151; Page # 70-79</t>
  </si>
  <si>
    <t>Instrument# 90004; Book # 151; Page # 80-89</t>
  </si>
  <si>
    <t>Instrument# 90117; Book # 151; Page # 199-208</t>
  </si>
  <si>
    <t>Instrument # 201500901; Book # 2318; Page # 138-147</t>
  </si>
  <si>
    <t>Instrument# 90006; Book # 151; Page # 100-109</t>
  </si>
  <si>
    <t>Instrument# 90007; Book # 151; Page # 110-119</t>
  </si>
  <si>
    <t>Instrument# 90008; Book # 151; Page # 120-129</t>
  </si>
  <si>
    <t>Book # 149; Page # 372</t>
  </si>
  <si>
    <t>Instrument# 90009; Book # 151; Page # 130-139</t>
  </si>
  <si>
    <t>Instrument# 90010; Book # 151; Page # 140-149</t>
  </si>
  <si>
    <t>Instrument# 90011; Book # 151; Page # 150-159</t>
  </si>
  <si>
    <r>
      <rPr>
        <b/>
        <u/>
        <sz val="10"/>
        <rFont val="Cambria"/>
        <family val="1"/>
        <scheme val="major"/>
      </rPr>
      <t>Copiah</t>
    </r>
    <r>
      <rPr>
        <sz val="10"/>
        <rFont val="Cambria"/>
        <family val="1"/>
        <scheme val="major"/>
      </rPr>
      <t xml:space="preserve"> - Instrument # 90012; Book # 0151; Page # 160 </t>
    </r>
    <r>
      <rPr>
        <b/>
        <u/>
        <sz val="10"/>
        <rFont val="Cambria"/>
        <family val="1"/>
        <scheme val="major"/>
      </rPr>
      <t>Claiborne</t>
    </r>
    <r>
      <rPr>
        <sz val="10"/>
        <rFont val="Cambria"/>
        <family val="1"/>
        <scheme val="major"/>
      </rPr>
      <t xml:space="preserve"> - Book # DB15; Page # 542-551</t>
    </r>
  </si>
  <si>
    <t>Instrument# 90013; Book # 151; Page # 170-179</t>
  </si>
  <si>
    <t>Receipt # 374134; Book # 00736; Page # 00484</t>
  </si>
  <si>
    <t>Receipt # 374134; Book # 00736; Page # 00490</t>
  </si>
  <si>
    <t>Document # 201410100012; Pages # 7</t>
  </si>
  <si>
    <t>Document # 201410100007; Pages # 7</t>
  </si>
  <si>
    <t>Document # 201410100010; Pages # 6</t>
  </si>
  <si>
    <t>Document # 201410100016; Pages # 6</t>
  </si>
  <si>
    <t>Document # 201410100017; Pages # 7</t>
  </si>
  <si>
    <t>Document # 201410100018; Pages # 7</t>
  </si>
  <si>
    <t>Document # 201410100015; Pages # 7</t>
  </si>
  <si>
    <t>Document # 201410100019; Pages # 7</t>
  </si>
  <si>
    <t>Document # 201410100014; Pages # 9</t>
  </si>
  <si>
    <t>Document # 201410100020; Pages # 8</t>
  </si>
  <si>
    <t>Document # 201410100023; Pages # 9</t>
  </si>
  <si>
    <t>Document # 201410100022; Pages # 10</t>
  </si>
  <si>
    <t>Document # 201410100021; Pages # 9</t>
  </si>
  <si>
    <t>Document # 201410100028; Pages # 9</t>
  </si>
  <si>
    <t>Document # 201410100024; Pages # 9</t>
  </si>
  <si>
    <t>Document # 201410100029; Pages # 6</t>
  </si>
  <si>
    <t>Document # 201410100030; Pages # 7</t>
  </si>
  <si>
    <t>Document # 201410100031; Pages # 10</t>
  </si>
  <si>
    <t>Document # 201410100025; Pages # 7</t>
  </si>
  <si>
    <t>Document # 201410100026; Pages # 6</t>
  </si>
  <si>
    <t>Document # 201410100027; Pages # 8</t>
  </si>
  <si>
    <t>Document # 201410100032; Pages # 9</t>
  </si>
  <si>
    <t>Document # 201410100033; Pages # 10</t>
  </si>
  <si>
    <t>Document # 201410100034; Pages # 8</t>
  </si>
  <si>
    <t>Document # 201410100035; Pages # 9</t>
  </si>
  <si>
    <t>Document # 201410100036; Pages # 11</t>
  </si>
  <si>
    <t>Document # 201410100037; Pages # 11</t>
  </si>
  <si>
    <t>Document # 201410100038; Pages # 10</t>
  </si>
  <si>
    <t>Document # 201410100039; Pages # 9</t>
  </si>
  <si>
    <t>Document # 201410100040; Pages # 9</t>
  </si>
  <si>
    <t>Document # 201410100041; Pages # 10</t>
  </si>
  <si>
    <t>Document # 201410100042; Pages # 10</t>
  </si>
  <si>
    <t>Document # 201410100043; Pages # 10</t>
  </si>
  <si>
    <t>Document # 201410100044; Pages # 8</t>
  </si>
  <si>
    <t>Document # 201410100045; Pages # 10</t>
  </si>
  <si>
    <t>Document # 201410100046; Pages # 11</t>
  </si>
  <si>
    <t>Document # 201410100047; Pages # 9</t>
  </si>
  <si>
    <t>Document # 201410100048; Pages # 10</t>
  </si>
  <si>
    <t>Document # 201410100049; Pages # 10</t>
  </si>
  <si>
    <t>Document # 201410100050; Pages # 10</t>
  </si>
  <si>
    <t>Document # 201410100051; Pages # 11</t>
  </si>
  <si>
    <t>Document # 201410100052; Pages # 6</t>
  </si>
  <si>
    <t>Document # 201410100053; Pages # 7</t>
  </si>
  <si>
    <t>Document # 201410100054; Pages # 10</t>
  </si>
  <si>
    <t>Document # 201410100055; Pages # 9</t>
  </si>
  <si>
    <t>Document # 201410100056; Pages # 9</t>
  </si>
  <si>
    <t>Document # 201410100057; Pages # 9</t>
  </si>
  <si>
    <t>Document # 201410100058; Pages # 9</t>
  </si>
  <si>
    <t>Document # 201410100059; Pages # 9</t>
  </si>
  <si>
    <t>Document # 201410100060; Pages # 8</t>
  </si>
  <si>
    <t>Document # 201410100061; Pages # 8</t>
  </si>
  <si>
    <t>Document # 201410100088; Pages # 8</t>
  </si>
  <si>
    <t>Document # 201410100087; Pages # 8</t>
  </si>
  <si>
    <t>Document # 201410100086; Pages # 6</t>
  </si>
  <si>
    <t>Document # 201410100085; Pages # 9</t>
  </si>
  <si>
    <t>Document # 201410100084; Pages # 6</t>
  </si>
  <si>
    <t>Document # 201410100062; Pages # 9</t>
  </si>
  <si>
    <t>Document # 201410100063; Pages # 9</t>
  </si>
  <si>
    <t>Doc # 368638; Page # 1-6</t>
  </si>
  <si>
    <t>Doc # 368640; Page # 1-6</t>
  </si>
  <si>
    <t>Doc # 368639; Page # 1-6</t>
  </si>
  <si>
    <t>Document # 201410100064; Pages # 11</t>
  </si>
  <si>
    <t>Document # 201410100065; Pages # 6</t>
  </si>
  <si>
    <t>Instrument # 166710; Pages # 11;</t>
  </si>
  <si>
    <t>Instrument # 166711; Pages # 9;</t>
  </si>
  <si>
    <t>Doc # 2013001229; Pages # 12</t>
  </si>
  <si>
    <t>Doc # 260003; Book # 849; Page # 258-269;</t>
  </si>
  <si>
    <t>Registry#216350, Book#158, Page#536</t>
  </si>
  <si>
    <t>Doc # 459810; Book # 1731; Page # 222</t>
  </si>
  <si>
    <r>
      <rPr>
        <b/>
        <u/>
        <sz val="10"/>
        <rFont val="Cambria"/>
        <family val="1"/>
        <scheme val="major"/>
      </rPr>
      <t>Winn</t>
    </r>
    <r>
      <rPr>
        <sz val="10"/>
        <rFont val="Cambria"/>
        <family val="1"/>
        <scheme val="major"/>
      </rPr>
      <t xml:space="preserve">- Registry#216395 Book#159 Page#162; </t>
    </r>
    <r>
      <rPr>
        <b/>
        <u/>
        <sz val="10"/>
        <rFont val="Cambria"/>
        <family val="1"/>
        <scheme val="major"/>
      </rPr>
      <t>Natchitoches</t>
    </r>
    <r>
      <rPr>
        <sz val="10"/>
        <rFont val="Cambria"/>
        <family val="1"/>
        <scheme val="major"/>
      </rPr>
      <t>- Registry# 380459 Book# 326 Page#774</t>
    </r>
  </si>
  <si>
    <r>
      <rPr>
        <b/>
        <u/>
        <sz val="10"/>
        <rFont val="Cambria"/>
        <family val="1"/>
        <scheme val="major"/>
      </rPr>
      <t>Winn</t>
    </r>
    <r>
      <rPr>
        <sz val="10"/>
        <rFont val="Cambria"/>
        <family val="1"/>
        <scheme val="major"/>
      </rPr>
      <t xml:space="preserve">- Registry#216394 Book#159 Page#150; </t>
    </r>
    <r>
      <rPr>
        <b/>
        <u/>
        <sz val="10"/>
        <rFont val="Cambria"/>
        <family val="1"/>
        <scheme val="major"/>
      </rPr>
      <t>Natchitoches</t>
    </r>
    <r>
      <rPr>
        <sz val="10"/>
        <rFont val="Cambria"/>
        <family val="1"/>
        <scheme val="major"/>
      </rPr>
      <t>- Registry# 380460 Book# 326 Page# 785</t>
    </r>
  </si>
  <si>
    <r>
      <rPr>
        <b/>
        <u/>
        <sz val="10"/>
        <rFont val="Cambria"/>
        <family val="1"/>
        <scheme val="major"/>
      </rPr>
      <t>Winn</t>
    </r>
    <r>
      <rPr>
        <sz val="10"/>
        <rFont val="Cambria"/>
        <family val="1"/>
        <scheme val="major"/>
      </rPr>
      <t xml:space="preserve">- Registry#216393; Book#159; Page#138; </t>
    </r>
    <r>
      <rPr>
        <b/>
        <u/>
        <sz val="10"/>
        <rFont val="Cambria"/>
        <family val="1"/>
        <scheme val="major"/>
      </rPr>
      <t>Natchitoches</t>
    </r>
    <r>
      <rPr>
        <sz val="10"/>
        <rFont val="Cambria"/>
        <family val="1"/>
        <scheme val="major"/>
      </rPr>
      <t>- Registry# 380461 Book# 326 Page# 797</t>
    </r>
  </si>
  <si>
    <r>
      <rPr>
        <b/>
        <u/>
        <sz val="10"/>
        <rFont val="Cambria"/>
        <family val="1"/>
        <scheme val="major"/>
      </rPr>
      <t>Winn</t>
    </r>
    <r>
      <rPr>
        <sz val="10"/>
        <rFont val="Cambria"/>
        <family val="1"/>
        <scheme val="major"/>
      </rPr>
      <t xml:space="preserve">- Registry#216392; Book#159; Page#127; </t>
    </r>
    <r>
      <rPr>
        <b/>
        <u/>
        <sz val="10"/>
        <rFont val="Cambria"/>
        <family val="1"/>
        <scheme val="major"/>
      </rPr>
      <t>Natchitoches</t>
    </r>
    <r>
      <rPr>
        <sz val="10"/>
        <rFont val="Cambria"/>
        <family val="1"/>
        <scheme val="major"/>
      </rPr>
      <t>- Registry# 380462 Book# 326 Page# 809</t>
    </r>
  </si>
  <si>
    <r>
      <rPr>
        <b/>
        <u/>
        <sz val="10"/>
        <rFont val="Cambria"/>
        <family val="1"/>
        <scheme val="major"/>
      </rPr>
      <t>Winn</t>
    </r>
    <r>
      <rPr>
        <sz val="10"/>
        <rFont val="Cambria"/>
        <family val="1"/>
        <scheme val="major"/>
      </rPr>
      <t xml:space="preserve">- Registry#216391; Book#159; Page#116; </t>
    </r>
    <r>
      <rPr>
        <b/>
        <u/>
        <sz val="10"/>
        <rFont val="Cambria"/>
        <family val="1"/>
        <scheme val="major"/>
      </rPr>
      <t>Natchitoches</t>
    </r>
    <r>
      <rPr>
        <sz val="10"/>
        <rFont val="Cambria"/>
        <family val="1"/>
        <scheme val="major"/>
      </rPr>
      <t>- Registry# 380463 Book# 326 Page# 820</t>
    </r>
  </si>
  <si>
    <r>
      <rPr>
        <b/>
        <u/>
        <sz val="10"/>
        <rFont val="Cambria"/>
        <family val="1"/>
        <scheme val="major"/>
      </rPr>
      <t>Winn</t>
    </r>
    <r>
      <rPr>
        <sz val="10"/>
        <rFont val="Cambria"/>
        <family val="1"/>
        <scheme val="major"/>
      </rPr>
      <t xml:space="preserve">- Registry#216390; Book#159; Page#104; </t>
    </r>
    <r>
      <rPr>
        <b/>
        <u/>
        <sz val="10"/>
        <rFont val="Cambria"/>
        <family val="1"/>
        <scheme val="major"/>
      </rPr>
      <t>Natchitoches</t>
    </r>
    <r>
      <rPr>
        <sz val="10"/>
        <rFont val="Cambria"/>
        <family val="1"/>
        <scheme val="major"/>
      </rPr>
      <t>- Registry# 380464 Book# 326 Page# 831</t>
    </r>
  </si>
  <si>
    <r>
      <rPr>
        <b/>
        <u/>
        <sz val="10"/>
        <rFont val="Cambria"/>
        <family val="1"/>
        <scheme val="major"/>
      </rPr>
      <t>Winn</t>
    </r>
    <r>
      <rPr>
        <sz val="10"/>
        <rFont val="Cambria"/>
        <family val="1"/>
        <scheme val="major"/>
      </rPr>
      <t xml:space="preserve">- Registry#216389; Book#159; Page#95; </t>
    </r>
    <r>
      <rPr>
        <b/>
        <u/>
        <sz val="10"/>
        <rFont val="Cambria"/>
        <family val="1"/>
        <scheme val="major"/>
      </rPr>
      <t>Natchitoches</t>
    </r>
    <r>
      <rPr>
        <sz val="10"/>
        <rFont val="Cambria"/>
        <family val="1"/>
        <scheme val="major"/>
      </rPr>
      <t>- Registry# 380465 Book# 326 Page# 843</t>
    </r>
  </si>
  <si>
    <r>
      <rPr>
        <b/>
        <u/>
        <sz val="10"/>
        <rFont val="Cambria"/>
        <family val="1"/>
        <scheme val="major"/>
      </rPr>
      <t>Winn</t>
    </r>
    <r>
      <rPr>
        <sz val="10"/>
        <rFont val="Cambria"/>
        <family val="1"/>
        <scheme val="major"/>
      </rPr>
      <t xml:space="preserve">- Registry#216388; Book#159; Page#84; </t>
    </r>
    <r>
      <rPr>
        <b/>
        <u/>
        <sz val="10"/>
        <rFont val="Cambria"/>
        <family val="1"/>
        <scheme val="major"/>
      </rPr>
      <t>Natchitoches</t>
    </r>
    <r>
      <rPr>
        <sz val="10"/>
        <rFont val="Cambria"/>
        <family val="1"/>
        <scheme val="major"/>
      </rPr>
      <t>- Registry# 380466 Book# 326 Page# 852</t>
    </r>
  </si>
  <si>
    <t>Receipt # 374134; Book # 00736; Page # 00496</t>
  </si>
  <si>
    <t>Document # 201410100066; Pages # 9</t>
  </si>
  <si>
    <t>Document # 201410100067; Pages # 8</t>
  </si>
  <si>
    <t>Document # 201410100068; Pages # 10</t>
  </si>
  <si>
    <t>Document # 201410100069; Pages # 9</t>
  </si>
  <si>
    <t>Document # 201410100070; Pages # 10</t>
  </si>
  <si>
    <t>Document # 201410100071; Pages # 9</t>
  </si>
  <si>
    <t>Document # 201410100072; Pages # 10</t>
  </si>
  <si>
    <t>Document # 201410100073; Pages # 8</t>
  </si>
  <si>
    <t>Document # 201410100074; Pages # 8</t>
  </si>
  <si>
    <t>Document # 201410100075; Pages # 9</t>
  </si>
  <si>
    <t>Document # 201410100076; Pages # 9</t>
  </si>
  <si>
    <t>Document # 201410100077; Pages # 9</t>
  </si>
  <si>
    <t>Document # 201410100078; Pages # 8</t>
  </si>
  <si>
    <t>Document # 201410100079; Pages # 8</t>
  </si>
  <si>
    <t>Document # 201410100080; Pages # 9</t>
  </si>
  <si>
    <t>Instrument # 130596; Vol # 377; Page # 438-456;</t>
  </si>
  <si>
    <t>Instrument # 130597; Vol # 377; Page # 457-470;</t>
  </si>
  <si>
    <t>Doc # 380467; Book # 326; Page # 863</t>
  </si>
  <si>
    <t>Doc # 238053; Book # 94; Page # 197</t>
  </si>
  <si>
    <t>File # 555642; Book # 1195; Page # 500</t>
  </si>
  <si>
    <t>File # 555643; Book # 1195; Page # 514</t>
  </si>
  <si>
    <t>Doc # 1128433; Vol 1703</t>
  </si>
  <si>
    <t>Book # 620; Page # 165</t>
  </si>
  <si>
    <t>Doc # 238054; Book # 94; Page # 208</t>
  </si>
  <si>
    <r>
      <rPr>
        <b/>
        <u/>
        <sz val="10"/>
        <rFont val="Cambria"/>
        <family val="1"/>
        <scheme val="major"/>
      </rPr>
      <t>Winn</t>
    </r>
    <r>
      <rPr>
        <sz val="10"/>
        <rFont val="Cambria"/>
        <family val="1"/>
        <scheme val="major"/>
      </rPr>
      <t xml:space="preserve"> - Registry #246351 Book#158; Page#545;  </t>
    </r>
    <r>
      <rPr>
        <b/>
        <u/>
        <sz val="10"/>
        <rFont val="Cambria"/>
        <family val="1"/>
        <scheme val="major"/>
      </rPr>
      <t>Natchitoches</t>
    </r>
    <r>
      <rPr>
        <sz val="10"/>
        <rFont val="Cambria"/>
        <family val="1"/>
        <scheme val="major"/>
      </rPr>
      <t xml:space="preserve">-Registry# 382634 Book# 327 Page# 728       </t>
    </r>
  </si>
  <si>
    <r>
      <rPr>
        <b/>
        <u/>
        <sz val="10"/>
        <rFont val="Cambria"/>
        <family val="1"/>
        <scheme val="major"/>
      </rPr>
      <t>Winn</t>
    </r>
    <r>
      <rPr>
        <sz val="10"/>
        <rFont val="Cambria"/>
        <family val="1"/>
        <scheme val="major"/>
      </rPr>
      <t xml:space="preserve"> -Registry#214352 Book#158; Page#553;  </t>
    </r>
    <r>
      <rPr>
        <b/>
        <u/>
        <sz val="10"/>
        <rFont val="Cambria"/>
        <family val="1"/>
        <scheme val="major"/>
      </rPr>
      <t>Natchitoches</t>
    </r>
    <r>
      <rPr>
        <sz val="10"/>
        <rFont val="Cambria"/>
        <family val="1"/>
        <scheme val="major"/>
      </rPr>
      <t>- Registry# 382635 Book# 327 Page# 737</t>
    </r>
  </si>
  <si>
    <t>Instrument # 2015R004474</t>
  </si>
  <si>
    <t>Doc # 059110; Book # 206; Page # 647-658</t>
  </si>
  <si>
    <t>Doc # 059112; Book # 206; Page # 672-680</t>
  </si>
  <si>
    <t>Doc # 20143009; Pages # 1-7</t>
  </si>
  <si>
    <t>Document # 201410100081; Pages # 7</t>
  </si>
  <si>
    <t>Document # 201410100082; Pages # 9</t>
  </si>
  <si>
    <t>Document # 201410100083; Pages # 7</t>
  </si>
  <si>
    <t>Doc # 368641; Page # 1-7</t>
  </si>
  <si>
    <t>Doc # 368642; Page # 1-7</t>
  </si>
  <si>
    <t xml:space="preserve"> Instrument # 1301346; Pages # 15; </t>
  </si>
  <si>
    <t>Doc # 213683; Book # 92; Page # 336-352</t>
  </si>
  <si>
    <t>Doc # 213682; Book # 92; Page # 319-335</t>
  </si>
  <si>
    <t>Doc # 213681; Book # 92; Page # 302-318</t>
  </si>
  <si>
    <t>Book # L21; Page # 629-645</t>
  </si>
  <si>
    <r>
      <rPr>
        <b/>
        <u/>
        <sz val="10"/>
        <rFont val="Cambria"/>
        <family val="1"/>
        <scheme val="major"/>
      </rPr>
      <t>Whitley</t>
    </r>
    <r>
      <rPr>
        <sz val="10"/>
        <rFont val="Cambria"/>
        <family val="1"/>
        <scheme val="major"/>
      </rPr>
      <t xml:space="preserve"> - Book # 92; Page # 375-391    </t>
    </r>
    <r>
      <rPr>
        <b/>
        <u/>
        <sz val="10"/>
        <rFont val="Cambria"/>
        <family val="1"/>
        <scheme val="major"/>
      </rPr>
      <t>McCreary</t>
    </r>
    <r>
      <rPr>
        <sz val="10"/>
        <rFont val="Cambria"/>
        <family val="1"/>
        <scheme val="major"/>
      </rPr>
      <t xml:space="preserve"> - Book # L21; Page # 646-662</t>
    </r>
  </si>
  <si>
    <t>Registry#216353, Book#158, Page#560</t>
  </si>
  <si>
    <t>Registry#216354, Book#158, Page#568</t>
  </si>
  <si>
    <t>Registry#216355, Book#158, Page#576</t>
  </si>
  <si>
    <t>Registry#216356, Book#158, Page#584</t>
  </si>
  <si>
    <t>Registry#216357, Book#158, Page#592</t>
  </si>
  <si>
    <t>Registry#216358, Book#158, Page#600</t>
  </si>
  <si>
    <t>Registry#216359, Book#158, Page#608</t>
  </si>
  <si>
    <t>Registry#216360, Book#158, Page#616</t>
  </si>
  <si>
    <t>Registry#216361, Book#158, Page#624</t>
  </si>
  <si>
    <t>Registry#216362, Book#158, Page#632</t>
  </si>
  <si>
    <t>Registry#216363, Book#158, Page#640</t>
  </si>
  <si>
    <t>Registry#216364, Book#158, Page#648</t>
  </si>
  <si>
    <t>Registry#216365, Book#158, Page#656</t>
  </si>
  <si>
    <t>Registry#216366, Book#158, Page#665</t>
  </si>
  <si>
    <t>Registry#216367, Book#158, Page#671</t>
  </si>
  <si>
    <t>Registry#216368, Book#158, Page#677</t>
  </si>
  <si>
    <r>
      <rPr>
        <b/>
        <u/>
        <sz val="10"/>
        <rFont val="Cambria"/>
        <family val="1"/>
        <scheme val="major"/>
      </rPr>
      <t>Winn</t>
    </r>
    <r>
      <rPr>
        <sz val="10"/>
        <rFont val="Cambria"/>
        <family val="1"/>
        <scheme val="major"/>
      </rPr>
      <t xml:space="preserve">- Registry#216369 Book#158; Page# 684; </t>
    </r>
    <r>
      <rPr>
        <b/>
        <u/>
        <sz val="10"/>
        <rFont val="Cambria"/>
        <family val="1"/>
        <scheme val="major"/>
      </rPr>
      <t>Natchitoches</t>
    </r>
    <r>
      <rPr>
        <sz val="10"/>
        <rFont val="Cambria"/>
        <family val="1"/>
        <scheme val="major"/>
      </rPr>
      <t>- Registry# 382636 Book#327 Page#745</t>
    </r>
  </si>
  <si>
    <t>Registry#216370, Book#158, Page#693</t>
  </si>
  <si>
    <t>Registry#216371, Book#158, Page#701</t>
  </si>
  <si>
    <t>Registry#216372, Book#158, Page#708</t>
  </si>
  <si>
    <t>Registry#216373, Book#158, Page#716</t>
  </si>
  <si>
    <t>Doc # 459816; Book # 1731; Page # 274</t>
  </si>
  <si>
    <t>Instrument # 2015R04464</t>
  </si>
  <si>
    <t>Instrument # 201500916; Book # 0532; Page # 226-234</t>
  </si>
  <si>
    <t>Instrument # 201500917; Book # 0532; Page # 235-243</t>
  </si>
  <si>
    <t>Instrument # 201500918; Book # 0532; Page # 244-252</t>
  </si>
  <si>
    <t>Instrument # 201500919; Book # 0532; Page # 253-261</t>
  </si>
  <si>
    <t>Instrument # 201500925; Book # 0532; Page # 303-311</t>
  </si>
  <si>
    <t>Instrument # 201500923; Book # 0532; Page # 284-292</t>
  </si>
  <si>
    <t>Instrument # 201501471;  Page # 1-9</t>
  </si>
  <si>
    <t>Instrument # 201501472;  Page # 1-9</t>
  </si>
  <si>
    <t>Instrument # 201501473;  Page # 1-9</t>
  </si>
  <si>
    <t>Instrument # 201501474;  Page # 1-9</t>
  </si>
  <si>
    <t>Instrument # 201501475;  Page # 1-9</t>
  </si>
  <si>
    <t>Instrument # 201501476;  Page # 1-9</t>
  </si>
  <si>
    <t>Instrument # 201501477;  Page # 1-9</t>
  </si>
  <si>
    <t>Instrument # 201501478;  Page # 1-10</t>
  </si>
  <si>
    <t>Registry#216374, Book#158, Page#725</t>
  </si>
  <si>
    <t>Registry#216375, Book#158, Page#731</t>
  </si>
  <si>
    <t>Registry#216376, Book#158, Page#739</t>
  </si>
  <si>
    <t>Registry#216377, Book#158, Page#747</t>
  </si>
  <si>
    <t>Registry#216378, Book#158, Page#755</t>
  </si>
  <si>
    <t>Registry#216379, Book#159, Page#1</t>
  </si>
  <si>
    <t>Registry#216380, Book#159, Page#8</t>
  </si>
  <si>
    <t>Registry#216381, Book#159, Page#16</t>
  </si>
  <si>
    <t>Registry#216382, Book#159, Page#24</t>
  </si>
  <si>
    <t>Registry#216383, Book#159, Page#32</t>
  </si>
  <si>
    <t>Registry#216384, Book#159, Page#39</t>
  </si>
  <si>
    <t>Book # 2015; Page # 25-33</t>
  </si>
  <si>
    <t>Book # 128; Page # 317-325</t>
  </si>
  <si>
    <t>Book # 128; Page # 326-334</t>
  </si>
  <si>
    <t>Book # 128; Page # 335-344</t>
  </si>
  <si>
    <t>Book # 128; Page # 345-353</t>
  </si>
  <si>
    <t>Book # 128; Page # 354-364</t>
  </si>
  <si>
    <t>Book # 128; Page # 365-373</t>
  </si>
  <si>
    <t>Book # 128; Page # 374-383</t>
  </si>
  <si>
    <t>Book # 128; Page # 384-394</t>
  </si>
  <si>
    <t>Book # 128; Page # 395-403</t>
  </si>
  <si>
    <t>Doc # 1501325; Book # 256; Page # 553-561</t>
  </si>
  <si>
    <t>Doc # 1501326; Book # 256; Page # 562-571</t>
  </si>
  <si>
    <t>Doc # 059044; Book # 205; Page # 606-614</t>
  </si>
  <si>
    <t>Book # 224; Page # 1-9</t>
  </si>
  <si>
    <t>Book # 224; Page # 10-18</t>
  </si>
  <si>
    <t>Book # 224; Page # 19-27</t>
  </si>
  <si>
    <t>Doc # 1501327; Book # 256; Page # 572-581</t>
  </si>
  <si>
    <t>Doc # 1501328; Book # 256; Page # 582-590</t>
  </si>
  <si>
    <t>Doc # 1501329; Book # 256; Page # 591-599</t>
  </si>
  <si>
    <t>Doc # 1501330; Book # 256; Page # 600-608</t>
  </si>
  <si>
    <t>Doc # 1501331; Book # 256; Page # 609-617</t>
  </si>
  <si>
    <t>Doc # 1501332; Book # 256; Page # 618-626</t>
  </si>
  <si>
    <t>Doc # 1501333; Book # 256; Page # 627-635</t>
  </si>
  <si>
    <t>Doc # 1501334; Book # 256; Page # 636-644</t>
  </si>
  <si>
    <t>Doc # 1501335; Book # 256; Page # 645-653</t>
  </si>
  <si>
    <t>Doc # 1501337; Book # 256; Page # 663-671</t>
  </si>
  <si>
    <t>Doc # 059045; Book # 205; Page # 615-624</t>
  </si>
  <si>
    <t>Doc # 059049; Book # 205; Page # 656-664</t>
  </si>
  <si>
    <t>Doc # 059051; Book # 205; Page # 676-684</t>
  </si>
  <si>
    <t>Doc # 059052; Book # 205; Page # 685-693</t>
  </si>
  <si>
    <t>Doc # 059053; Book # 205; Page # 694-702</t>
  </si>
  <si>
    <t>Doc # 059054; Book # 205; Page # 703-711</t>
  </si>
  <si>
    <t>Doc # 059057; Book # 206; Page # 12-20</t>
  </si>
  <si>
    <t>Doc # 059046; Book # 205; Page # 625-633</t>
  </si>
  <si>
    <t>Doc # 059063; Book # 206; Page # 74-83</t>
  </si>
  <si>
    <t>Doc # 059059; Book # 206; Page # 32-40</t>
  </si>
  <si>
    <t>Book # 309; Page # 136-144</t>
  </si>
  <si>
    <t>Book # 309; Page # 459-470</t>
  </si>
  <si>
    <t>Book # 309; Page # 145-153</t>
  </si>
  <si>
    <t>Book # 309; Page # 154-162</t>
  </si>
  <si>
    <t>Doc # 1501336; Book # 256; Page # 654-662</t>
  </si>
  <si>
    <t>Receipt # 374134; Book # 00736; Page # 00501</t>
  </si>
  <si>
    <t>Doc # 75134; Vol # 1836; Page # 745;</t>
  </si>
  <si>
    <t>Doc # 151466; Vol # 407; Page # 202-216;</t>
  </si>
  <si>
    <t>Doc # 059086; Book # 206; Page # 348-360</t>
  </si>
  <si>
    <t>Doc # 059087; Book # 206; Page # 361-373</t>
  </si>
  <si>
    <t>Doc # 059069; Book # 206; Page # 734-747</t>
  </si>
  <si>
    <t>Doc # 059070; Book # 206; Page # 150-162</t>
  </si>
  <si>
    <t>Doc # 059091; Book # 206; Page # 409-422</t>
  </si>
  <si>
    <t>Doc # 059094; Book # 206; Page # 449-459</t>
  </si>
  <si>
    <t>Doc # 059092; Book # 206; Page # 423-435</t>
  </si>
  <si>
    <t>Doc # 059093; Book # 206; Page # 436-448</t>
  </si>
  <si>
    <t>Doc # 059097; Book # 206; Page # 484-496</t>
  </si>
  <si>
    <t>Doc # 059098; Book # 206; Page # 497-509</t>
  </si>
  <si>
    <t>Doc # 059099; Book # 206; Page # 510-522</t>
  </si>
  <si>
    <t>Doc # 059100; Book # 206; Page # 523-535</t>
  </si>
  <si>
    <t>Doc # 059101; Book # 206; Page # 536-547</t>
  </si>
  <si>
    <t>Doc # 059102; Book # 206; Page # 548-560</t>
  </si>
  <si>
    <t>Doc # 059103; Book # 260; Page # 561-574</t>
  </si>
  <si>
    <t>Doc # 059106; Book # 260; Page # 597-609</t>
  </si>
  <si>
    <t>Doc # 059105; Book # 206; Page # 585-596</t>
  </si>
  <si>
    <t>Doc # 059111; Book # 206; Page # 659-671</t>
  </si>
  <si>
    <t>Doc # 059108; Book # 206; Page # 620-633</t>
  </si>
  <si>
    <t>Doc # 059109; Book # 206; Page # 634-646</t>
  </si>
  <si>
    <t>Doc # 059113; Book # 206; Page # 681-694</t>
  </si>
  <si>
    <t>Doc # 059114; Book # 206; Page # 695-707</t>
  </si>
  <si>
    <t>Doc # 059115; Book # 206; Page # 708-720</t>
  </si>
  <si>
    <t>Doc # 059116; Book # 206; Page # 721-733</t>
  </si>
  <si>
    <t>Instrument#201410639; Book#1577; Page#1012</t>
  </si>
  <si>
    <t>Doc # 1563017; Book # 2021; Page # 825</t>
  </si>
  <si>
    <t>Doc # 1563018; Book # 2021; Page # 832</t>
  </si>
  <si>
    <t>Doc # 1563019; Book # 2021; Page # 838</t>
  </si>
  <si>
    <t>Book # 224; Page # 28-35</t>
  </si>
  <si>
    <t>Book # 224; Page # 36-43</t>
  </si>
  <si>
    <t>Book # 224; Page # 44-51</t>
  </si>
  <si>
    <t>Book # 224; Page # 52-59</t>
  </si>
  <si>
    <t>Book # 224; Page # 60-67</t>
  </si>
  <si>
    <t>Book # 224; Page # 68-75</t>
  </si>
  <si>
    <t>Book # 224; Page # 76-83</t>
  </si>
  <si>
    <t>Book # 224; Page # 84-91</t>
  </si>
  <si>
    <t>Book # 224; Page # 92-99</t>
  </si>
  <si>
    <t>Book # 224; Page # 100-108</t>
  </si>
  <si>
    <t>Book # 224; Page # 109-116</t>
  </si>
  <si>
    <t>Book # 224; Page # 117-124</t>
  </si>
  <si>
    <t>Book # 224; Page # 125-132</t>
  </si>
  <si>
    <t>Book # 224; Page # 133-140</t>
  </si>
  <si>
    <t>Book # 224; Page # 140A-147</t>
  </si>
  <si>
    <t>Book # 224; Page # 148-155</t>
  </si>
  <si>
    <t>Book # 224; Page # 156-163</t>
  </si>
  <si>
    <t>Book # 224; Page # 164-171</t>
  </si>
  <si>
    <t>Book # 224; Page # 172-179</t>
  </si>
  <si>
    <t>Book # 224; Page # 180-187</t>
  </si>
  <si>
    <t>Book # 224; Page # 188-195</t>
  </si>
  <si>
    <t>Book # 224; Page # 196-203</t>
  </si>
  <si>
    <t>Instrument # 201500924; Book # 0532; Page # 293-302</t>
  </si>
  <si>
    <t>Book # 257; Page # 279-288</t>
  </si>
  <si>
    <t>Doc # 059104; Book # 206; Page # 575-584</t>
  </si>
  <si>
    <t>Book # 257; Page # 335-344</t>
  </si>
  <si>
    <t>Book # 257; Page # 269-278</t>
  </si>
  <si>
    <t>Book # 257; Page # 249-258</t>
  </si>
  <si>
    <t>Book # 257; Page # 259-268</t>
  </si>
  <si>
    <t>Instrument # 201500922; Book # 0532; Page # 277-282</t>
  </si>
  <si>
    <t>Book # 2015; Page # 34-46</t>
  </si>
  <si>
    <t>Book # 2015; Page # 47-64</t>
  </si>
  <si>
    <t>Book # 2015; Page # 65-82</t>
  </si>
  <si>
    <t>Book # 2015; Page # 83-100</t>
  </si>
  <si>
    <t>Book # 2015; Page # 101-118</t>
  </si>
  <si>
    <t>Book # 2015; Page # 119-135</t>
  </si>
  <si>
    <t>Book # 2015; Page # 7-24</t>
  </si>
  <si>
    <t>Doc # 059081; Book # 204; Page # 295-304</t>
  </si>
  <si>
    <t>Instrument # 201501486;  Page # 1-11</t>
  </si>
  <si>
    <t>Instrument # 201501485;  Page # 1-11</t>
  </si>
  <si>
    <t>Instrument # 201501484;  Page # 1-11</t>
  </si>
  <si>
    <t>Instrument # 201501483;  Page # 1-11</t>
  </si>
  <si>
    <t>Doc # 059107; Book # 206; Page # 610-619</t>
  </si>
  <si>
    <t>Instrument # 201501481;  Page # 1-11</t>
  </si>
  <si>
    <t>Instrument # 201501482;  Page # 1-9</t>
  </si>
  <si>
    <t>Instrument # 201501480;  Page # 1-9</t>
  </si>
  <si>
    <t>Instrument # 201500927; Book # 0532; Page # 328-341</t>
  </si>
  <si>
    <t>Instrument # 201501479;  Page # 1-11</t>
  </si>
  <si>
    <t>Book # 128; Page # 413-421</t>
  </si>
  <si>
    <t>Book # 128; Page # 404-412</t>
  </si>
  <si>
    <t>Doc # 380474; Book # 327; Page # 34</t>
  </si>
  <si>
    <t>Doc # 380485; Book # 327; Page # 168</t>
  </si>
  <si>
    <t>Doc # 380484; Book # 327; Page # 159</t>
  </si>
  <si>
    <t>Doc # 380486; Book # 327; Page # 178</t>
  </si>
  <si>
    <t>Doc # 238051; Book # 94; Page # 179</t>
  </si>
  <si>
    <t>Doc # 380483; Book # 327; Page # 147</t>
  </si>
  <si>
    <t>Doc # 380468; Book # 326; Page # 873</t>
  </si>
  <si>
    <t>Doc # 380469; Book # 326; Page # 883</t>
  </si>
  <si>
    <t>Doc # 380470; Book # 326; Page # 893</t>
  </si>
  <si>
    <t>Doc # 380471; Book # 327; Page # 1</t>
  </si>
  <si>
    <t>Doc # 380472; Book # 327; Page # 12</t>
  </si>
  <si>
    <t>Doc # 380473; Book # 327; Page # 23</t>
  </si>
  <si>
    <t>Doc # 380494; Book # 327; Page # 262</t>
  </si>
  <si>
    <t>Doc # 380493; Book # 327; Page # 252</t>
  </si>
  <si>
    <t>Doc # 380492; Book # 327; Page # 242</t>
  </si>
  <si>
    <t>Doc # 380490; Book # 327; Page # 222</t>
  </si>
  <si>
    <t>Doc # 380495; Book #327; Page # 272</t>
  </si>
  <si>
    <t>Doc # 380487; Book # 327; Page # 189</t>
  </si>
  <si>
    <t>Doc # 380488; Book # 327; Page # 200</t>
  </si>
  <si>
    <t>Doc # 380489; Book # 327; Page # 211</t>
  </si>
  <si>
    <t>Doc # 380491; Book # 327; Page # 232</t>
  </si>
  <si>
    <t>Book#537; Page#4355; Doc Id#2014-04355</t>
  </si>
  <si>
    <t>Book#537; Page#4356; Doc Id#2014-04356</t>
  </si>
  <si>
    <t>Doc # I-2015-006439;Book # 2110; Page # 830-835</t>
  </si>
  <si>
    <t>Book # 128; Page # 453-462</t>
  </si>
  <si>
    <t>Book # 128; Page # 432-442</t>
  </si>
  <si>
    <t>Instrument # 21500384; Page # 1-12</t>
  </si>
  <si>
    <t>Instrument # 21500383; Page # 1-13</t>
  </si>
  <si>
    <t>Instrument # 21500382; Page # 1-14</t>
  </si>
  <si>
    <t>Instrument # 21500381; Page # 1-12</t>
  </si>
  <si>
    <t>Doc # 380505; Book # 327; Page # 391</t>
  </si>
  <si>
    <t>Doc # 380476; Book # 327; Page # 55</t>
  </si>
  <si>
    <t>Doc # 380477; Book # 327; Page # 69</t>
  </si>
  <si>
    <t>Doc # 380478; Book # 327; Page # 82</t>
  </si>
  <si>
    <t>Instrument # 21500380; Page # 1-13</t>
  </si>
  <si>
    <t>Doc # 382435; Book # 327; Page # 514</t>
  </si>
  <si>
    <t>Book # 128; Page # 443-452</t>
  </si>
  <si>
    <t>Doc # 380496; Book # 327; Page #280</t>
  </si>
  <si>
    <t>Book # 128; Page # 422-431</t>
  </si>
  <si>
    <t>Instrument # 21500379; Page 1-10</t>
  </si>
  <si>
    <t>Doc # 380499; Book # 327; Page # 316</t>
  </si>
  <si>
    <t>Doc # 380498; Book # 327; Page # 303</t>
  </si>
  <si>
    <t>Doc # 380500; Book # 327; Page # 329</t>
  </si>
  <si>
    <t>Doc # 380503; Book # 327; Page # 366</t>
  </si>
  <si>
    <t>Doc # 380479; Book # 327; Page # 95</t>
  </si>
  <si>
    <t>Doc # 380475; Book # 327; Page # 45</t>
  </si>
  <si>
    <t>Doc # 380507; Book # 327; Page # 415</t>
  </si>
  <si>
    <t>Doc # 380506; Book # 327; Page # 404</t>
  </si>
  <si>
    <t>Doc # 380481; Book # 327; Page # 124</t>
  </si>
  <si>
    <t>Doc # 380480; Book # 327; Page # 110</t>
  </si>
  <si>
    <t>Doc # 380502; Book # 327; Page # 355</t>
  </si>
  <si>
    <t>Doc # 380501; Book # 327; Page # 342</t>
  </si>
  <si>
    <t>Doc # 380504; Book # 327; Page # 379</t>
  </si>
  <si>
    <t>Doc # 380497; Book # 327; Page # 291</t>
  </si>
  <si>
    <t>Registry#216386, Book#159, Page#60</t>
  </si>
  <si>
    <t>Registry#216387, Book#159, Page#71</t>
  </si>
  <si>
    <t>Registry#216385, Book#159, Page#47</t>
  </si>
  <si>
    <t>Book # 128; Page # 463-477</t>
  </si>
  <si>
    <t>Book # 128; Page # 478-491</t>
  </si>
  <si>
    <t>Instrument # 201401016, Pages # 10</t>
  </si>
  <si>
    <t>Instrument # 201401017; Pages # 9</t>
  </si>
  <si>
    <t>Instrument # 201401018; Pages # 9</t>
  </si>
  <si>
    <t>Instrument # 201401019; Pages # 9</t>
  </si>
  <si>
    <t>Instrument # 201401020; Pages # 9</t>
  </si>
  <si>
    <t>Instrument # 201401021; Pages # 12</t>
  </si>
  <si>
    <t>Doc # I-2015-007341; Book # 1689; Page # 808-817</t>
  </si>
  <si>
    <t>Doc # I-2015-007342; Book # 1689; Page # 818-827</t>
  </si>
  <si>
    <t>Instrument # 2015-3560; Vol # 1818; Pages # 245-257;</t>
  </si>
  <si>
    <t>Instrument # 2015-3561; Vol # 1818; Pages # 258-268;</t>
  </si>
  <si>
    <t>Instrument # 2015-3562; Vol # 1818; Pages # 269-281;</t>
  </si>
  <si>
    <t>Doc # 151467; Vol # 407; Page # 217-227;</t>
  </si>
  <si>
    <r>
      <rPr>
        <b/>
        <u/>
        <sz val="10"/>
        <rFont val="Cambria"/>
        <family val="1"/>
        <scheme val="major"/>
      </rPr>
      <t>Sabine</t>
    </r>
    <r>
      <rPr>
        <sz val="10"/>
        <rFont val="Cambria"/>
        <family val="1"/>
        <scheme val="major"/>
      </rPr>
      <t xml:space="preserve"> - Doc # 151889; Vol # 409; Page # 475-488; </t>
    </r>
    <r>
      <rPr>
        <b/>
        <u/>
        <sz val="10"/>
        <rFont val="Cambria"/>
        <family val="1"/>
        <scheme val="major"/>
      </rPr>
      <t>Jasper</t>
    </r>
    <r>
      <rPr>
        <sz val="10"/>
        <rFont val="Cambria"/>
        <family val="1"/>
        <scheme val="major"/>
      </rPr>
      <t xml:space="preserve"> - Instrument # 264976; Book # 1041; Page # 782;</t>
    </r>
  </si>
  <si>
    <t>Book # 128; Page # 492-505</t>
  </si>
  <si>
    <t>Book # 128; Page # 506-519</t>
  </si>
  <si>
    <t>Book # 128; Page # 520-534</t>
  </si>
  <si>
    <t>Instrument # 201500926; Book # 0532; Page # 312-327</t>
  </si>
  <si>
    <t>Instrument # 201500920; Book # 0532; Page # 262-271</t>
  </si>
  <si>
    <t>Book # 128; Page # 535-550</t>
  </si>
  <si>
    <t>Book # 128; Page # 551-566</t>
  </si>
  <si>
    <t>Doc # 059072; Book # 206; Page # 174-188</t>
  </si>
  <si>
    <t>Doc # 059075; Book # 206; Page # 214-227</t>
  </si>
  <si>
    <t>Doc # 059076; Book # 206; Page # 228-242</t>
  </si>
  <si>
    <t>Doc # 059077; Book # 206; Page # 243-257</t>
  </si>
  <si>
    <t>Doc # 059079; Book # 206; Page # 270-284</t>
  </si>
  <si>
    <t>Doc # 157558; Book # 450; Page # 323</t>
  </si>
  <si>
    <t>Doc # 157560; Book # 450; Page # 338</t>
  </si>
  <si>
    <t>Doc # 157561; Book # 450; Page # 351</t>
  </si>
  <si>
    <t>Doc # 157562; Book # 450; Page # 362</t>
  </si>
  <si>
    <t>Doc # 157563; Book # 450; Page # 375</t>
  </si>
  <si>
    <t>Doc # 157564; Book # 450; Page # 388</t>
  </si>
  <si>
    <t>Doc # 157565; Book # 450; Page # 401</t>
  </si>
  <si>
    <t>Doc # 157566; Book # 450; Page # 412</t>
  </si>
  <si>
    <t>Doc # 157567; Book # 450; Page # 425</t>
  </si>
  <si>
    <t>Doc # 157568; Book # 450; Page # 438</t>
  </si>
  <si>
    <t>Doc # 157569; Book # 450; Page # 451</t>
  </si>
  <si>
    <t>Doc # 157570; Book # 450; Page # 464</t>
  </si>
  <si>
    <t>Doc # 157571; Book # 450; Page # 477</t>
  </si>
  <si>
    <t>Doc # 157572; Book # 450; Page # 490</t>
  </si>
  <si>
    <t>Doc # 157573; Book # 450; Page # 503</t>
  </si>
  <si>
    <t>Doc # 157574; Book # 450; Page # 516</t>
  </si>
  <si>
    <t>Doc # 157575; Book # 450; Page # 529</t>
  </si>
  <si>
    <t>Doc # 157576; Book # 450; Page # 543</t>
  </si>
  <si>
    <t>Doc # 157577; Book # 450; Page # 554</t>
  </si>
  <si>
    <t>Doc # 157578; Book # 450; Page # 567</t>
  </si>
  <si>
    <t>Doc # 157579; Book # 450; Page # 580</t>
  </si>
  <si>
    <t>Doc # 382436; Book # 327; Page # 526</t>
  </si>
  <si>
    <t>Doc # 382437; Book # 327; Page # 536</t>
  </si>
  <si>
    <t>Doc # 382438; Book # 327; Page # 548</t>
  </si>
  <si>
    <t>Doc # 382439; Book # 327; Page # 561</t>
  </si>
  <si>
    <t>Doc # 382440; Book # 327; Page # 572</t>
  </si>
  <si>
    <t>Doc # 382441; Book # 327; Page # 585</t>
  </si>
  <si>
    <t>Doc # 382442; Book # 327; Page # 597</t>
  </si>
  <si>
    <t>Doc # 382443; Book # 327; Page # 610</t>
  </si>
  <si>
    <t>Doc # 382444; Book # 327; Page # 622</t>
  </si>
  <si>
    <t>Doc # 382445; Book # 327; Page # 634</t>
  </si>
  <si>
    <t>Doc # 382446; Book # 327; Page # 647</t>
  </si>
  <si>
    <t>Doc # 382447; Book # 327; Page # 659</t>
  </si>
  <si>
    <t>Doc # 382448, Book # 327; Page # 672</t>
  </si>
  <si>
    <t>Doc # 382449; Book # 327; Page # 684</t>
  </si>
  <si>
    <t>Doc # 382450; Book # 327; Page # 696</t>
  </si>
  <si>
    <t>Doc # 382451; Book # 327; Page # 706</t>
  </si>
  <si>
    <t>Doc # 382452; Book # 327; Page # 717</t>
  </si>
  <si>
    <t>Instrument #671322 Book #1517 Page #159</t>
  </si>
  <si>
    <t>Instrument #671323 Book #1517 Page #174</t>
  </si>
  <si>
    <t>Instrument #671324 Book #1517 Page #189</t>
  </si>
  <si>
    <t>Instrument #671325 Book #1517 Page #204</t>
  </si>
  <si>
    <t>Instrument #671326 Book #1517 Page #219</t>
  </si>
  <si>
    <t>Instrument #671327 Book #1517 Page #234</t>
  </si>
  <si>
    <t>Instrument #671328 Book #1517 Page #249</t>
  </si>
  <si>
    <t>Instrument #671329 Book #1517 Page #264</t>
  </si>
  <si>
    <t>Instrument #671330 Book #1517 Page #279</t>
  </si>
  <si>
    <t>Instrument #671331 Book #1517 Page #294</t>
  </si>
  <si>
    <t>Instrument #671332 Book #1517 Page #309</t>
  </si>
  <si>
    <t>Instrument #671333 Book #1517 Page #324</t>
  </si>
  <si>
    <t>Instrument #671334 Book #1517 Page #339</t>
  </si>
  <si>
    <t>Receipt # 374134; Book # 00736; Page # 00509</t>
  </si>
  <si>
    <t>Doc # 368643; Page # 1-7</t>
  </si>
  <si>
    <t>Instrument#201410640; Book#1577; Page#1013</t>
  </si>
  <si>
    <t xml:space="preserve">Instrument # 20153947; Page # 19458-19472; </t>
  </si>
  <si>
    <t xml:space="preserve">Instrument # 20153948; Page # 19473-19484; </t>
  </si>
  <si>
    <t xml:space="preserve">Instrument # 20153949; Page # 19485-19503; </t>
  </si>
  <si>
    <t xml:space="preserve">Instrument # 20153950; Page # 19504-19521; </t>
  </si>
  <si>
    <t>Doc # 13969; Vol # 1181; Page # 419-429;</t>
  </si>
  <si>
    <t>Doc # 13970; Vol # 1181; Page # 430-439;</t>
  </si>
  <si>
    <t xml:space="preserve">Instrument # 20153951; Page # 19522-19532; </t>
  </si>
  <si>
    <t xml:space="preserve">Instrument # 20153953; Page # 19545-19555; </t>
  </si>
  <si>
    <r>
      <rPr>
        <b/>
        <u/>
        <sz val="10"/>
        <rFont val="Cambria"/>
        <family val="1"/>
        <scheme val="major"/>
      </rPr>
      <t>Natchitoches</t>
    </r>
    <r>
      <rPr>
        <sz val="10"/>
        <rFont val="Cambria"/>
        <family val="1"/>
        <scheme val="major"/>
      </rPr>
      <t xml:space="preserve">- Doc # 380482; Book # 327; Page # 137  </t>
    </r>
    <r>
      <rPr>
        <b/>
        <u/>
        <sz val="10"/>
        <rFont val="Cambria"/>
        <family val="1"/>
        <scheme val="major"/>
      </rPr>
      <t>Red River</t>
    </r>
    <r>
      <rPr>
        <sz val="10"/>
        <rFont val="Cambria"/>
        <family val="1"/>
        <scheme val="major"/>
      </rPr>
      <t>- Doc # 237571; Book # 379; Page # 369</t>
    </r>
  </si>
  <si>
    <t>Instrument # 201500005708; Book # 1152; Page # 1163-1168</t>
  </si>
  <si>
    <t>Book # 130; Page # 118-135</t>
  </si>
  <si>
    <t>Book # 130; Page # 136-156</t>
  </si>
  <si>
    <t>Book # 130; Page # 157-177</t>
  </si>
  <si>
    <t>Book # 130; Page # 178-199</t>
  </si>
  <si>
    <t>Book # 130; Page # 200-219</t>
  </si>
  <si>
    <t>Book # 130; Page # 220-241</t>
  </si>
  <si>
    <t>Book # 130; Page # 242-260</t>
  </si>
  <si>
    <t>Book # 130; Page # 261-278</t>
  </si>
  <si>
    <t>Book # 130; Page # 279-297</t>
  </si>
  <si>
    <t>Doc # 060059; Book # 208; Page # 242-261</t>
  </si>
  <si>
    <t>Doc # 060060; Book # 208; Page # 262-279</t>
  </si>
  <si>
    <t>Doc # 060061; Book # 208; Page # 280-297</t>
  </si>
  <si>
    <t>Doc # 1504416; Book # 265; Page # 199-216</t>
  </si>
  <si>
    <t>Book # 229; Page # 226-243</t>
  </si>
  <si>
    <t>Book # 229; Page # 244-261</t>
  </si>
  <si>
    <t>Book # 229; Page # 262-279</t>
  </si>
  <si>
    <t>Book # 229; Page # 280-294</t>
  </si>
  <si>
    <t>Doc # 060062; Book # 208; Page # 298-315</t>
  </si>
  <si>
    <t>Doc # 060063; Book # 208; Page # 316-334</t>
  </si>
  <si>
    <t>Doc # 1504415; Book # 265; Page # 187-198</t>
  </si>
  <si>
    <t>Instrument # 11502087; Page # 1-12</t>
  </si>
  <si>
    <t xml:space="preserve">Instrument # 2015-00006119; Book # 242; Pages- 1-12 </t>
  </si>
  <si>
    <t xml:space="preserve">Instrument # 2015-00006118; Book # 241; Page # 998 </t>
  </si>
  <si>
    <t>Instrument # 2015R004475</t>
  </si>
  <si>
    <t>Instrument # 2015R004476</t>
  </si>
  <si>
    <t>Instrument # 2015R004477</t>
  </si>
  <si>
    <t>Instrument # 201500002438; Book # 517; Page # 1-10</t>
  </si>
  <si>
    <t>Instrument # 201500002440; Book # 517; Page # 25-37</t>
  </si>
  <si>
    <t>Instrument # 201500002441; Book # 517; Page # 38-50</t>
  </si>
  <si>
    <t>Instrument # 201500002442; Book # 517; Page # 51-63</t>
  </si>
  <si>
    <t>Instrument # 201500002443; Book # 517; Page # 64-76</t>
  </si>
  <si>
    <t>Instrument # 453244; Book # 755; Page # 465</t>
  </si>
  <si>
    <t>File # 555644; Book # 1195; Page # 526</t>
  </si>
  <si>
    <t>Doc # 2567368; Pages # 11</t>
  </si>
  <si>
    <t>File # 555645; Book # 1195; Page # 537</t>
  </si>
  <si>
    <t>File # 555646; Book # 1195; Page # 550</t>
  </si>
  <si>
    <t>File # 555647; Book # 1195; Page # 561</t>
  </si>
  <si>
    <t>File # 555648; Book # 1195; Page # 572</t>
  </si>
  <si>
    <t>File # 555649; Book # 1195; Page # 583</t>
  </si>
  <si>
    <t>File # 555650; Book # 1195; Page # 594</t>
  </si>
  <si>
    <t>File # 555651; Book # 1195; Page # 605</t>
  </si>
  <si>
    <t>Doc# 1128434; Vol 1703</t>
  </si>
  <si>
    <t>Instrument # 201501487;  Page # 1-10</t>
  </si>
  <si>
    <t>Doc # I-J-002090; Book # 0907; Page # 156-171</t>
  </si>
  <si>
    <t>Instrument # 2015-02105; Book # 491; Page # 177;</t>
  </si>
  <si>
    <t>Doc # 151468; Vol # 407; Page # 228-241;</t>
  </si>
  <si>
    <t>Doc # 151469; Vol # 407; Page # 242-252;</t>
  </si>
  <si>
    <t>Doc # 151470; Vol # 407; Page # 253-263;</t>
  </si>
  <si>
    <t>Book#539; Page#0381; Doc Id#2016-00381</t>
  </si>
  <si>
    <t>Book#539; Page#0382; Doc Id#2016-00382</t>
  </si>
  <si>
    <t>Book#539; Page#0383; Doc Id#2016-00383</t>
  </si>
  <si>
    <t>Book#539; Page#0384; Doc Id#2016-00384</t>
  </si>
  <si>
    <t>Doc # 2567370; Pages # 10</t>
  </si>
  <si>
    <t>Doc # 2567371; Pages # 10</t>
  </si>
  <si>
    <t>Book # 620; Page # 164</t>
  </si>
  <si>
    <t>Instrument#42509; Book#1992; Page#925</t>
  </si>
  <si>
    <t>Instrument#42510; Book#1992; Page#935</t>
  </si>
  <si>
    <t>Doc # I-2015-004518; Book # 2300; Pages # 732-741;</t>
  </si>
  <si>
    <t>Doc # 2578447; Pages # 9</t>
  </si>
  <si>
    <t>File # 323693; Book # 328; Page # 37</t>
  </si>
  <si>
    <t>Book # 460; Page # 1180</t>
  </si>
  <si>
    <t>Book # 460; Page # 1191</t>
  </si>
  <si>
    <t>Book # 460; Page # 1202</t>
  </si>
  <si>
    <t>Book # 381; Page # 574</t>
  </si>
  <si>
    <t>Book # 460; Page # 1213</t>
  </si>
  <si>
    <t>Book # 460; Page # 1257</t>
  </si>
  <si>
    <t>Book # 460; Page # 1269</t>
  </si>
  <si>
    <t>Book # 460; Page # 1281</t>
  </si>
  <si>
    <t>Book # 460; Page # 1224</t>
  </si>
  <si>
    <t>Book # 460; Page # 1235</t>
  </si>
  <si>
    <t>Book # 460; Page # 1246</t>
  </si>
  <si>
    <t>Book # 460; Page # 1293</t>
  </si>
  <si>
    <t>Book # 460; Page # 1305</t>
  </si>
  <si>
    <t>Book # 460; Page # 1317</t>
  </si>
  <si>
    <t>Book # 460; Page # 1329</t>
  </si>
  <si>
    <t>Book # 460; Page # 1341</t>
  </si>
  <si>
    <t>Book # 460; Page # 1353</t>
  </si>
  <si>
    <t>Book # 460; Page # 1365</t>
  </si>
  <si>
    <t>Book # 460; Page # 1521</t>
  </si>
  <si>
    <t>Book # 460; Page # 1533</t>
  </si>
  <si>
    <t>Book # 460; Page # 1377</t>
  </si>
  <si>
    <t>Book # 460; Page # 1389</t>
  </si>
  <si>
    <t>Book # 460; Page # 1401</t>
  </si>
  <si>
    <t>Book # 460; Page # 1413</t>
  </si>
  <si>
    <t>Book # 460; Page # 1425</t>
  </si>
  <si>
    <t>Book # 460; Page # 1437</t>
  </si>
  <si>
    <t>Book # 460; Page # 1449</t>
  </si>
  <si>
    <t>Book # 460; Page # 1547</t>
  </si>
  <si>
    <t>Book # 460; Page # 1461</t>
  </si>
  <si>
    <t>Book # 460; Page # 1473</t>
  </si>
  <si>
    <t>Book # 460; Page # 1485</t>
  </si>
  <si>
    <t>Book # 460; Page # 1497</t>
  </si>
  <si>
    <t>Book # 460; Page # 1509</t>
  </si>
  <si>
    <t>Registry # 406829; Book # 340; Page # 697</t>
  </si>
  <si>
    <t>Instrument # 1078893; Book # 1663; Pages # 502-518</t>
  </si>
  <si>
    <t>MSES059366</t>
  </si>
  <si>
    <t>MSES059367</t>
  </si>
  <si>
    <t>MSES059368</t>
  </si>
  <si>
    <t>MSES059369</t>
  </si>
  <si>
    <t>MSES059370</t>
  </si>
  <si>
    <t>MSES059371</t>
  </si>
  <si>
    <t>MSES059372</t>
  </si>
  <si>
    <t>MSES059373</t>
  </si>
  <si>
    <t>MSES059374</t>
  </si>
  <si>
    <t>MSES059375</t>
  </si>
  <si>
    <t>MSES059376</t>
  </si>
  <si>
    <t>MSES059377</t>
  </si>
  <si>
    <t>MSES059378</t>
  </si>
  <si>
    <t>MSES059379</t>
  </si>
  <si>
    <t>MSES059380</t>
  </si>
  <si>
    <t>MSES059381</t>
  </si>
  <si>
    <t>MSES059382</t>
  </si>
  <si>
    <t xml:space="preserve">MERIDIAN ST. STEPHENS </t>
  </si>
  <si>
    <t xml:space="preserve"> T20S R 50W SEC 6 SW1/4SE1/4, SW1/4NW14; T20S R60W SEC 1 SE1/4NE1/4;</t>
  </si>
  <si>
    <t>ES-001-12/2018</t>
  </si>
  <si>
    <t>MERIDIAN ST. STEPHENS T10S R50W</t>
  </si>
  <si>
    <t>ES-002-12/2018</t>
  </si>
  <si>
    <t>SEC 24 NW4 OF THE NE4</t>
  </si>
  <si>
    <t>ES-003-12/2018</t>
  </si>
  <si>
    <t>SEC 14 NW4 OF THE SE4</t>
  </si>
  <si>
    <t>ES-004-12/2018</t>
  </si>
  <si>
    <t>MERIDIAN ST. STEPHENS T10S R100W</t>
  </si>
  <si>
    <t>SEC 24 SE1/4 OF THE SE1/4</t>
  </si>
  <si>
    <t>ES-005-12/2018</t>
  </si>
  <si>
    <t>MERIDIAN ST. STEPHENS T20S R70W</t>
  </si>
  <si>
    <t>SEC 21 W1/2NE1/4, W1/2SE1/4; SEC 27 SE1/4NE1/4, SE1/4SW1/4, NW1/4SE1/4; SEC 28 SW1/4SE1/4;</t>
  </si>
  <si>
    <t>ES-006-12/2018</t>
  </si>
  <si>
    <t>MERIDIAN ST. STEPHENS T20S R60W</t>
  </si>
  <si>
    <t>SEC 20 NW1/4SW1/4</t>
  </si>
  <si>
    <t>ES-007-12/2018</t>
  </si>
  <si>
    <t>SEC 1 SW1/4NE1/4</t>
  </si>
  <si>
    <t>ES-008-12/2018</t>
  </si>
  <si>
    <t>SEC 35 S2 OF THE SE4</t>
  </si>
  <si>
    <t>ES-009-12/2018</t>
  </si>
  <si>
    <t>MERIDIAN ST. STEPHENS T30S R60W</t>
  </si>
  <si>
    <t>SEC 15 N1/2SE1/4, SW1/4SE1/4</t>
  </si>
  <si>
    <t>ES-010-12/2018</t>
  </si>
  <si>
    <t>SEC 36 SE1/4NW1/4</t>
  </si>
  <si>
    <t>ES-011-12/2018</t>
  </si>
  <si>
    <t>SEC 26 NE1/4NE1/4, SW1/4NE1/4</t>
  </si>
  <si>
    <t>ES-012-12/2018</t>
  </si>
  <si>
    <t>MERIDIAN ST. STEPHENS T30S R40W</t>
  </si>
  <si>
    <t>SEC 31 E1/2 LOT 12</t>
  </si>
  <si>
    <t>ES-013-12/2018</t>
  </si>
  <si>
    <t>MERIDIAN ST. STEPHENS T20S R90W</t>
  </si>
  <si>
    <t>SEC 33 SW1/4 OF THE SE1/4</t>
  </si>
  <si>
    <t>ES-014-12/2018</t>
  </si>
  <si>
    <t>MERIDIAN ST. STEPHENS T30S R50W</t>
  </si>
  <si>
    <t>SEC 32 W1/2NW1/4; SEC 33 NE1/4SW1/4; SEC 36 NW1/4SW1/4</t>
  </si>
  <si>
    <t>ES-015-12/2018</t>
  </si>
  <si>
    <t>MERIDIAN ST. STEPHENS T10S R120W</t>
  </si>
  <si>
    <t>SEC 10 S1/2SW1/4 LESS 2.93 ACRE STRIP</t>
  </si>
  <si>
    <t>ES-016-12/2018</t>
  </si>
  <si>
    <t>SEC 29 NE1/4NE1/4, SE1/4NE1/4</t>
  </si>
  <si>
    <t>ES-017-12/2018</t>
  </si>
  <si>
    <t>MIES059383</t>
  </si>
  <si>
    <t>OHES059388</t>
  </si>
  <si>
    <t>OHES059389</t>
  </si>
  <si>
    <t>SEC 22 SW1/4NW1/4</t>
  </si>
  <si>
    <t>ES-018-12/2018</t>
  </si>
  <si>
    <t>MERIDIAN MICHIGAN T110N R150W</t>
  </si>
  <si>
    <t>MERIDIAN O.R.S T40N R60W</t>
  </si>
  <si>
    <t>SEC 29 NW1/4 OF THE NE1/4</t>
  </si>
  <si>
    <t>ES-023-12/2018</t>
  </si>
  <si>
    <t>MERIDIAN O.R.S T50N R70W</t>
  </si>
  <si>
    <t>SEC 2 SW1/4NW1/4, EXCEPTING THE S1/2SE1/4 SW1/4 NW1/4</t>
  </si>
  <si>
    <t>ES-024-12/2018</t>
  </si>
  <si>
    <t>LEASE CANCELLED FEB 2019 - RENTALS NOT PAID AS PER ACA'S DIRECTIVE</t>
  </si>
  <si>
    <t>MERIDIAN CHOCTAW T40N R80E</t>
  </si>
  <si>
    <t xml:space="preserve">Instrument # 2013001688; Page # 6980-6989; </t>
  </si>
  <si>
    <t>ELLIS &amp; ROGER MILLS</t>
  </si>
  <si>
    <t>ROGER MILLS: Doc # I-2015-003151; Book # 2314; Page # 73-80; ELLIS: DOC # I-J-002094; BOOK # 0907; PAGES # 185-191</t>
  </si>
  <si>
    <t xml:space="preserve">CADDO </t>
  </si>
  <si>
    <t>Doc # 1562994; Book # 2021; Page # 593</t>
  </si>
  <si>
    <t>Doc#466513; Pages# 1-6</t>
  </si>
  <si>
    <t>Doc#466514; Pages# 1-6</t>
  </si>
  <si>
    <t>Doc#466515; Pages# 1-6</t>
  </si>
  <si>
    <t>Doc#466516; Pages# 1-6</t>
  </si>
  <si>
    <t>Doc#466517; Pages# 1-6</t>
  </si>
  <si>
    <t>Doc#466518; Pages# 1-6</t>
  </si>
  <si>
    <t>Doc#466519; Pages# 1-6</t>
  </si>
  <si>
    <t>SEC 33 SE4SW4; SEC 34 NE4NE4;</t>
  </si>
  <si>
    <t>R&amp;R ROYALTY</t>
  </si>
  <si>
    <t xml:space="preserve">LEASE CANCELLED APR 2018-TO BE REFUNDED </t>
  </si>
  <si>
    <t>Doc #1051850; Book #3192; Pages # 548-552</t>
  </si>
  <si>
    <t>Doc #1051851; Book #3192; Pages # 553-557</t>
  </si>
  <si>
    <t>Doc #1051852; Book #3192; Pages # 558-562</t>
  </si>
  <si>
    <t>Book # 2015R; Page # 14080</t>
  </si>
  <si>
    <t>SEC 13 S1/2 S1/2 SE1/4 SW1/4; SEC 21 N1/2 N1/2 SE1/4 SE 1/4</t>
  </si>
  <si>
    <t>Sec 32 ALL; Sec 33 NE1/4, NE1/4NW1/4, S1/2SW1/4, E1/2SE1/4</t>
  </si>
  <si>
    <t>Book # 500703; Film # 659; Page # 2591;</t>
  </si>
  <si>
    <t>Doc  # 466570; Pages # 1-6;</t>
  </si>
  <si>
    <t>Doc  # 466571; Pages # 1-6;</t>
  </si>
  <si>
    <t>Doc  # 466572; Pages # 1-6;</t>
  </si>
  <si>
    <t>Book # 2019; Page # 957</t>
  </si>
  <si>
    <t>Book # 2019; Pages # 3687-3691;</t>
  </si>
  <si>
    <t>Instrument # 1642880; Book # 2112; Pages # 594-602;</t>
  </si>
  <si>
    <t>Instrument # 2735236; Pages # 1-4;</t>
  </si>
  <si>
    <t>Reg # 163768; Book # 467; Pages # 223-228;</t>
  </si>
  <si>
    <t>Doc # 1080014; Book # 1665; Pages # 467-470;</t>
  </si>
  <si>
    <t>Doc # 433796; Book # 489; Pages # 51-55;</t>
  </si>
  <si>
    <t>Doc # 433797; Book # 489; Pages # 56-60;</t>
  </si>
  <si>
    <t>Instrument # 2019000406; Book # 237; Pages # 542-548</t>
  </si>
  <si>
    <t>26S</t>
  </si>
  <si>
    <t>37W</t>
  </si>
  <si>
    <t>13S</t>
  </si>
  <si>
    <t>34E</t>
  </si>
  <si>
    <t>25S</t>
  </si>
  <si>
    <t>14S</t>
  </si>
  <si>
    <t>24S</t>
  </si>
  <si>
    <t>38E</t>
  </si>
  <si>
    <t>37E</t>
  </si>
  <si>
    <t>36E</t>
  </si>
  <si>
    <t>35E</t>
  </si>
  <si>
    <t>32E</t>
  </si>
  <si>
    <t>7N</t>
  </si>
  <si>
    <t>3S</t>
  </si>
  <si>
    <t>30W</t>
  </si>
  <si>
    <t>29E</t>
  </si>
  <si>
    <t>17N</t>
  </si>
  <si>
    <t>19E</t>
  </si>
  <si>
    <t>27E &amp; 28E</t>
  </si>
  <si>
    <t>8W</t>
  </si>
  <si>
    <t>9W</t>
  </si>
  <si>
    <t>4S</t>
  </si>
  <si>
    <t>27E</t>
  </si>
  <si>
    <t>33E</t>
  </si>
  <si>
    <t>5W</t>
  </si>
  <si>
    <t>13W</t>
  </si>
  <si>
    <t>29S</t>
  </si>
  <si>
    <t>SEC 008 N2</t>
  </si>
  <si>
    <t xml:space="preserve">T30S R270E      </t>
  </si>
  <si>
    <t xml:space="preserve">T70S R300E   </t>
  </si>
  <si>
    <t xml:space="preserve">SEC 035 SWNW,N2SW   </t>
  </si>
  <si>
    <t xml:space="preserve">T70S R300E    </t>
  </si>
  <si>
    <t xml:space="preserve">SEC 035 SESE  </t>
  </si>
  <si>
    <t xml:space="preserve">T80S R300E    </t>
  </si>
  <si>
    <t xml:space="preserve">SEC 001 LOTS 3,4; SEC 001 S2NW,SW  </t>
  </si>
  <si>
    <t xml:space="preserve">T120S R320E  </t>
  </si>
  <si>
    <t xml:space="preserve">SEC 014 S2NE    </t>
  </si>
  <si>
    <t xml:space="preserve">T190S R380E     </t>
  </si>
  <si>
    <t xml:space="preserve">SEC 013 SW </t>
  </si>
  <si>
    <t xml:space="preserve">T190S R380E      </t>
  </si>
  <si>
    <t>SEC 020 NE,N2SE</t>
  </si>
  <si>
    <t xml:space="preserve">T260S R380E </t>
  </si>
  <si>
    <t xml:space="preserve">SEC 020 SESE; SEC 029 E2E2     </t>
  </si>
  <si>
    <t xml:space="preserve">T260S R380E      </t>
  </si>
  <si>
    <t>SEC 030 N2</t>
  </si>
  <si>
    <t>SEC 030 SW; SEC 031 LOTS 2,3,4; SEC 031 NWNE,N2NW</t>
  </si>
  <si>
    <t xml:space="preserve">T15S R22E      </t>
  </si>
  <si>
    <t xml:space="preserve">T21S R23E     </t>
  </si>
  <si>
    <t xml:space="preserve">SEC 20 SESE </t>
  </si>
  <si>
    <t xml:space="preserve">T11S R31E      </t>
  </si>
  <si>
    <t>SEC 4 S2SE; SEC 9 N2</t>
  </si>
  <si>
    <t xml:space="preserve">T11S R31E </t>
  </si>
  <si>
    <t xml:space="preserve">SEC 5 LOTS 1,2,3,4; SEC 5 S2;     </t>
  </si>
  <si>
    <t xml:space="preserve">SEC 17 N2, SW, N2SE, SWSE     </t>
  </si>
  <si>
    <t>SEC 34 NW, N2SW</t>
  </si>
  <si>
    <t xml:space="preserve">T16S R31E      </t>
  </si>
  <si>
    <t>SEC 26 N2NE, SWNE, W2, NWSE</t>
  </si>
  <si>
    <t>2W</t>
  </si>
  <si>
    <t>13E</t>
  </si>
  <si>
    <t>18W</t>
  </si>
  <si>
    <t>31W</t>
  </si>
  <si>
    <t>3W</t>
  </si>
  <si>
    <t>1S</t>
  </si>
  <si>
    <t>41W</t>
  </si>
  <si>
    <t>42W</t>
  </si>
  <si>
    <t>18S</t>
  </si>
  <si>
    <t>11E</t>
  </si>
  <si>
    <t>5W&amp;6W</t>
  </si>
  <si>
    <t>1N&amp;2N</t>
  </si>
  <si>
    <t>4W&amp;5W</t>
  </si>
  <si>
    <t>16E</t>
  </si>
  <si>
    <t>5E</t>
  </si>
  <si>
    <t>8E</t>
  </si>
  <si>
    <t>12E</t>
  </si>
  <si>
    <t>8N</t>
  </si>
  <si>
    <t>10E</t>
  </si>
  <si>
    <t>4E</t>
  </si>
  <si>
    <t>26W</t>
  </si>
  <si>
    <t>14E</t>
  </si>
  <si>
    <t>28W</t>
  </si>
  <si>
    <t>19W</t>
  </si>
  <si>
    <t>21W</t>
  </si>
  <si>
    <t>22W</t>
  </si>
  <si>
    <t>20W</t>
  </si>
  <si>
    <t>14N</t>
  </si>
  <si>
    <t>25N</t>
  </si>
  <si>
    <t>18N</t>
  </si>
  <si>
    <t>15E</t>
  </si>
  <si>
    <t>24W</t>
  </si>
  <si>
    <t>24N</t>
  </si>
  <si>
    <t>18E</t>
  </si>
  <si>
    <t>130N</t>
  </si>
  <si>
    <t>129N</t>
  </si>
  <si>
    <t>132N</t>
  </si>
  <si>
    <t>131N</t>
  </si>
  <si>
    <t>380N</t>
  </si>
  <si>
    <t>460N</t>
  </si>
  <si>
    <t>540E</t>
  </si>
  <si>
    <t>550E</t>
  </si>
  <si>
    <t>50W</t>
  </si>
  <si>
    <t>100W</t>
  </si>
  <si>
    <t>70W</t>
  </si>
  <si>
    <t>60W</t>
  </si>
  <si>
    <t>40W</t>
  </si>
  <si>
    <t>120W</t>
  </si>
  <si>
    <t>80E</t>
  </si>
  <si>
    <t>150W</t>
  </si>
  <si>
    <t>350N</t>
  </si>
  <si>
    <t>170N</t>
  </si>
  <si>
    <t>150N</t>
  </si>
  <si>
    <t>370N</t>
  </si>
  <si>
    <t>10S</t>
  </si>
  <si>
    <t>40N</t>
  </si>
  <si>
    <t>110N</t>
  </si>
  <si>
    <t>50N</t>
  </si>
  <si>
    <t>63W</t>
  </si>
  <si>
    <t>75W</t>
  </si>
  <si>
    <t>Doc #377620; Book # 65; Page #180</t>
  </si>
  <si>
    <t>106W</t>
  </si>
  <si>
    <t>107W</t>
  </si>
  <si>
    <t>NM-201809-001</t>
  </si>
  <si>
    <t>NM-201809-009</t>
  </si>
  <si>
    <t>NM-201809-059</t>
  </si>
  <si>
    <t>NM-201809-060</t>
  </si>
  <si>
    <t>NM-201809-063</t>
  </si>
  <si>
    <t>NM-201809-064</t>
  </si>
  <si>
    <t>NM-201809-069</t>
  </si>
  <si>
    <t xml:space="preserve"> Sec 14 Pt. NWNW and Pt. E2NW, Pt. NWNW  west of Twp Rd 252, Pt NESW, Pt NW  with exceptions  Sec. 20; E2NW,W2NE, NENE,  Pt. SENE with exceptions  </t>
  </si>
  <si>
    <t xml:space="preserve">SEC 15 SWSE     </t>
  </si>
  <si>
    <t xml:space="preserve">SEC 14 ACCRETION &amp; RIPARIAN ACREAGE TO LOT 7;  SEE ATTACHED EXHIBIT FOR DESCRIPTION WITH MAP;     </t>
  </si>
  <si>
    <t>Filed Operating Rights Assignment with AMP-UP, LLC.</t>
  </si>
  <si>
    <t>Instrument # 2019-000835; Book # 2417; Pages # 271-280</t>
  </si>
  <si>
    <t>Instrument # 2019-000836; Book # 2417; Pages # 281-295</t>
  </si>
  <si>
    <t>Doc # 256125; Book # L98; Pages 42-55</t>
  </si>
  <si>
    <t>Doc# L2019-00949; Book # MISC 107; Pages # 576-586</t>
  </si>
  <si>
    <t>Instrument # 2019000609; Book # 237; Pages # 629-636</t>
  </si>
  <si>
    <t>Instrument #2019000681, Book#238,  page#37-41</t>
  </si>
  <si>
    <t>PANACEA OWNS 50.00%. WILL PAY RENTALS. U.S. MINERAL INT 50.00 % (Lease Docs are with PANACE)</t>
  </si>
  <si>
    <t>PANACEA OWNS 50.00%. WILL PAY RENTALS. (Lease Docs are with PANACE)</t>
  </si>
  <si>
    <t>Book # m213; Page # 635</t>
  </si>
  <si>
    <t>MISCELLANEOUS BOOK # 2019; Page # 718-718</t>
  </si>
  <si>
    <t>MISCELLANEOUS BOOK # 2019; Page # 717-717</t>
  </si>
  <si>
    <t xml:space="preserve">T470N R720W  SEC 015 LOTS 5,8;   </t>
  </si>
  <si>
    <t xml:space="preserve">Part of a Pool Unit  - Red Top (Deep) Unit No. WYW188615X- Received a notice on MAY 03, 2019 </t>
  </si>
  <si>
    <t>Non-Unitized regular BLM Lease - Segregated from WYW 186293 as a New Lease</t>
  </si>
  <si>
    <t>Sec. 022 SWNW;</t>
  </si>
  <si>
    <t>Sec. 022 SENE,NESE;</t>
  </si>
  <si>
    <t>Doc # 2936; Vol # 1676; Page # 499-507</t>
  </si>
  <si>
    <t>Extended by BLM Rapides South Unit - Filed 8/15/18 - "LEASE PAID FOR PAST EXPIRATION TERM AS PER ACA"</t>
  </si>
  <si>
    <t>RENTALS PAID FOR 11TH YEAR AS PER ACA - "LEASE PAID FOR PAST EXPIRATION TERM AS PER ACA"</t>
  </si>
  <si>
    <t>Instrument # 201901421; Book # 0640; Pages # 364-373</t>
  </si>
  <si>
    <t>Book #1280; Pages #430-439</t>
  </si>
  <si>
    <t>Doc #475388; Pages #3</t>
  </si>
  <si>
    <t>Vol #61; Pages #101-110;</t>
  </si>
  <si>
    <t>HELD BY PRODUCTION -LEASE COMMITTED TO CA W/OKNM135434</t>
  </si>
  <si>
    <t>WYW188757</t>
  </si>
  <si>
    <t>WYW188758</t>
  </si>
  <si>
    <t>WYW188760</t>
  </si>
  <si>
    <t>WYW188762</t>
  </si>
  <si>
    <t>WYW188764</t>
  </si>
  <si>
    <t>WYW188777</t>
  </si>
  <si>
    <t>WYW188778</t>
  </si>
  <si>
    <t>WYW188780</t>
  </si>
  <si>
    <t>WYW188784</t>
  </si>
  <si>
    <t>WYW188785</t>
  </si>
  <si>
    <t>NATRONA &amp; CONVERSE</t>
  </si>
  <si>
    <t xml:space="preserve">NATRONA </t>
  </si>
  <si>
    <t>JOHNSON &amp; NATRONA</t>
  </si>
  <si>
    <t>74W</t>
  </si>
  <si>
    <t>MERIDIAN 6TH T50N R74W</t>
  </si>
  <si>
    <t>SEC 02 LOTS 9, 10, 14-19; SEC 03 LOTS 12, 13, 20;</t>
  </si>
  <si>
    <t>WY-191Q-032</t>
  </si>
  <si>
    <t>50N &amp; 51N</t>
  </si>
  <si>
    <t>MERIDIAN 6TH T50N &amp; 51N R74W</t>
  </si>
  <si>
    <t>T50N R74W SEC 02 LOTS 5-8, SEC 03 LOTS 5, SEC 13 LOTS 4,5, 12;</t>
  </si>
  <si>
    <t>T51N R74W SEC 34 LOTS 10, 15, 16, SEC 34 LOTS 9(EXCLUSIVE 2.96AC IN RR ROW WYW0119068);</t>
  </si>
  <si>
    <t>WY-191Q-033</t>
  </si>
  <si>
    <t>SEC 17 LOTS 1, 8; SEC 22 LOTS 1, 5;</t>
  </si>
  <si>
    <t>WY-191Q-035</t>
  </si>
  <si>
    <t>SEC 23 LOTS 4, 5;</t>
  </si>
  <si>
    <t>WY-191Q-037</t>
  </si>
  <si>
    <t>SEC 24 LOTS 4, 5;</t>
  </si>
  <si>
    <t>WY-191Q-039</t>
  </si>
  <si>
    <t>77W</t>
  </si>
  <si>
    <t>MERIDIAN 6TH T40N R77W</t>
  </si>
  <si>
    <t>SEC 04 LOTS 3, 4; SEC 04 S2NW, SW; SEC 09 N2, SW, N2SE; SEC 25 NENW, SW;</t>
  </si>
  <si>
    <t>WY-191Q-052</t>
  </si>
  <si>
    <t>SEC 05 LOTS 2-4; SEC 05 SWNE, S2NW, SW, W2SE; SEC 08 N2;</t>
  </si>
  <si>
    <t>WY-191Q-053</t>
  </si>
  <si>
    <t>SEC 15 N2, SW, N2SE; SEC 22 E2NE, SENW;</t>
  </si>
  <si>
    <t>WY-191Q-055</t>
  </si>
  <si>
    <t>41N</t>
  </si>
  <si>
    <t>MERIDIAN 6TH T41N R77W</t>
  </si>
  <si>
    <t>SEC 08 W2W2;</t>
  </si>
  <si>
    <t>WY-191Q-059</t>
  </si>
  <si>
    <t>SEC 29 SWNE, W2NW, SENW, E2SW, W2SE;</t>
  </si>
  <si>
    <t>WY-191Q-060</t>
  </si>
  <si>
    <t>Doc # 284058; Book # 59 OG; Page # 405</t>
  </si>
  <si>
    <t>Instrument #3259; Pages #4;</t>
  </si>
  <si>
    <t>Instrument # 201900080766; Vol # 325; Pages # 7398-750</t>
  </si>
  <si>
    <t>NATRONA</t>
  </si>
  <si>
    <t>T0170N,R0220W,IM MERIDIAN</t>
  </si>
  <si>
    <t>T470N R720W SEC 001 LOT 6; SEC 002 LOTS 5,6,11-20; SEC 003 LOT 6-12 ,17,18; SEC 004 LOTS 5,6,14; SEC 011 LOTS 2,13,14;</t>
  </si>
  <si>
    <t>MTM110971</t>
  </si>
  <si>
    <t>MTM110972</t>
  </si>
  <si>
    <t>MTM110973</t>
  </si>
  <si>
    <t>28E</t>
  </si>
  <si>
    <t>MERIDIAN PMM</t>
  </si>
  <si>
    <t>SEC 30 LOTS 1-3; SEC 30 NE, E2NW;</t>
  </si>
  <si>
    <t>SEC 12 LOT 4; SEC 12 W2; SEC 20 SWNE, NESW; SEC 22 S2SW, S2SE; SEC 32 LOT 4; SEC 32 W2NW, NWSW;</t>
  </si>
  <si>
    <t>SEC 30 NENE, NWSE; SEC 34 N2SW, N2SE;</t>
  </si>
  <si>
    <t>MTM 108952-KJ</t>
  </si>
  <si>
    <t>MTM 108952-KK</t>
  </si>
  <si>
    <t>MTM 108952-KH</t>
  </si>
  <si>
    <t>Ent: 419992; Pages: 1-24</t>
  </si>
  <si>
    <t>BOUGHT BACK FROM REAGAN SMITH/LAURENTIDE MAY 2019</t>
  </si>
  <si>
    <t>MTM110974</t>
  </si>
  <si>
    <t>MTM110975</t>
  </si>
  <si>
    <t>MTM110982</t>
  </si>
  <si>
    <t>MTM110983</t>
  </si>
  <si>
    <t>MTM110985</t>
  </si>
  <si>
    <t>MTM110986</t>
  </si>
  <si>
    <t xml:space="preserve">SEC 2 LOTS 1,2; SEC 2 S2NE, SE; SEC 10 SW; </t>
  </si>
  <si>
    <t>SEC 34;</t>
  </si>
  <si>
    <t>MTM 108952-KL</t>
  </si>
  <si>
    <t>BLAINE</t>
  </si>
  <si>
    <t>20E</t>
  </si>
  <si>
    <t>SEC 6 LOT 7; SEC 8 NWNE, N2NW, SWNW; SEC 30 SENW; SEC 34 W2NW</t>
  </si>
  <si>
    <t>MTM 108952-KM</t>
  </si>
  <si>
    <t>MTM 108952-KV</t>
  </si>
  <si>
    <t>SEC 22 SENE;</t>
  </si>
  <si>
    <t>ES-008-06/2018</t>
  </si>
  <si>
    <t>ES-009-06/2018</t>
  </si>
  <si>
    <t>ES-010-06/2018</t>
  </si>
  <si>
    <t>ES-011-06/2018</t>
  </si>
  <si>
    <t>ES-013-06/2018</t>
  </si>
  <si>
    <t>ES-014-06/2018</t>
  </si>
  <si>
    <t>ES-015-06/2018</t>
  </si>
  <si>
    <t>ES-016-06/2018</t>
  </si>
  <si>
    <t>ES-018-06/2018</t>
  </si>
  <si>
    <t>ES-019-06/2018</t>
  </si>
  <si>
    <t>ES-020-06/2018</t>
  </si>
  <si>
    <t>ES-021-06/2018</t>
  </si>
  <si>
    <t>ES-022-06/2018</t>
  </si>
  <si>
    <t>ES-023-06/2018</t>
  </si>
  <si>
    <t>ES-024-06/2018</t>
  </si>
  <si>
    <t>ES-025-06/2018</t>
  </si>
  <si>
    <t>ES-026-06/2018</t>
  </si>
  <si>
    <t>ES-012-06/2018</t>
  </si>
  <si>
    <t xml:space="preserve">MERIDIAN 5TH </t>
  </si>
  <si>
    <t>SEC 36 S2SE</t>
  </si>
  <si>
    <t>2;</t>
  </si>
  <si>
    <t xml:space="preserve">MERIDIAN BHM </t>
  </si>
  <si>
    <t>MERIDIAN 5TH PM</t>
  </si>
  <si>
    <t xml:space="preserve">MERIDIAN MICHIGAN </t>
  </si>
  <si>
    <t>19N</t>
  </si>
  <si>
    <t>205,208,209,211; TRACTS 214,215</t>
  </si>
  <si>
    <t>404,405,407,408,411; TRACTS 412,413-1,413</t>
  </si>
  <si>
    <t>206-1, I-C-206</t>
  </si>
  <si>
    <t xml:space="preserve">MERIDIAN LOUISIANA </t>
  </si>
  <si>
    <t xml:space="preserve">MERIDIAN NMPM </t>
  </si>
  <si>
    <t xml:space="preserve">MERIDIAN IM </t>
  </si>
  <si>
    <t>MERIDIAN ST.STEPHENS</t>
  </si>
  <si>
    <t xml:space="preserve">MERIDIAN LOUSIANA </t>
  </si>
  <si>
    <t xml:space="preserve">MERIDIAN 5TH PRINCIPAL </t>
  </si>
  <si>
    <t xml:space="preserve">MERIDIAN ST.STEPHENS </t>
  </si>
  <si>
    <t>MERIDIAN LOUISIANA</t>
  </si>
  <si>
    <t xml:space="preserve">MERIDIAN MI </t>
  </si>
  <si>
    <t>MERIDIAN WASHINGTON</t>
  </si>
  <si>
    <t xml:space="preserve">CHOCTAW </t>
  </si>
  <si>
    <t xml:space="preserve">MERIDIAN CHOCTAW </t>
  </si>
  <si>
    <t xml:space="preserve"> MERIDIAN LOUISIANA</t>
  </si>
  <si>
    <t>MERIDIAN CHOCTAW</t>
  </si>
  <si>
    <t xml:space="preserve"> MERIDIAN WASHINGTON</t>
  </si>
  <si>
    <t xml:space="preserve"> MERIDIAN CHOCTAW</t>
  </si>
  <si>
    <t xml:space="preserve">NMPM </t>
  </si>
  <si>
    <t xml:space="preserve">IM </t>
  </si>
  <si>
    <t xml:space="preserve">LOUISIANA </t>
  </si>
  <si>
    <t xml:space="preserve">ST.STEPHENS </t>
  </si>
  <si>
    <t>CHOCTAW</t>
  </si>
  <si>
    <t>ST.STEPHENS</t>
  </si>
  <si>
    <t xml:space="preserve">WASHINGTON </t>
  </si>
  <si>
    <t xml:space="preserve">HUNTSVILLE </t>
  </si>
  <si>
    <t xml:space="preserve">MERIDIAN CHOCTOW </t>
  </si>
  <si>
    <t xml:space="preserve">MERIDIAN WASHINGTON </t>
  </si>
  <si>
    <t>MERIDIAN NMPM</t>
  </si>
  <si>
    <t>MTM111016</t>
  </si>
  <si>
    <t>MTM111017</t>
  </si>
  <si>
    <t>MTM111022</t>
  </si>
  <si>
    <t>MTM 108952-JL</t>
  </si>
  <si>
    <t>MTM 108952-LK</t>
  </si>
  <si>
    <t>SEC 32 N2, W2SW, N2SE;</t>
  </si>
  <si>
    <t>SEC 28 W2NW, W2SW;</t>
  </si>
  <si>
    <r>
      <rPr>
        <b/>
        <u/>
        <sz val="10"/>
        <color theme="1"/>
        <rFont val="Cambria"/>
        <family val="1"/>
        <scheme val="major"/>
      </rPr>
      <t>Montgomery</t>
    </r>
    <r>
      <rPr>
        <sz val="10"/>
        <color theme="1"/>
        <rFont val="Cambria"/>
        <family val="1"/>
        <scheme val="major"/>
      </rPr>
      <t xml:space="preserve"> - DOC#2018098554; Pages # 13; </t>
    </r>
    <r>
      <rPr>
        <b/>
        <u/>
        <sz val="10"/>
        <color theme="1"/>
        <rFont val="Cambria"/>
        <family val="1"/>
        <scheme val="major"/>
      </rPr>
      <t>Walker</t>
    </r>
    <r>
      <rPr>
        <b/>
        <sz val="10"/>
        <color theme="1"/>
        <rFont val="Cambria"/>
        <family val="1"/>
        <scheme val="major"/>
      </rPr>
      <t xml:space="preserve"> - </t>
    </r>
    <r>
      <rPr>
        <sz val="10"/>
        <color theme="1"/>
        <rFont val="Cambria"/>
        <family val="1"/>
        <scheme val="major"/>
      </rPr>
      <t>Inst # 48718; Pages # 4</t>
    </r>
  </si>
  <si>
    <r>
      <rPr>
        <b/>
        <u/>
        <sz val="10"/>
        <rFont val="Cambria"/>
        <family val="1"/>
        <scheme val="major"/>
      </rPr>
      <t>San Jacinto</t>
    </r>
    <r>
      <rPr>
        <sz val="10"/>
        <rFont val="Cambria"/>
        <family val="1"/>
        <scheme val="major"/>
      </rPr>
      <t xml:space="preserve"> - Instrument # 20153952; Pages # 19533-19544; </t>
    </r>
    <r>
      <rPr>
        <b/>
        <u/>
        <sz val="10"/>
        <rFont val="Cambria"/>
        <family val="1"/>
        <scheme val="major"/>
      </rPr>
      <t>Walker</t>
    </r>
    <r>
      <rPr>
        <sz val="10"/>
        <rFont val="Cambria"/>
        <family val="1"/>
        <scheme val="major"/>
      </rPr>
      <t xml:space="preserve"> - Inst # 48718; Pages # 4</t>
    </r>
  </si>
  <si>
    <t>MTM 108952-KD</t>
  </si>
  <si>
    <t>MTM 108952-H4</t>
  </si>
  <si>
    <t>MTM 108952-LE</t>
  </si>
  <si>
    <t>21E</t>
  </si>
  <si>
    <t>35N</t>
  </si>
  <si>
    <t>SEC 19 LOTS 1,3,4; SEC 19 N2NE, NENW; SEC 20 N2NE, N2NW;</t>
  </si>
  <si>
    <t>SEC 21 N2, SE; SEC 22; SEC 23; SEC 24 SWNW, SW, NWSE, S2SE;</t>
  </si>
  <si>
    <t>MTM 108952-LB</t>
  </si>
  <si>
    <t>Part of a Pool Unit - Red Top (Deep) Unit No. WYW188615X - Received a notice on MAY 03, 2019</t>
  </si>
  <si>
    <t>WYW187763</t>
  </si>
  <si>
    <t>CAMPBPELL</t>
  </si>
  <si>
    <t>Non-Unitized regular BLM Lease-Seggregated from WYW186293 as a New Lease</t>
  </si>
  <si>
    <t xml:space="preserve">SEC 1 LOT 1; SEC 2 LOTS 1,2; SEC 19 NENW; SEC 27 E2NE; </t>
  </si>
  <si>
    <t>Registry # 286991; Book # 287; Page # 1724;</t>
  </si>
  <si>
    <t>S. OF RR EXC. STRIP 2 RODS WIDE ON W BOUNDARY AND STRIP 30' WIDE ON E BOUNDARY, SWSENW; SEC 18 N2NE;</t>
  </si>
  <si>
    <t>Notice of Appeal was filed by SOUTHERN UTAH WILDERNESS ALLIANCE et al., SOP is effective July 1, 2019, terms of the leases are tolled &amp; rentals are suspended while this SOP is in place.</t>
  </si>
  <si>
    <t>Instrument # 2019011371; Liber #4360; Pages # 61-72.</t>
  </si>
  <si>
    <t>Instrument # 5659879 O31; Liber # 4194; Page # 151 (4).</t>
  </si>
  <si>
    <t>Receipt # 2315 PATTI;  Liber # 410; Pages # 1268-1270</t>
  </si>
  <si>
    <t>HBP-LEASE COMMITTED TO CA(ARES 55803)-50% - US MINERAL INT.</t>
  </si>
  <si>
    <t>Ent # 234652; Book # 742; Pages #795-797</t>
  </si>
  <si>
    <t>COULDN'T FIND THE LEASE DOC</t>
  </si>
  <si>
    <t>Doc # 459288; Pages # 1-3;</t>
  </si>
  <si>
    <t xml:space="preserve">Instrument # 201904258; </t>
  </si>
  <si>
    <t>Instrument # 697611; Book # 1572; Page # 180;</t>
  </si>
  <si>
    <t>File # 578955;</t>
  </si>
  <si>
    <t>Instrument # 1159340; Pages # 1-3</t>
  </si>
  <si>
    <t>Instrument # 377696</t>
  </si>
  <si>
    <t>Doc # 0105184; Book # 202; Pages # 364-366</t>
  </si>
  <si>
    <t>Doc # 318566; Pages # 1-7;</t>
  </si>
  <si>
    <t>Instrument # 218179; Book # 223 MISC; Page # 549</t>
  </si>
  <si>
    <t>Book # 2019; Pages # 2761</t>
  </si>
  <si>
    <t>Instrument # 201904281</t>
  </si>
  <si>
    <t>Instrument # 1280343; Book # 2141; Page # 769 (4)</t>
  </si>
  <si>
    <t>Doc # 440838; Pages #1-4;</t>
  </si>
  <si>
    <t>Doc # 44904; Book # 2153: Page # 948 (3)</t>
  </si>
  <si>
    <t>Doc # 44905; Book # 2153: Page # 949 (3)</t>
  </si>
  <si>
    <t>Doc # 1910055; Book # 1126; Page 179 (3);</t>
  </si>
  <si>
    <t>Receipt # 423395; Book # 828; Page # 386 (3)</t>
  </si>
  <si>
    <t>Instrument # 2019-239338; Pages # 3;</t>
  </si>
  <si>
    <t>Instrument # 2019017176; Book # 422; Pages # 1716;</t>
  </si>
  <si>
    <t xml:space="preserve">Instrument #201900004588: Vol # 394; Pages # 2633-2635 </t>
  </si>
  <si>
    <t>Instrument # 201900004591; Vol # 394; Pages # 2643-5645</t>
  </si>
  <si>
    <t>EXPLORATION AGRMT. MEADVILLE 3D - PETROHUNT &amp; "RE-ASSIGNED FROM PETROHUNT IN AUGUST 2019, NEED TO PAY RENTALS"</t>
  </si>
  <si>
    <t>MSES056992</t>
  </si>
  <si>
    <t>MSES056993</t>
  </si>
  <si>
    <t>MSES056994</t>
  </si>
  <si>
    <t>MSES056995</t>
  </si>
  <si>
    <t>MSES056996</t>
  </si>
  <si>
    <t>MSES056997</t>
  </si>
  <si>
    <t>MSES056998</t>
  </si>
  <si>
    <t>MSES056999</t>
  </si>
  <si>
    <t>MSES057001</t>
  </si>
  <si>
    <t>MSES057002</t>
  </si>
  <si>
    <t>MSES057003</t>
  </si>
  <si>
    <t>MSES057004</t>
  </si>
  <si>
    <t>MSES057005</t>
  </si>
  <si>
    <t>MSES057011</t>
  </si>
  <si>
    <t>MSES057013</t>
  </si>
  <si>
    <t>MSES057014</t>
  </si>
  <si>
    <t>MSES057000</t>
  </si>
  <si>
    <t>ASSIGNED FROM PETROHUNT IN AUGUST 2019 &amp; NEED TO FILE AN ASSIGNMENT, NEED TO PAY RENTALS</t>
  </si>
  <si>
    <t>SEC. 2 S2S2; SEC. 9 E2, N2NW, W3/4SWNW, N2SW, SESW;</t>
  </si>
  <si>
    <t>SEC. 10 NE LESS 5 ACRES IN THE NW CORNER OF SWNE;</t>
  </si>
  <si>
    <t>SEC. 17 ALL;</t>
  </si>
  <si>
    <t>SEC. 18 N2, N2SE, SW; SEC. 19 W2W2;</t>
  </si>
  <si>
    <t>SEC. 20 ALL;</t>
  </si>
  <si>
    <t>SEC. 21 ALL; SEC. LOT 4;</t>
  </si>
  <si>
    <t>SEC. 25 LOTS 2, 3, 4, 6 (TRACT H-1). LOTS 10 &amp; PART 11 (TRACT H-119), PART LOT 12 (TRACT H-133), TRACT H-134; SEC. 26 TRACT H-134;</t>
  </si>
  <si>
    <t>SEC. 32 ALL;</t>
  </si>
  <si>
    <t>SEC. 34 W2NESW, NWSW, THAT PART TRACT H-1 LYING IN SESE SOUTH &amp; EAST OF STEELES CREEK; SEC. 35 N2, N2SE;</t>
  </si>
  <si>
    <t>SEC. 36 N2, SW; SEC. 37 N2SWNW, NWNW, S2SE;</t>
  </si>
  <si>
    <t>LARGE LEASE DESCRIPTION</t>
  </si>
  <si>
    <t>SEC. 42 N2, NESW, S2SW, SE;</t>
  </si>
  <si>
    <t>SEC. 44 NWNE, NESW, S2SW, NWSE, S2SE; SEC. 45 E2, E2SENW;</t>
  </si>
  <si>
    <t>SEC. 44 NWSW;</t>
  </si>
  <si>
    <t>SEC. 23 TRACTS H-1, H-156; SEC. 25 TACT H-1;</t>
  </si>
  <si>
    <t>SEC. 37 NENW, S2NW, SW, S2SE; SEC. 38 N2, NESW, 1.5 ACRES IN FORM OF SQUARE IN NE CORNER OF NWSW, S2NWSW, S2SW, SE;</t>
  </si>
  <si>
    <t>SEC. 37 NESE;</t>
  </si>
  <si>
    <t>YES</t>
  </si>
  <si>
    <t>DOC # 1050968; BOOK # 3186; PAGES # 286-303;</t>
  </si>
  <si>
    <t>DOC # 1050983; BOOK # 3186; PAGES # 616-634;</t>
  </si>
  <si>
    <t>DOC # 1050982; BOOK # 3186; PAGES # 596-615;</t>
  </si>
  <si>
    <t>DOC # 1050981; BOOK # 3186; PAGES # 575-595;</t>
  </si>
  <si>
    <t>DOC # 1050980; BOOK # 3186; PAGES # 552-574;</t>
  </si>
  <si>
    <t>DOC # 1050979; BOOK # 3186; PAGES # 528-551;</t>
  </si>
  <si>
    <t>DOC # 1050978; BOOK # 3186; PAGES # 505-527;</t>
  </si>
  <si>
    <t>DOC # 1050977; BOOK # 3186; PAGES # 483-504;</t>
  </si>
  <si>
    <t>DOC # 1050976; BOOK # 3186; PAGES # 457-482;</t>
  </si>
  <si>
    <t>DOC # 1050969; BOOK # 3186; PAGES # 304-322;</t>
  </si>
  <si>
    <t>DOC # 1050970; BOOK # 3186; PAGES # 323-348;</t>
  </si>
  <si>
    <t>DOC # 1050971; BOOK # 3186; PAGES # 349-366;</t>
  </si>
  <si>
    <t>DOC # 1050972; BOOK # 3186; PAGES # 367-391;</t>
  </si>
  <si>
    <t>DOC # 1050973; BOOK # 3186; PAGES # 392-414;</t>
  </si>
  <si>
    <t>DOC # 1050974; BOOK # 3186; PAGES # 415-440;</t>
  </si>
  <si>
    <t>DOC # 1050975; BOOK # 3186; PAGES # 441-456;</t>
  </si>
  <si>
    <t>SEC.8 NE, NENW, S2NW, S2; SEC.9 ALL</t>
  </si>
  <si>
    <t>SEC.10 N2 SWSW E2SW SE; SEC.11 N2NE SENE W2NW NENW SW SE;</t>
  </si>
  <si>
    <t xml:space="preserve">Doc # 184983; </t>
  </si>
  <si>
    <t>Inst # 2019000444; Book # 2442; Pages # 280-283;</t>
  </si>
  <si>
    <t>Doc #1056179; Book #3220; Pages #672-674</t>
  </si>
  <si>
    <t xml:space="preserve">Instrument # 2019-00004605; Book # 260; Page # 312 </t>
  </si>
  <si>
    <t>“LEASE RENTAL PAID FOR 11th YEAR AS PER ACA’S DIRECTIVE”</t>
  </si>
  <si>
    <t xml:space="preserve">Transfer of Operating Rights to AEEC II, LLC – they will pay rentals. </t>
  </si>
  <si>
    <t>Doc # 183499; Book # 386; Page # 727-729;</t>
  </si>
  <si>
    <t>Doc #1068476; Pages #3;</t>
  </si>
  <si>
    <r>
      <rPr>
        <b/>
        <sz val="11"/>
        <color theme="1"/>
        <rFont val="Cambria"/>
        <family val="1"/>
        <scheme val="major"/>
      </rPr>
      <t>Con:</t>
    </r>
    <r>
      <rPr>
        <sz val="10"/>
        <color theme="1"/>
        <rFont val="Cambria"/>
        <family val="1"/>
        <scheme val="major"/>
      </rPr>
      <t xml:space="preserve"> Ins # 1084908; Book # 1681; Pages # 17-19; </t>
    </r>
    <r>
      <rPr>
        <b/>
        <sz val="11"/>
        <color theme="1"/>
        <rFont val="Cambria"/>
        <family val="1"/>
        <scheme val="major"/>
      </rPr>
      <t xml:space="preserve">Nat: </t>
    </r>
    <r>
      <rPr>
        <sz val="10"/>
        <color theme="1"/>
        <rFont val="Cambria"/>
        <family val="1"/>
        <scheme val="major"/>
      </rPr>
      <t>Doc # 1068495; Pages # 3;</t>
    </r>
  </si>
  <si>
    <t>Doc # 1056554; Book # 3223; Pages # 43-48;</t>
  </si>
  <si>
    <t>Doc # 1056555; Book # 3223; Pages # 49-53;</t>
  </si>
  <si>
    <t>Doc# 201904281; Pages# 3;</t>
  </si>
  <si>
    <t>EXPIRED 2019</t>
  </si>
  <si>
    <t>Doc # 2019-01151; Book # 581; Page # 111;</t>
  </si>
  <si>
    <t>NMNM139316</t>
  </si>
  <si>
    <t>NMNM139320</t>
  </si>
  <si>
    <t>NMNM139324</t>
  </si>
  <si>
    <t>NMNM139360</t>
  </si>
  <si>
    <t>NMNM139365</t>
  </si>
  <si>
    <t>NMNM139374</t>
  </si>
  <si>
    <t>OKNM139412</t>
  </si>
  <si>
    <t>OKNM139415</t>
  </si>
  <si>
    <t>OKNM139418</t>
  </si>
  <si>
    <t>OKNM139419</t>
  </si>
  <si>
    <t>TXNM139427</t>
  </si>
  <si>
    <t>ALFALAFA</t>
  </si>
  <si>
    <t>202S</t>
  </si>
  <si>
    <t>220E</t>
  </si>
  <si>
    <t>23 MERIDIAN</t>
  </si>
  <si>
    <t>SEC 33 S2S2; SEC 33 LOTS 1,2,3,4; SEC 34 S2S2; SEC 34 LOTS 1,2,3,4; SEC 35 S2S2; SEC 35 LOTS 1,2,3,4;</t>
  </si>
  <si>
    <t>NM 201812-001</t>
  </si>
  <si>
    <t>NM 201812-005</t>
  </si>
  <si>
    <t>NM 201812-009</t>
  </si>
  <si>
    <t>NM 201812-045</t>
  </si>
  <si>
    <t>NM 201812-050</t>
  </si>
  <si>
    <t>NM 201812-059</t>
  </si>
  <si>
    <t>NM 201812-097</t>
  </si>
  <si>
    <t>NM 201812-100</t>
  </si>
  <si>
    <t>NM 201812-103</t>
  </si>
  <si>
    <t>NM 201812-104</t>
  </si>
  <si>
    <t>NM 201812-112</t>
  </si>
  <si>
    <t>210S</t>
  </si>
  <si>
    <t>SEC 15 ALL;</t>
  </si>
  <si>
    <t>230E</t>
  </si>
  <si>
    <t>SEC 26 W2NW; SEC 27 E2NE;</t>
  </si>
  <si>
    <t>140S</t>
  </si>
  <si>
    <t>SEC 11 ALL;</t>
  </si>
  <si>
    <t>SEC 30 E2SW, SE; SEC 30 LOTS 3, 4; SEC 31 E2, E2W2; SEC 31 LOTS 1,2,3,4;</t>
  </si>
  <si>
    <t>230S</t>
  </si>
  <si>
    <t>370E</t>
  </si>
  <si>
    <t>SEC 15 W2NE, W2NW, E2SW, E2SE;</t>
  </si>
  <si>
    <t>240N</t>
  </si>
  <si>
    <t>17 MERIDIAN</t>
  </si>
  <si>
    <t>SEC 04 TOWNSITE BLOCKS 1,3,7,14 EAGLE CHIEF;</t>
  </si>
  <si>
    <t>SEC 06 LOTS 5;</t>
  </si>
  <si>
    <t>250N</t>
  </si>
  <si>
    <t>220W</t>
  </si>
  <si>
    <t>SEC 07 NWNE;</t>
  </si>
  <si>
    <t>180N</t>
  </si>
  <si>
    <t>230W</t>
  </si>
  <si>
    <t>SEC 27 NESW;</t>
  </si>
  <si>
    <t>TX MERIDIAN</t>
  </si>
  <si>
    <t>TRAC NR-10</t>
  </si>
  <si>
    <t>OBJECTID</t>
  </si>
  <si>
    <t>Ownership</t>
  </si>
  <si>
    <t>Shape_Length</t>
  </si>
  <si>
    <t>Polygon ZM</t>
  </si>
  <si>
    <t>&lt;Null&gt;</t>
  </si>
  <si>
    <t>LEASE PENDING</t>
  </si>
  <si>
    <t>ALFALFA</t>
  </si>
  <si>
    <t>NM-201707-013</t>
  </si>
  <si>
    <t>NM-201707-027</t>
  </si>
  <si>
    <t>NM-201707-028</t>
  </si>
  <si>
    <t>NM-201707-029</t>
  </si>
  <si>
    <t>NM-201707-034</t>
  </si>
  <si>
    <t>NM-201707-056</t>
  </si>
  <si>
    <t>NM-201707-057</t>
  </si>
  <si>
    <t>NM-201707-058</t>
  </si>
  <si>
    <t>NM-201707-060</t>
  </si>
  <si>
    <t>NM-201707-061</t>
  </si>
  <si>
    <t>NM-201707-062</t>
  </si>
  <si>
    <t xml:space="preserve">T260S R380E  </t>
  </si>
  <si>
    <t xml:space="preserve">SEC 021 LOTS 1-4; SEC 021 NW,S2SW    </t>
  </si>
  <si>
    <t>NV-17-003-001</t>
  </si>
  <si>
    <t>NV-17-003-002</t>
  </si>
  <si>
    <t>WYW-1708-053</t>
  </si>
  <si>
    <t>WYW-1708-054</t>
  </si>
  <si>
    <t>WYW-1708-057</t>
  </si>
  <si>
    <t>WYW-1708-058</t>
  </si>
  <si>
    <t>WYW-1708-059</t>
  </si>
  <si>
    <t>WYW-1708-068</t>
  </si>
  <si>
    <t>WYW-1708-070</t>
  </si>
  <si>
    <t>WYW187277</t>
  </si>
  <si>
    <t>400N</t>
  </si>
  <si>
    <t>650W</t>
  </si>
  <si>
    <t xml:space="preserve">MERIDIAN 6TH T400N R650W </t>
  </si>
  <si>
    <t>SEC 05 SENE, SENW; SEC 09 E2;</t>
  </si>
  <si>
    <t>WY-183Q-011</t>
  </si>
  <si>
    <t xml:space="preserve">Doc # 126039; Book: MISC; Pg-3025 (3); </t>
  </si>
  <si>
    <t>Doc # 519074; Pages # 6;</t>
  </si>
  <si>
    <t>Doc# 150896; Pages #4;</t>
  </si>
  <si>
    <t>Doc# 206648; Pages # 4;</t>
  </si>
  <si>
    <t>Doc # 422612; Pages #1-4;</t>
  </si>
  <si>
    <t>Doc# 468167; Pages# 3;</t>
  </si>
  <si>
    <t>Doc # 188872; Book # M58 O&amp;G; Page # 2391 (3)</t>
  </si>
  <si>
    <t>Doc #287579; Book # 470; Page #650 (4);</t>
  </si>
  <si>
    <t>Doc #139030; Book # 105; Page # 540 (3);</t>
  </si>
  <si>
    <t>Doc # 604593; Book # E441; Page # 972 (3);</t>
  </si>
  <si>
    <t>Doc #378582; Book # 65 O&amp;G; Page # 386 (3);</t>
  </si>
  <si>
    <t>MSES059468</t>
  </si>
  <si>
    <t>MSES059469</t>
  </si>
  <si>
    <t>MSES059470</t>
  </si>
  <si>
    <t>MSES059473</t>
  </si>
  <si>
    <t>MSES059474</t>
  </si>
  <si>
    <t>MSES059476</t>
  </si>
  <si>
    <t>MSES059477</t>
  </si>
  <si>
    <t>LAES059462</t>
  </si>
  <si>
    <t>OHES059483</t>
  </si>
  <si>
    <t>60N</t>
  </si>
  <si>
    <t>WASHINGTON MERIDIAN</t>
  </si>
  <si>
    <t>40E</t>
  </si>
  <si>
    <t>CHOCTAW MERIDIAN</t>
  </si>
  <si>
    <t>30N</t>
  </si>
  <si>
    <t>OHIO RIVER SURVEY</t>
  </si>
  <si>
    <t>LOUISIANA MERIDIAN</t>
  </si>
  <si>
    <t>ES-008 09/2019-0375</t>
  </si>
  <si>
    <t>ES-009 09/2019-0348</t>
  </si>
  <si>
    <t>SEC 018 S2SE; SEC 019 E2, E2NW, E2SW;</t>
  </si>
  <si>
    <t>ES-010 09/2019-0369</t>
  </si>
  <si>
    <t>ES-013 09/2019-0373</t>
  </si>
  <si>
    <t>SEC 045 SWSENW, E2SW, SWSW;</t>
  </si>
  <si>
    <t>SEC 010 W2SW, SESW;</t>
  </si>
  <si>
    <t>SEC 047 S2SWSESE, S2SESESE;</t>
  </si>
  <si>
    <t>ES-014 09/2019-0366</t>
  </si>
  <si>
    <t>SEC 030 SENE, NESE;</t>
  </si>
  <si>
    <t>ES-016 09/2019-0302</t>
  </si>
  <si>
    <t>SEC 022 SWSW, SWSE;</t>
  </si>
  <si>
    <t>ES-017 09/2019-0303</t>
  </si>
  <si>
    <t>SEC 029 W2SW;</t>
  </si>
  <si>
    <t>SEC 004 Pt. NESE and Pt. SENE;</t>
  </si>
  <si>
    <t>ES-023 09/2019-0286</t>
  </si>
  <si>
    <t>ES-002 09/2019-1947</t>
  </si>
  <si>
    <t>SEC 006 NWSW;</t>
  </si>
  <si>
    <t>NMNM139851</t>
  </si>
  <si>
    <t>NMNM139870</t>
  </si>
  <si>
    <t>NMNM139871</t>
  </si>
  <si>
    <t>NMNM139875</t>
  </si>
  <si>
    <t>NMNM139876</t>
  </si>
  <si>
    <t>NMNM139877</t>
  </si>
  <si>
    <t>NMNM139878</t>
  </si>
  <si>
    <t>NMNM139879</t>
  </si>
  <si>
    <t>NM-201903-009</t>
  </si>
  <si>
    <t>NM-201903-037</t>
  </si>
  <si>
    <t>NM-201903-038</t>
  </si>
  <si>
    <t>NM-201903-042</t>
  </si>
  <si>
    <t>NM-201903-043</t>
  </si>
  <si>
    <t>NM-201903-044</t>
  </si>
  <si>
    <t>NM-201903-045</t>
  </si>
  <si>
    <t>NM-201903-046</t>
  </si>
  <si>
    <t>SEC 33 SWSE;</t>
  </si>
  <si>
    <t>80W</t>
  </si>
  <si>
    <t>SEC 05 SW;</t>
  </si>
  <si>
    <t>SEC 17 W2;</t>
  </si>
  <si>
    <t>SEC 33 SWNW, SW, SWSE;</t>
  </si>
  <si>
    <t>SEC 07 LOTS 1-12; SEC 07 E2;</t>
  </si>
  <si>
    <t>SEC 18 LOTS 1-12; SEC 18 E2;</t>
  </si>
  <si>
    <t>SEC 27 NE;</t>
  </si>
  <si>
    <t>KSNM140298</t>
  </si>
  <si>
    <t>NMNM140301</t>
  </si>
  <si>
    <t>NMNM140302</t>
  </si>
  <si>
    <t>SEC 04 LOTS 1,2; SEC 04 S2NE;</t>
  </si>
  <si>
    <t>NM-201906-004</t>
  </si>
  <si>
    <t>NM-201906-005</t>
  </si>
  <si>
    <t>NM-201906-001</t>
  </si>
  <si>
    <t>DECATUR</t>
  </si>
  <si>
    <t>SEC 033 NE, E2NW, E2SE;</t>
  </si>
  <si>
    <t>SEC 09 SW;</t>
  </si>
  <si>
    <t>SEC 06 LOTS 1-14; SEC 06 S2NE, SE;</t>
  </si>
  <si>
    <t>Doc # 157206; Book # 449; Page # 75;</t>
  </si>
  <si>
    <t>Doc # 157207; Book # 449; Page # 85;</t>
  </si>
  <si>
    <t>Doc # 157208; Book # 449; Page # 95;</t>
  </si>
  <si>
    <t>Doc # 157209; Book # 449; Page # 103;</t>
  </si>
  <si>
    <t>Doc # 157210; Book # 449; Page # 111;</t>
  </si>
  <si>
    <t>Doc # 157202; Book # 449; Page # 35;</t>
  </si>
  <si>
    <t>Doc # 157203; Book # 449; Page # 45;</t>
  </si>
  <si>
    <t>Doc # 157203; Book # 449; Page # 55;</t>
  </si>
  <si>
    <t>Doc # 157205; Book # 449; Page # 65;</t>
  </si>
  <si>
    <t>Doc # 100868; Pages # 4;</t>
  </si>
  <si>
    <t>Doc # 366141; Book # 111 O&amp;G; Page # 453 (3);</t>
  </si>
  <si>
    <t>Doc # 287602; Book# 470; Page # 686;</t>
  </si>
  <si>
    <t>“LEASE CANCELLED – RENTAL NOT PAID AS PER ACA’S DIRECTIVE”</t>
  </si>
  <si>
    <r>
      <rPr>
        <b/>
        <sz val="11"/>
        <color theme="1"/>
        <rFont val="Cambria"/>
        <family val="1"/>
        <scheme val="major"/>
      </rPr>
      <t xml:space="preserve">J: </t>
    </r>
    <r>
      <rPr>
        <sz val="10"/>
        <color theme="1"/>
        <rFont val="Cambria"/>
        <family val="1"/>
        <scheme val="major"/>
      </rPr>
      <t xml:space="preserve">Doc # 183498; Book # 386; Pages # 724-726; </t>
    </r>
    <r>
      <rPr>
        <b/>
        <sz val="12"/>
        <color theme="1"/>
        <rFont val="Cambria"/>
        <family val="1"/>
        <scheme val="major"/>
      </rPr>
      <t>N:</t>
    </r>
    <r>
      <rPr>
        <sz val="10"/>
        <color theme="1"/>
        <rFont val="Cambria"/>
        <family val="1"/>
        <scheme val="major"/>
      </rPr>
      <t xml:space="preserve"> Doc # 1070691; Pages # 3;</t>
    </r>
  </si>
  <si>
    <t>LEASE NOT ISSUED/Soon to be Issued</t>
  </si>
  <si>
    <t>Lease not Issued</t>
  </si>
  <si>
    <t>UT-0517-001</t>
  </si>
  <si>
    <t>UT-0517-002</t>
  </si>
  <si>
    <t>UT-0517-003</t>
  </si>
  <si>
    <t>UT-0517-004</t>
  </si>
  <si>
    <t>UT-0517-005</t>
  </si>
  <si>
    <t>UT-0517-006</t>
  </si>
  <si>
    <t>Doc # 224707; Book # 159; Page # 663;</t>
  </si>
  <si>
    <t>Doc # 164727; Book # 470; Page #179;</t>
  </si>
  <si>
    <t>Doc # 124935; Book #318; Page # 515;</t>
  </si>
  <si>
    <t>Book # Lease-40; Page # 603-605</t>
  </si>
  <si>
    <t>Doc # 1655729; Book # 2128; Page # 126;</t>
  </si>
  <si>
    <t>Doc # 00411892; Book # 0757; Pages # 1144 (3);</t>
  </si>
  <si>
    <t xml:space="preserve">T5N R9E MERIDIAN CHOCTAW SEC 12 NE NENW SWNW W2SW N2SE SESE    </t>
  </si>
  <si>
    <t>Instrument # 19-0570; Book # 144 O&amp;G; Page # 377-379;</t>
  </si>
  <si>
    <t>Doc # 67752; Book # 0212; Page #44-50;</t>
  </si>
  <si>
    <t>Doc # 059088; Book # 206; Page # 374-386/ Asgn. from Petrohunt- Doc # 67752; Book # 0212; Page #44-50;</t>
  </si>
  <si>
    <t>Doc # 059083; Book # 206; Page # 315-325/ Asgn. from Petrohunt- Doc # 67752; Book # 0212; Page #44-50;</t>
  </si>
  <si>
    <t>Doc # 059082; Book # 206; Page # 305-314/ Asgn. from Petrohunt- Doc # 67752; Book # 0212; Page #44-50;</t>
  </si>
  <si>
    <t>Doc # 059080; Book # 206; Page # 285-294/ Asgn. from Petrohunt- Doc # 67752; Book # 0212; Page #44-50;</t>
  </si>
  <si>
    <t>Doc # 059073; Book # 206; Page # 189-201/ Asgn. from Petrohunt- Doc # 67752; Book # 0212; Page #44-50;</t>
  </si>
  <si>
    <t>Doc # 059074; Book # 206; Page # 202-213/ Asgn. from Petrohunt- Doc # 67752; Book # 0212; Page #44-50;</t>
  </si>
  <si>
    <t>Doc # 059078; Book # 206; Page # 258-269/ Asgn. from Petrohunt- Doc # 67752; Book # 0212; Page #44-50;</t>
  </si>
  <si>
    <t xml:space="preserve">Doc # R059304; Book # 188M of Mining; Pages # 383-387; </t>
  </si>
  <si>
    <t xml:space="preserve">Doc # R059302; Book # 188M of Mining; Pages # 380-382; </t>
  </si>
  <si>
    <t>Book # 132; Pages #549-552;</t>
  </si>
  <si>
    <t>Book # 132; Pages # 553-555;</t>
  </si>
  <si>
    <t>Inst # 201903134; Book # 640; Pages # 1041-1043;</t>
  </si>
  <si>
    <t xml:space="preserve">Doc # 236999; Book # 373; Pages #337-340; </t>
  </si>
  <si>
    <t>Instrument # 68236; Book # 0212; Pages # 95-97</t>
  </si>
  <si>
    <t>Instrument # 201900006715; Vol # 398; Pages # 1029-1031;</t>
  </si>
  <si>
    <t xml:space="preserve"> File # 581304; Pages # 6;</t>
  </si>
  <si>
    <t>Webster: File # 581304; Pages # 6;  Bossier:</t>
  </si>
  <si>
    <t>MSES059503</t>
  </si>
  <si>
    <t>MSES059504</t>
  </si>
  <si>
    <t>MSES059505</t>
  </si>
  <si>
    <t>MSES059506</t>
  </si>
  <si>
    <t>MSES059507</t>
  </si>
  <si>
    <t>MSES059508</t>
  </si>
  <si>
    <t>MSES059509</t>
  </si>
  <si>
    <t>MSES059510</t>
  </si>
  <si>
    <t>MSES059511</t>
  </si>
  <si>
    <t>MSES059512</t>
  </si>
  <si>
    <t>MSES059513</t>
  </si>
  <si>
    <t>MSES059514</t>
  </si>
  <si>
    <t>MSES059515</t>
  </si>
  <si>
    <t>MSES059516</t>
  </si>
  <si>
    <t>MSES059517</t>
  </si>
  <si>
    <t>MSES059518</t>
  </si>
  <si>
    <t>MSES059519</t>
  </si>
  <si>
    <t>OHES059522</t>
  </si>
  <si>
    <t>ST. STEPHENS MER – 25 PM</t>
  </si>
  <si>
    <t>WASHINGTON MER - 32 PM</t>
  </si>
  <si>
    <t>OHIO RIVER SURVEY - 35 PM</t>
  </si>
  <si>
    <t xml:space="preserve">
Section: 008 E2NW, SE.
Section: 009 NWSW.</t>
  </si>
  <si>
    <t xml:space="preserve">
Section: 009 NESW.</t>
  </si>
  <si>
    <t xml:space="preserve">
Section: 014 N2S2;
Section: 014 N2.</t>
  </si>
  <si>
    <t xml:space="preserve">
Section: 011 ALL SUBDIVISIONS.</t>
  </si>
  <si>
    <t xml:space="preserve">
Section: 033 W2NE and E2NW.</t>
  </si>
  <si>
    <t xml:space="preserve">
Section: 001 SENE, SE, S2SW, NWSW.</t>
  </si>
  <si>
    <t xml:space="preserve">
Section: 016 NE, E2SE, W2SE, E2SW, NENW, SWNW.</t>
  </si>
  <si>
    <t xml:space="preserve">
Section: 001 NWNW, NESW, SWNE.</t>
  </si>
  <si>
    <t xml:space="preserve">
Section: 012 W2, SE, N2NE, SWNE less 3 ac in SW cor.</t>
  </si>
  <si>
    <t xml:space="preserve">
Section: 013 ALL SUBDIVISIONS.</t>
  </si>
  <si>
    <t xml:space="preserve">
Section: 014 N2, NWNWSW, SWNWSW, NESW, SWSW.</t>
  </si>
  <si>
    <t xml:space="preserve">
Section: 022 ALL SUBDIVISIONS.</t>
  </si>
  <si>
    <t xml:space="preserve">
Section: 023 S2NE, W2, SWSE.</t>
  </si>
  <si>
    <t xml:space="preserve">
Section: 024 N2 Lots 1 &amp; 2, Lots 3 &amp; 4.</t>
  </si>
  <si>
    <t xml:space="preserve">
Section: 027 N2NW.</t>
  </si>
  <si>
    <t xml:space="preserve">
Section: 028 W2, W2SE.</t>
  </si>
  <si>
    <t xml:space="preserve">
Section: 029 N2NE, N ¾ SWNE, SENE, W2NW, E2SE.</t>
  </si>
  <si>
    <t xml:space="preserve">
Section: 016 NWSE and Pt. of NESE as described in Deed Volume 192, Page 434, filed Nov. 26, 1986, in official records of Monroe County, Ohio.</t>
  </si>
  <si>
    <t xml:space="preserve">MS-2019-12-0293 </t>
  </si>
  <si>
    <t>MS-2019-12-0095</t>
  </si>
  <si>
    <t>MS-2019-12-0096</t>
  </si>
  <si>
    <t xml:space="preserve">MS-2019-12-0350 </t>
  </si>
  <si>
    <t>MS-2019-12-0352</t>
  </si>
  <si>
    <t>MS-2019-12-0354</t>
  </si>
  <si>
    <t>MS-2019-12-0355</t>
  </si>
  <si>
    <t>MS-2019-12-0356</t>
  </si>
  <si>
    <t>MS-2019-12-0357</t>
  </si>
  <si>
    <t>MS-2019-12-0358</t>
  </si>
  <si>
    <t>MS-2019-12-0359</t>
  </si>
  <si>
    <t>MS-2019-12-0360</t>
  </si>
  <si>
    <t>MS-2019-12-0361</t>
  </si>
  <si>
    <t>MS-2019-12-0362</t>
  </si>
  <si>
    <t>MS-2019-12-0363</t>
  </si>
  <si>
    <t>MS-2019-12-0364</t>
  </si>
  <si>
    <t>OH-2019-12-0291</t>
  </si>
  <si>
    <t>MS-2019-12-0297</t>
  </si>
  <si>
    <t>LEASE NOT ISSUED/ Receipt indicates as OHES instead of MSES</t>
  </si>
  <si>
    <t xml:space="preserve">LEASE NOT ISSUED/ Receipt Not yet received </t>
  </si>
  <si>
    <t>UTU94660</t>
  </si>
  <si>
    <t>SALT LAKE MERIDIAN</t>
  </si>
  <si>
    <t xml:space="preserve">
Sec. 19: Lots 5-7, 9;
Sec. 20: NWNW.</t>
  </si>
  <si>
    <t>UT1219 - 002</t>
  </si>
  <si>
    <t xml:space="preserve">CURRENT AS OF December 12, 2019 ES SALE </t>
  </si>
  <si>
    <t>LEASE REJECTED- TB REFUNDED AS PER THE LETTER RECEIVED ON DEC 17, 2019</t>
  </si>
  <si>
    <t xml:space="preserve">LEASE NOT YET ISSUED </t>
  </si>
  <si>
    <t>Sec. 2, SWNE.</t>
  </si>
  <si>
    <t>Sec. 25, 7.86 acres in SW corner NWNE; 28.71 acres in N2NW, S2NW, N2SW.</t>
  </si>
  <si>
    <t>Sec. 33, W2NE, E2NW, NWNW, W2SW, E2SE.</t>
  </si>
  <si>
    <t>Sec. 1, N2NW, SENW lying N of Rd. 262.</t>
  </si>
  <si>
    <t>ES-007-12/2012</t>
  </si>
  <si>
    <t>ES-005-12/2012</t>
  </si>
  <si>
    <t>ES-003-12/12</t>
  </si>
  <si>
    <t>Sec. 2, E2NE, E2NWNE, E2W2NWNE, S2SWNW, S2N2SWNW.</t>
  </si>
  <si>
    <t>ES-008-12/2012</t>
  </si>
  <si>
    <t xml:space="preserve">Sec.3, All less 9.74 acres lying S of road 262 in SESE. </t>
  </si>
  <si>
    <t>ES-009-12/2012</t>
  </si>
  <si>
    <t>Sec. 9, NESW, NWSE, S2S2.</t>
  </si>
  <si>
    <t>ES-010-12/2012</t>
  </si>
  <si>
    <t>Sec. 15, W2, N2NWSE, S2SE.</t>
  </si>
  <si>
    <t>ES-011-12/2012</t>
  </si>
  <si>
    <t>Sec. 16, All.</t>
  </si>
  <si>
    <t>ES-012-12/2012</t>
  </si>
  <si>
    <t>Sec. 20, E 16 acres in E2NENE; E 10 acres in SENE.</t>
  </si>
  <si>
    <t>ES-013-12/2012</t>
  </si>
  <si>
    <t>Sec. 21, N2NE, NW, NWSW, NESE.</t>
  </si>
  <si>
    <t>ES-014-12/2012</t>
  </si>
  <si>
    <t>Sec. 22, W2NENW, NWNW, S2NW, N2SW, 15.22 acres in SWNE &amp; NWSE.</t>
  </si>
  <si>
    <t>ES-015-12/2012</t>
  </si>
  <si>
    <t>Sec. 24, N2NE less 3.41 acres in S2NENE.</t>
  </si>
  <si>
    <t>ES-016-12/2012</t>
  </si>
  <si>
    <t>ES-017-12/2012</t>
  </si>
  <si>
    <t>Sec. 16, E2, NW, N2SW, SESW.</t>
  </si>
  <si>
    <t>ES-019-12/2012</t>
  </si>
  <si>
    <t>Sec. 17, S2SE.</t>
  </si>
  <si>
    <t>ES-020-12/2012</t>
  </si>
  <si>
    <t>Sec. 26, W2NE, S2NW, N2NWSE, SWNESE, N2SW less 0.16 acres and 5.6 acres S&amp;E of Hwy 263.</t>
  </si>
  <si>
    <t>ES-021-12/2012</t>
  </si>
  <si>
    <t>Sec. 27, S2N2, S2.</t>
  </si>
  <si>
    <t>ES-022-12/2012</t>
  </si>
  <si>
    <t>Instrument # 202000279;  Pages # 3;</t>
  </si>
  <si>
    <t>Instrument #2020000764; Book # 423; Page #764</t>
  </si>
  <si>
    <t>Reception: 2000652; Book # 1132; Page # 0393;</t>
  </si>
  <si>
    <t>Doc # 52062; Book # 2161; Page # 127;</t>
  </si>
  <si>
    <t>Doc # 52067; Book # 2161; Page # 132;</t>
  </si>
  <si>
    <t>Total</t>
  </si>
  <si>
    <t>Bossier</t>
  </si>
  <si>
    <t>Claiborne Parish</t>
  </si>
  <si>
    <t>(blank)</t>
  </si>
  <si>
    <t>Exp Year</t>
  </si>
  <si>
    <t>2020</t>
  </si>
  <si>
    <t>2021</t>
  </si>
  <si>
    <t>2022</t>
  </si>
  <si>
    <t>2023</t>
  </si>
  <si>
    <t>Covington, AL - Ventex and Fletcher active drilling new wells in smackover in 2016-2019 few miles west of lease expiring in 2024.  acreage exp in 2022 no new wells or permits</t>
  </si>
  <si>
    <t>Escambia, AL - No new wells or permits near our acreage</t>
  </si>
  <si>
    <t>Pope - no new wells or permits near our acreage</t>
  </si>
  <si>
    <t>KY: No activity near our leases</t>
  </si>
  <si>
    <t>Amite: All permits are south of our acreage by 6+ miles</t>
  </si>
  <si>
    <t>Wayne: 160 acre lease exp 6-2020 has 3 Tellus Operating wells within 1.5 mile radius.  Wells were spudded in 2017/2018 - best well has made 71 mbbl at 5500'. all other new permits and new wells are NE of our acreage expriing in 2021 and 2022</t>
  </si>
  <si>
    <t>Quay - Acreage Let go</t>
  </si>
  <si>
    <t>Grenada - acreage let go</t>
  </si>
  <si>
    <t>Slope: No new wells or permit activity</t>
  </si>
  <si>
    <t>Dawson, MT - No new wells or permit activity</t>
  </si>
  <si>
    <t>Prarie, MT - No new wells or permit activity</t>
  </si>
  <si>
    <t xml:space="preserve">Lawrence - Majority of acreage no activity; 1029 acre lease 4 miles south Enhanced energy partners has 2 shallow well permtis (900').  Approved june and sept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</si>
</sst>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_(* #,##0.000_);_(* \(#,##0.000\);_(* &quot;-&quot;???_);_(@_)"/>
    <numFmt numFmtId="165" formatCode="m/d"/>
    <numFmt numFmtId="166" formatCode="0.000"/>
    <numFmt numFmtId="167" formatCode="0.0%"/>
    <numFmt numFmtId="168" formatCode="0.00_);\(0.00\)"/>
    <numFmt numFmtId="169" formatCode="m/d/yy;@"/>
    <numFmt numFmtId="170" formatCode="&quot;$&quot;#,##0.00"/>
  </numFmts>
  <fonts count="53" x14ac:knownFonts="1">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0"/>
      <color rgb="FF000000"/>
      <name val="Times New Roman"/>
      <family val="1"/>
    </font>
    <font>
      <b/>
      <sz val="10"/>
      <name val="Cambria"/>
      <family val="1"/>
      <scheme val="major"/>
    </font>
    <font>
      <sz val="10"/>
      <name val="Cambria"/>
      <family val="1"/>
      <scheme val="major"/>
    </font>
    <font>
      <b/>
      <u/>
      <sz val="10"/>
      <name val="Cambria"/>
      <family val="1"/>
      <scheme val="major"/>
    </font>
    <font>
      <b/>
      <sz val="9"/>
      <name val="Cambria"/>
      <family val="1"/>
      <scheme val="major"/>
    </font>
    <font>
      <u/>
      <sz val="10"/>
      <name val="Cambria"/>
      <family val="1"/>
      <scheme val="major"/>
    </font>
    <font>
      <sz val="9"/>
      <name val="Cambria"/>
      <family val="1"/>
      <scheme val="major"/>
    </font>
    <font>
      <i/>
      <sz val="10"/>
      <name val="Cambria"/>
      <family val="1"/>
      <scheme val="major"/>
    </font>
    <font>
      <sz val="10"/>
      <color theme="1"/>
      <name val="Cambria"/>
      <family val="1"/>
      <scheme val="major"/>
    </font>
    <font>
      <sz val="10"/>
      <color theme="0"/>
      <name val="Cambria"/>
      <family val="1"/>
      <scheme val="major"/>
    </font>
    <font>
      <b/>
      <sz val="10"/>
      <color theme="1"/>
      <name val="Cambria"/>
      <family val="1"/>
      <scheme val="major"/>
    </font>
    <font>
      <i/>
      <sz val="10"/>
      <color theme="1"/>
      <name val="Cambria"/>
      <family val="1"/>
      <scheme val="major"/>
    </font>
    <font>
      <b/>
      <u/>
      <sz val="10"/>
      <color theme="1"/>
      <name val="Cambria"/>
      <family val="1"/>
      <scheme val="major"/>
    </font>
    <font>
      <b/>
      <sz val="10"/>
      <color theme="0"/>
      <name val="Cambria"/>
      <family val="1"/>
      <scheme val="major"/>
    </font>
    <font>
      <b/>
      <u/>
      <sz val="10"/>
      <color theme="0"/>
      <name val="Cambria"/>
      <family val="1"/>
      <scheme val="major"/>
    </font>
    <font>
      <i/>
      <sz val="10"/>
      <color theme="0"/>
      <name val="Cambria"/>
      <family val="1"/>
      <scheme val="major"/>
    </font>
    <font>
      <b/>
      <i/>
      <u/>
      <sz val="10"/>
      <color theme="0"/>
      <name val="Cambria"/>
      <family val="1"/>
      <scheme val="major"/>
    </font>
    <font>
      <b/>
      <i/>
      <sz val="10"/>
      <name val="Cambria"/>
      <family val="1"/>
      <scheme val="major"/>
    </font>
    <font>
      <sz val="10"/>
      <color rgb="FFFF0000"/>
      <name val="Cambria"/>
      <family val="1"/>
      <scheme val="major"/>
    </font>
    <font>
      <b/>
      <i/>
      <sz val="10"/>
      <color theme="1"/>
      <name val="Cambria"/>
      <family val="1"/>
      <scheme val="major"/>
    </font>
    <font>
      <b/>
      <sz val="11"/>
      <color theme="1"/>
      <name val="Calibri"/>
      <family val="2"/>
      <scheme val="minor"/>
    </font>
    <font>
      <sz val="11"/>
      <color theme="1" tint="4.9989318521683403E-2"/>
      <name val="Calibri"/>
      <family val="2"/>
      <scheme val="minor"/>
    </font>
    <font>
      <sz val="11"/>
      <color theme="1"/>
      <name val="Cambria"/>
      <family val="1"/>
      <scheme val="major"/>
    </font>
    <font>
      <b/>
      <u/>
      <sz val="11"/>
      <name val="Cambria"/>
      <family val="1"/>
      <scheme val="major"/>
    </font>
    <font>
      <i/>
      <sz val="9"/>
      <color theme="1"/>
      <name val="Cambria"/>
      <family val="1"/>
      <scheme val="major"/>
    </font>
    <font>
      <i/>
      <sz val="9"/>
      <name val="Cambria"/>
      <family val="1"/>
      <scheme val="major"/>
    </font>
    <font>
      <sz val="9"/>
      <color theme="1"/>
      <name val="Calibri"/>
      <family val="2"/>
      <scheme val="minor"/>
    </font>
    <font>
      <sz val="10"/>
      <color theme="1"/>
      <name val="Calibri"/>
      <family val="2"/>
      <scheme val="minor"/>
    </font>
    <font>
      <b/>
      <u/>
      <sz val="14"/>
      <color theme="0"/>
      <name val="Cambria"/>
      <family val="1"/>
      <scheme val="major"/>
    </font>
    <font>
      <b/>
      <u/>
      <sz val="12"/>
      <color theme="0"/>
      <name val="Cambria"/>
      <family val="1"/>
      <scheme val="major"/>
    </font>
    <font>
      <b/>
      <u/>
      <sz val="16"/>
      <color theme="0"/>
      <name val="Cambria"/>
      <family val="1"/>
      <scheme val="major"/>
    </font>
    <font>
      <sz val="11"/>
      <color theme="1"/>
      <name val="Calibri"/>
      <family val="2"/>
    </font>
    <font>
      <b/>
      <i/>
      <sz val="10"/>
      <color theme="1"/>
      <name val="Cambria"/>
      <family val="1"/>
    </font>
    <font>
      <b/>
      <i/>
      <sz val="9"/>
      <color theme="1"/>
      <name val="Cambria"/>
      <family val="1"/>
      <scheme val="major"/>
    </font>
    <font>
      <sz val="10"/>
      <color theme="1"/>
      <name val="Cambria"/>
      <family val="1"/>
    </font>
    <font>
      <u/>
      <sz val="10"/>
      <color theme="0"/>
      <name val="Cambria"/>
      <family val="1"/>
      <scheme val="major"/>
    </font>
    <font>
      <b/>
      <i/>
      <sz val="9"/>
      <name val="Cambria"/>
      <family val="1"/>
      <scheme val="major"/>
    </font>
    <font>
      <sz val="12"/>
      <name val="Calibri"/>
      <family val="2"/>
    </font>
    <font>
      <b/>
      <i/>
      <sz val="11"/>
      <color theme="1"/>
      <name val="Cambria"/>
      <family val="1"/>
      <scheme val="major"/>
    </font>
    <font>
      <sz val="8"/>
      <name val="Calibri"/>
      <family val="2"/>
      <scheme val="minor"/>
    </font>
    <font>
      <b/>
      <sz val="11"/>
      <color theme="1"/>
      <name val="Cambria"/>
      <family val="1"/>
      <scheme val="major"/>
    </font>
    <font>
      <b/>
      <i/>
      <sz val="11"/>
      <name val="Cambria"/>
      <family val="1"/>
      <scheme val="major"/>
    </font>
    <font>
      <b/>
      <i/>
      <sz val="11"/>
      <color theme="1"/>
      <name val="Calibri"/>
      <family val="2"/>
      <scheme val="minor"/>
    </font>
    <font>
      <b/>
      <sz val="12"/>
      <color theme="1"/>
      <name val="Cambria"/>
      <family val="1"/>
      <scheme val="major"/>
    </font>
    <font>
      <sz val="10"/>
      <color rgb="FF333333"/>
      <name val="Cambria"/>
      <family val="1"/>
      <scheme val="major"/>
    </font>
    <font>
      <sz val="10"/>
      <color rgb="FF333333"/>
      <name val="Cambria"/>
      <family val="1"/>
    </font>
    <font>
      <sz val="11"/>
      <name val="Calibri"/>
      <family val="2"/>
      <scheme val="minor"/>
    </font>
    <font>
      <b/>
      <u/>
      <sz val="11"/>
      <color theme="1"/>
      <name val="Calibri"/>
      <family val="2"/>
      <scheme val="minor"/>
    </font>
  </fonts>
  <fills count="1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8" tint="0.59999389629810485"/>
        <bgColor indexed="64"/>
      </patternFill>
    </fill>
    <fill>
      <patternFill patternType="solid">
        <fgColor theme="9" tint="0.39997558519241921"/>
        <bgColor indexed="64"/>
      </patternFill>
    </fill>
  </fills>
  <borders count="18">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bottom/>
      <diagonal/>
    </border>
    <border>
      <left style="thin">
        <color indexed="64"/>
      </left>
      <right/>
      <top/>
      <bottom/>
      <diagonal/>
    </border>
    <border>
      <left/>
      <right/>
      <top style="thin">
        <color theme="4" tint="0.39997558519241921"/>
      </top>
      <bottom/>
      <diagonal/>
    </border>
    <border>
      <left/>
      <right/>
      <top style="thin">
        <color indexed="64"/>
      </top>
      <bottom/>
      <diagonal/>
    </border>
    <border>
      <left/>
      <right/>
      <top style="double">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bottom style="thin">
        <color theme="0"/>
      </bottom>
      <diagonal/>
    </border>
    <border>
      <left/>
      <right/>
      <top/>
      <bottom style="thin">
        <color theme="0"/>
      </bottom>
      <diagonal/>
    </border>
  </borders>
  <cellStyleXfs count="61">
    <xf numFmtId="0" fontId="0" fillId="0" borderId="0"/>
    <xf numFmtId="0" fontId="2" fillId="0" borderId="0"/>
    <xf numFmtId="44" fontId="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0" borderId="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3" fontId="1" fillId="0" borderId="0" applyFont="0" applyFill="0" applyBorder="0" applyAlignment="0" applyProtection="0"/>
  </cellStyleXfs>
  <cellXfs count="464">
    <xf numFmtId="0" fontId="0" fillId="0" borderId="0" xfId="0"/>
    <xf numFmtId="9" fontId="7" fillId="0" borderId="0" xfId="1" applyNumberFormat="1" applyFont="1" applyAlignment="1">
      <alignment horizontal="center"/>
    </xf>
    <xf numFmtId="14" fontId="7" fillId="0" borderId="0" xfId="1" applyNumberFormat="1" applyFont="1" applyAlignment="1">
      <alignment horizontal="center"/>
    </xf>
    <xf numFmtId="43" fontId="7" fillId="0" borderId="0" xfId="1" applyNumberFormat="1" applyFont="1"/>
    <xf numFmtId="14" fontId="7" fillId="0" borderId="0" xfId="1" applyNumberFormat="1" applyFont="1"/>
    <xf numFmtId="165" fontId="7" fillId="0" borderId="0" xfId="1" applyNumberFormat="1" applyFont="1" applyAlignment="1">
      <alignment horizontal="center"/>
    </xf>
    <xf numFmtId="164" fontId="7" fillId="0" borderId="0" xfId="1" applyNumberFormat="1" applyFont="1"/>
    <xf numFmtId="0" fontId="7" fillId="0" borderId="0" xfId="1" applyFont="1"/>
    <xf numFmtId="0" fontId="7" fillId="0" borderId="0" xfId="1" applyFont="1" applyAlignment="1">
      <alignment horizontal="center"/>
    </xf>
    <xf numFmtId="0" fontId="7" fillId="0" borderId="0" xfId="1" applyFont="1" applyAlignment="1">
      <alignment horizontal="left"/>
    </xf>
    <xf numFmtId="2" fontId="7" fillId="0" borderId="0" xfId="1" applyNumberFormat="1" applyFont="1"/>
    <xf numFmtId="14" fontId="6" fillId="0" borderId="0" xfId="1" applyNumberFormat="1" applyFont="1" applyAlignment="1">
      <alignment horizontal="center"/>
    </xf>
    <xf numFmtId="0" fontId="10" fillId="0" borderId="0" xfId="1" applyFont="1" applyAlignment="1">
      <alignment horizontal="center"/>
    </xf>
    <xf numFmtId="43" fontId="7" fillId="0" borderId="0" xfId="1" applyNumberFormat="1" applyFont="1" applyAlignment="1">
      <alignment horizontal="center"/>
    </xf>
    <xf numFmtId="0" fontId="7" fillId="0" borderId="0" xfId="1" quotePrefix="1" applyFont="1"/>
    <xf numFmtId="2" fontId="7" fillId="2" borderId="0" xfId="1" applyNumberFormat="1" applyFont="1" applyFill="1"/>
    <xf numFmtId="43" fontId="7" fillId="2" borderId="0" xfId="1" applyNumberFormat="1" applyFont="1" applyFill="1"/>
    <xf numFmtId="9" fontId="6" fillId="0" borderId="0" xfId="1" applyNumberFormat="1" applyFont="1" applyAlignment="1">
      <alignment horizontal="center"/>
    </xf>
    <xf numFmtId="9" fontId="7" fillId="4" borderId="0" xfId="1" applyNumberFormat="1" applyFont="1" applyFill="1" applyAlignment="1">
      <alignment horizontal="center"/>
    </xf>
    <xf numFmtId="14" fontId="7" fillId="4" borderId="0" xfId="1" applyNumberFormat="1" applyFont="1" applyFill="1"/>
    <xf numFmtId="165" fontId="7" fillId="4" borderId="0" xfId="1" applyNumberFormat="1" applyFont="1" applyFill="1" applyAlignment="1">
      <alignment horizontal="center"/>
    </xf>
    <xf numFmtId="164" fontId="7" fillId="4" borderId="0" xfId="1" applyNumberFormat="1" applyFont="1" applyFill="1"/>
    <xf numFmtId="2" fontId="7" fillId="4" borderId="0" xfId="1" applyNumberFormat="1" applyFont="1" applyFill="1"/>
    <xf numFmtId="43" fontId="7" fillId="4" borderId="0" xfId="1" applyNumberFormat="1" applyFont="1" applyFill="1"/>
    <xf numFmtId="14" fontId="7" fillId="4" borderId="0" xfId="1" applyNumberFormat="1" applyFont="1" applyFill="1" applyAlignment="1">
      <alignment horizontal="center"/>
    </xf>
    <xf numFmtId="0" fontId="7" fillId="4" borderId="0" xfId="1" applyFont="1" applyFill="1"/>
    <xf numFmtId="14" fontId="13" fillId="0" borderId="0" xfId="1" applyNumberFormat="1" applyFont="1" applyAlignment="1">
      <alignment horizontal="center"/>
    </xf>
    <xf numFmtId="166" fontId="7" fillId="0" borderId="0" xfId="1" applyNumberFormat="1" applyFont="1"/>
    <xf numFmtId="167" fontId="7" fillId="0" borderId="0" xfId="1" applyNumberFormat="1" applyFont="1" applyAlignment="1">
      <alignment horizontal="center"/>
    </xf>
    <xf numFmtId="9" fontId="7" fillId="0" borderId="0" xfId="1" applyNumberFormat="1" applyFont="1"/>
    <xf numFmtId="14" fontId="6" fillId="0" borderId="0" xfId="1" applyNumberFormat="1" applyFont="1" applyAlignment="1">
      <alignment horizontal="left"/>
    </xf>
    <xf numFmtId="10" fontId="7" fillId="0" borderId="0" xfId="1" applyNumberFormat="1" applyFont="1" applyAlignment="1">
      <alignment horizontal="center"/>
    </xf>
    <xf numFmtId="0" fontId="7" fillId="0" borderId="0" xfId="1" applyFont="1" applyAlignment="1">
      <alignment wrapText="1"/>
    </xf>
    <xf numFmtId="9" fontId="7" fillId="3" borderId="0" xfId="1" applyNumberFormat="1" applyFont="1" applyFill="1" applyAlignment="1">
      <alignment horizontal="center"/>
    </xf>
    <xf numFmtId="14" fontId="7" fillId="3" borderId="0" xfId="1" applyNumberFormat="1" applyFont="1" applyFill="1"/>
    <xf numFmtId="14" fontId="7" fillId="3" borderId="0" xfId="1" applyNumberFormat="1" applyFont="1" applyFill="1" applyAlignment="1">
      <alignment horizontal="center"/>
    </xf>
    <xf numFmtId="0" fontId="7" fillId="3" borderId="0" xfId="1" applyFont="1" applyFill="1"/>
    <xf numFmtId="43" fontId="7" fillId="3" borderId="0" xfId="1" applyNumberFormat="1" applyFont="1" applyFill="1"/>
    <xf numFmtId="0" fontId="7" fillId="3" borderId="0" xfId="1" applyFont="1" applyFill="1" applyAlignment="1">
      <alignment horizontal="left"/>
    </xf>
    <xf numFmtId="165" fontId="7" fillId="3" borderId="0" xfId="1" applyNumberFormat="1" applyFont="1" applyFill="1" applyAlignment="1">
      <alignment horizontal="center"/>
    </xf>
    <xf numFmtId="164" fontId="7" fillId="3" borderId="0" xfId="1" applyNumberFormat="1" applyFont="1" applyFill="1"/>
    <xf numFmtId="2" fontId="7" fillId="3" borderId="0" xfId="1" applyNumberFormat="1" applyFont="1" applyFill="1"/>
    <xf numFmtId="14" fontId="7" fillId="3" borderId="0" xfId="1" applyNumberFormat="1" applyFont="1" applyFill="1" applyAlignment="1">
      <alignment horizontal="left"/>
    </xf>
    <xf numFmtId="43" fontId="7" fillId="3" borderId="0" xfId="1" applyNumberFormat="1" applyFont="1" applyFill="1" applyAlignment="1">
      <alignment horizontal="left"/>
    </xf>
    <xf numFmtId="9" fontId="7" fillId="2" borderId="0" xfId="1" applyNumberFormat="1" applyFont="1" applyFill="1" applyAlignment="1">
      <alignment horizontal="center"/>
    </xf>
    <xf numFmtId="14" fontId="7" fillId="2" borderId="0" xfId="1" applyNumberFormat="1" applyFont="1" applyFill="1"/>
    <xf numFmtId="14" fontId="7" fillId="2" borderId="0" xfId="1" applyNumberFormat="1" applyFont="1" applyFill="1" applyAlignment="1">
      <alignment horizontal="center"/>
    </xf>
    <xf numFmtId="0" fontId="7" fillId="2" borderId="0" xfId="1" applyFont="1" applyFill="1"/>
    <xf numFmtId="165" fontId="7" fillId="2" borderId="0" xfId="1" applyNumberFormat="1" applyFont="1" applyFill="1" applyAlignment="1">
      <alignment horizontal="center"/>
    </xf>
    <xf numFmtId="164" fontId="7" fillId="2" borderId="0" xfId="1" applyNumberFormat="1" applyFont="1" applyFill="1"/>
    <xf numFmtId="14" fontId="7" fillId="2" borderId="0" xfId="1" applyNumberFormat="1" applyFont="1" applyFill="1" applyAlignment="1">
      <alignment horizontal="left"/>
    </xf>
    <xf numFmtId="10" fontId="7" fillId="3" borderId="0" xfId="1" applyNumberFormat="1" applyFont="1" applyFill="1" applyAlignment="1">
      <alignment horizontal="center"/>
    </xf>
    <xf numFmtId="9" fontId="7" fillId="5" borderId="0" xfId="1" applyNumberFormat="1" applyFont="1" applyFill="1" applyAlignment="1">
      <alignment horizontal="center"/>
    </xf>
    <xf numFmtId="10" fontId="7" fillId="5" borderId="0" xfId="1" applyNumberFormat="1" applyFont="1" applyFill="1" applyAlignment="1">
      <alignment horizontal="center"/>
    </xf>
    <xf numFmtId="14" fontId="7" fillId="5" borderId="0" xfId="1" applyNumberFormat="1" applyFont="1" applyFill="1"/>
    <xf numFmtId="14" fontId="7" fillId="5" borderId="0" xfId="1" applyNumberFormat="1" applyFont="1" applyFill="1" applyAlignment="1">
      <alignment horizontal="center"/>
    </xf>
    <xf numFmtId="0" fontId="7" fillId="5" borderId="0" xfId="1" applyFont="1" applyFill="1"/>
    <xf numFmtId="43" fontId="7" fillId="5" borderId="0" xfId="1" applyNumberFormat="1" applyFont="1" applyFill="1"/>
    <xf numFmtId="165" fontId="7" fillId="5" borderId="0" xfId="1" applyNumberFormat="1" applyFont="1" applyFill="1" applyAlignment="1">
      <alignment horizontal="center"/>
    </xf>
    <xf numFmtId="2" fontId="7" fillId="5" borderId="0" xfId="1" applyNumberFormat="1" applyFont="1" applyFill="1"/>
    <xf numFmtId="14" fontId="7" fillId="5" borderId="0" xfId="1" applyNumberFormat="1" applyFont="1" applyFill="1" applyAlignment="1">
      <alignment horizontal="left"/>
    </xf>
    <xf numFmtId="168" fontId="7" fillId="4" borderId="0" xfId="1" applyNumberFormat="1" applyFont="1" applyFill="1"/>
    <xf numFmtId="14" fontId="7" fillId="4" borderId="0" xfId="1" applyNumberFormat="1" applyFont="1" applyFill="1" applyAlignment="1">
      <alignment horizontal="left"/>
    </xf>
    <xf numFmtId="10" fontId="7" fillId="4" borderId="0" xfId="1" applyNumberFormat="1" applyFont="1" applyFill="1"/>
    <xf numFmtId="39" fontId="7" fillId="4" borderId="0" xfId="1" applyNumberFormat="1" applyFont="1" applyFill="1"/>
    <xf numFmtId="14" fontId="7" fillId="6" borderId="0" xfId="1" applyNumberFormat="1" applyFont="1" applyFill="1" applyAlignment="1">
      <alignment horizontal="center"/>
    </xf>
    <xf numFmtId="0" fontId="7" fillId="6" borderId="0" xfId="1" applyFont="1" applyFill="1"/>
    <xf numFmtId="43" fontId="7" fillId="6" borderId="0" xfId="1" applyNumberFormat="1" applyFont="1" applyFill="1"/>
    <xf numFmtId="43" fontId="11" fillId="6" borderId="0" xfId="1" applyNumberFormat="1" applyFont="1" applyFill="1"/>
    <xf numFmtId="165" fontId="7" fillId="6" borderId="0" xfId="1" applyNumberFormat="1" applyFont="1" applyFill="1" applyAlignment="1">
      <alignment horizontal="center"/>
    </xf>
    <xf numFmtId="164" fontId="7" fillId="6" borderId="0" xfId="1" applyNumberFormat="1" applyFont="1" applyFill="1"/>
    <xf numFmtId="2" fontId="7" fillId="6" borderId="0" xfId="1" applyNumberFormat="1" applyFont="1" applyFill="1"/>
    <xf numFmtId="43" fontId="9" fillId="4" borderId="0" xfId="1" applyNumberFormat="1" applyFont="1" applyFill="1"/>
    <xf numFmtId="2" fontId="7" fillId="0" borderId="0" xfId="21" applyNumberFormat="1" applyFont="1"/>
    <xf numFmtId="44" fontId="7" fillId="0" borderId="0" xfId="1" applyNumberFormat="1" applyFont="1" applyAlignment="1">
      <alignment horizontal="center"/>
    </xf>
    <xf numFmtId="44" fontId="7" fillId="0" borderId="0" xfId="1" applyNumberFormat="1" applyFont="1"/>
    <xf numFmtId="44" fontId="7" fillId="0" borderId="2" xfId="1" applyNumberFormat="1" applyFont="1" applyBorder="1"/>
    <xf numFmtId="10" fontId="7" fillId="0" borderId="0" xfId="1" applyNumberFormat="1" applyFont="1"/>
    <xf numFmtId="166" fontId="7" fillId="0" borderId="0" xfId="1" applyNumberFormat="1" applyFont="1" applyAlignment="1">
      <alignment horizontal="right"/>
    </xf>
    <xf numFmtId="0" fontId="6" fillId="7" borderId="0" xfId="1" applyFont="1" applyFill="1"/>
    <xf numFmtId="2" fontId="7" fillId="0" borderId="0" xfId="1" applyNumberFormat="1" applyFont="1" applyAlignment="1">
      <alignment horizontal="center"/>
    </xf>
    <xf numFmtId="44" fontId="7" fillId="0" borderId="1" xfId="1" applyNumberFormat="1" applyFont="1" applyBorder="1"/>
    <xf numFmtId="44" fontId="7" fillId="0" borderId="3" xfId="1" applyNumberFormat="1" applyFont="1" applyBorder="1"/>
    <xf numFmtId="44" fontId="13" fillId="0" borderId="0" xfId="2" applyFont="1"/>
    <xf numFmtId="44" fontId="13" fillId="0" borderId="1" xfId="2" applyFont="1" applyBorder="1"/>
    <xf numFmtId="44" fontId="7" fillId="0" borderId="0" xfId="1" applyNumberFormat="1" applyFont="1" applyAlignment="1">
      <alignment horizontal="right"/>
    </xf>
    <xf numFmtId="44" fontId="7" fillId="0" borderId="0" xfId="1" applyNumberFormat="1" applyFont="1" applyAlignment="1">
      <alignment horizontal="left"/>
    </xf>
    <xf numFmtId="44" fontId="7" fillId="0" borderId="4" xfId="1" applyNumberFormat="1" applyFont="1" applyBorder="1"/>
    <xf numFmtId="44" fontId="7" fillId="0" borderId="5" xfId="1" applyNumberFormat="1" applyFont="1" applyBorder="1"/>
    <xf numFmtId="44" fontId="13" fillId="0" borderId="0" xfId="1" applyNumberFormat="1" applyFont="1"/>
    <xf numFmtId="0" fontId="14" fillId="8" borderId="0" xfId="1" applyFont="1" applyFill="1" applyAlignment="1">
      <alignment horizontal="center"/>
    </xf>
    <xf numFmtId="14" fontId="15" fillId="0" borderId="0" xfId="1" applyNumberFormat="1" applyFont="1" applyAlignment="1">
      <alignment horizontal="center"/>
    </xf>
    <xf numFmtId="44" fontId="13" fillId="0" borderId="0" xfId="0" applyNumberFormat="1" applyFont="1"/>
    <xf numFmtId="0" fontId="13" fillId="0" borderId="0" xfId="0" applyFont="1"/>
    <xf numFmtId="0" fontId="13" fillId="0" borderId="0" xfId="0" applyFont="1" applyAlignment="1">
      <alignment horizontal="center"/>
    </xf>
    <xf numFmtId="14" fontId="13" fillId="0" borderId="0" xfId="0" applyNumberFormat="1" applyFont="1"/>
    <xf numFmtId="14" fontId="13" fillId="0" borderId="0" xfId="0" applyNumberFormat="1" applyFont="1" applyAlignment="1">
      <alignment horizontal="center"/>
    </xf>
    <xf numFmtId="14" fontId="15" fillId="0" borderId="0" xfId="0" applyNumberFormat="1" applyFont="1" applyAlignment="1">
      <alignment horizontal="center"/>
    </xf>
    <xf numFmtId="0" fontId="13" fillId="0" borderId="0" xfId="0" quotePrefix="1" applyFont="1"/>
    <xf numFmtId="43" fontId="13" fillId="0" borderId="0" xfId="0" applyNumberFormat="1" applyFont="1"/>
    <xf numFmtId="0" fontId="18" fillId="8" borderId="0" xfId="1" applyFont="1" applyFill="1"/>
    <xf numFmtId="0" fontId="21" fillId="8" borderId="0" xfId="1" applyFont="1" applyFill="1"/>
    <xf numFmtId="0" fontId="19" fillId="8" borderId="0" xfId="1" applyFont="1" applyFill="1"/>
    <xf numFmtId="2" fontId="22" fillId="0" borderId="0" xfId="1" applyNumberFormat="1" applyFont="1" applyAlignment="1">
      <alignment horizontal="left" wrapText="1"/>
    </xf>
    <xf numFmtId="43" fontId="6" fillId="0" borderId="0" xfId="1" applyNumberFormat="1" applyFont="1" applyAlignment="1">
      <alignment horizontal="left"/>
    </xf>
    <xf numFmtId="0" fontId="22" fillId="0" borderId="0" xfId="1" applyFont="1" applyAlignment="1">
      <alignment horizontal="left" wrapText="1"/>
    </xf>
    <xf numFmtId="43" fontId="22" fillId="0" borderId="0" xfId="1" applyNumberFormat="1" applyFont="1"/>
    <xf numFmtId="164" fontId="22" fillId="0" borderId="0" xfId="1" applyNumberFormat="1" applyFont="1"/>
    <xf numFmtId="44" fontId="22" fillId="0" borderId="0" xfId="1" applyNumberFormat="1" applyFont="1"/>
    <xf numFmtId="43" fontId="22" fillId="0" borderId="0" xfId="1" applyNumberFormat="1" applyFont="1" applyAlignment="1">
      <alignment horizontal="left" wrapText="1"/>
    </xf>
    <xf numFmtId="14" fontId="22" fillId="0" borderId="0" xfId="1" applyNumberFormat="1" applyFont="1"/>
    <xf numFmtId="14" fontId="22" fillId="0" borderId="0" xfId="1" applyNumberFormat="1" applyFont="1" applyAlignment="1">
      <alignment horizontal="center"/>
    </xf>
    <xf numFmtId="0" fontId="22" fillId="0" borderId="0" xfId="1" applyFont="1"/>
    <xf numFmtId="0" fontId="22" fillId="0" borderId="0" xfId="1" applyFont="1" applyAlignment="1">
      <alignment horizontal="center"/>
    </xf>
    <xf numFmtId="0" fontId="13" fillId="10" borderId="0" xfId="0" applyFont="1" applyFill="1"/>
    <xf numFmtId="0" fontId="22" fillId="0" borderId="0" xfId="1" applyFont="1" applyAlignment="1">
      <alignment wrapText="1"/>
    </xf>
    <xf numFmtId="0" fontId="0" fillId="0" borderId="0" xfId="0" applyAlignment="1">
      <alignment horizontal="center" vertical="center"/>
    </xf>
    <xf numFmtId="0" fontId="0" fillId="0" borderId="0" xfId="0" applyAlignment="1">
      <alignment horizontal="center"/>
    </xf>
    <xf numFmtId="0" fontId="25" fillId="0" borderId="0" xfId="0" applyFont="1" applyAlignment="1">
      <alignment horizontal="center" vertical="center"/>
    </xf>
    <xf numFmtId="0" fontId="25" fillId="0" borderId="0" xfId="0" applyFont="1" applyAlignment="1">
      <alignment horizontal="center"/>
    </xf>
    <xf numFmtId="14" fontId="25" fillId="0" borderId="0" xfId="0" applyNumberFormat="1" applyFont="1" applyAlignment="1">
      <alignment horizontal="center" vertical="center"/>
    </xf>
    <xf numFmtId="14" fontId="25" fillId="0" borderId="0" xfId="0" applyNumberFormat="1" applyFont="1"/>
    <xf numFmtId="0" fontId="25" fillId="0" borderId="0" xfId="0" applyFont="1"/>
    <xf numFmtId="14" fontId="0" fillId="0" borderId="0" xfId="0" applyNumberFormat="1" applyAlignment="1">
      <alignment horizontal="center" vertical="center"/>
    </xf>
    <xf numFmtId="14" fontId="0" fillId="0" borderId="0" xfId="0" applyNumberFormat="1"/>
    <xf numFmtId="0" fontId="26" fillId="0" borderId="0" xfId="0" applyFont="1" applyAlignment="1">
      <alignment horizontal="center" vertical="center"/>
    </xf>
    <xf numFmtId="0" fontId="26" fillId="0" borderId="0" xfId="0" applyFont="1" applyAlignment="1">
      <alignment horizontal="center"/>
    </xf>
    <xf numFmtId="14" fontId="26" fillId="0" borderId="0" xfId="0" applyNumberFormat="1" applyFont="1" applyAlignment="1">
      <alignment horizontal="center" vertical="center"/>
    </xf>
    <xf numFmtId="14" fontId="26" fillId="0" borderId="0" xfId="0" applyNumberFormat="1" applyFont="1"/>
    <xf numFmtId="0" fontId="26" fillId="0" borderId="0" xfId="0" applyFont="1"/>
    <xf numFmtId="0" fontId="0" fillId="0" borderId="0" xfId="0" applyAlignment="1">
      <alignment horizontal="center" vertical="center" wrapText="1"/>
    </xf>
    <xf numFmtId="14" fontId="0" fillId="0" borderId="0" xfId="0" applyNumberFormat="1" applyAlignment="1">
      <alignment vertical="center"/>
    </xf>
    <xf numFmtId="0" fontId="8" fillId="9" borderId="6" xfId="1" applyFont="1" applyFill="1" applyBorder="1" applyAlignment="1">
      <alignment horizontal="center" vertical="center" wrapText="1"/>
    </xf>
    <xf numFmtId="9" fontId="8" fillId="9" borderId="6" xfId="1" applyNumberFormat="1" applyFont="1" applyFill="1" applyBorder="1" applyAlignment="1">
      <alignment horizontal="center" vertical="center" wrapText="1"/>
    </xf>
    <xf numFmtId="44" fontId="8" fillId="9" borderId="6" xfId="1" applyNumberFormat="1" applyFont="1" applyFill="1" applyBorder="1" applyAlignment="1">
      <alignment horizontal="center" vertical="center" wrapText="1"/>
    </xf>
    <xf numFmtId="0" fontId="13" fillId="8" borderId="0" xfId="0" applyFont="1" applyFill="1" applyAlignment="1">
      <alignment horizontal="center"/>
    </xf>
    <xf numFmtId="0" fontId="6" fillId="0" borderId="0" xfId="1" applyFont="1" applyAlignment="1">
      <alignment wrapText="1"/>
    </xf>
    <xf numFmtId="44" fontId="7" fillId="0" borderId="11" xfId="0" applyNumberFormat="1" applyFont="1" applyBorder="1" applyAlignment="1">
      <alignment horizontal="center"/>
    </xf>
    <xf numFmtId="44" fontId="13" fillId="0" borderId="9" xfId="0" applyNumberFormat="1" applyFont="1" applyBorder="1"/>
    <xf numFmtId="44" fontId="6" fillId="0" borderId="10" xfId="0" applyNumberFormat="1" applyFont="1" applyBorder="1" applyAlignment="1">
      <alignment horizontal="center"/>
    </xf>
    <xf numFmtId="44" fontId="17" fillId="0" borderId="11" xfId="0" applyNumberFormat="1" applyFont="1" applyBorder="1" applyAlignment="1">
      <alignment horizontal="center"/>
    </xf>
    <xf numFmtId="44" fontId="8" fillId="0" borderId="11" xfId="0" applyNumberFormat="1" applyFont="1" applyBorder="1" applyAlignment="1">
      <alignment horizontal="center"/>
    </xf>
    <xf numFmtId="44" fontId="13" fillId="0" borderId="11" xfId="0" applyNumberFormat="1" applyFont="1" applyBorder="1" applyAlignment="1">
      <alignment horizontal="center"/>
    </xf>
    <xf numFmtId="0" fontId="15" fillId="0" borderId="0" xfId="0" applyFont="1"/>
    <xf numFmtId="44" fontId="13" fillId="0" borderId="0" xfId="29" applyFont="1"/>
    <xf numFmtId="0" fontId="8" fillId="0" borderId="0" xfId="0" applyFont="1" applyAlignment="1">
      <alignment horizontal="center"/>
    </xf>
    <xf numFmtId="14" fontId="13" fillId="0" borderId="0" xfId="0" applyNumberFormat="1" applyFont="1" applyAlignment="1">
      <alignment horizontal="right"/>
    </xf>
    <xf numFmtId="44" fontId="7" fillId="0" borderId="0" xfId="0" applyNumberFormat="1" applyFont="1" applyAlignment="1">
      <alignment horizontal="center"/>
    </xf>
    <xf numFmtId="44" fontId="13" fillId="0" borderId="0" xfId="0" applyNumberFormat="1" applyFont="1" applyAlignment="1">
      <alignment horizontal="center"/>
    </xf>
    <xf numFmtId="9" fontId="15" fillId="0" borderId="0" xfId="30" applyFont="1" applyAlignment="1">
      <alignment horizontal="center"/>
    </xf>
    <xf numFmtId="0" fontId="17" fillId="0" borderId="0" xfId="0" applyFont="1" applyAlignment="1">
      <alignment horizontal="center"/>
    </xf>
    <xf numFmtId="0" fontId="7" fillId="0" borderId="0" xfId="0" applyFont="1" applyAlignment="1">
      <alignment horizontal="left"/>
    </xf>
    <xf numFmtId="14" fontId="7" fillId="0" borderId="0" xfId="0" applyNumberFormat="1" applyFont="1" applyAlignment="1">
      <alignment horizontal="right"/>
    </xf>
    <xf numFmtId="2" fontId="7" fillId="0" borderId="0" xfId="0" applyNumberFormat="1" applyFont="1" applyAlignment="1">
      <alignment horizontal="right"/>
    </xf>
    <xf numFmtId="2" fontId="8" fillId="0" borderId="0" xfId="0" applyNumberFormat="1" applyFont="1" applyAlignment="1">
      <alignment horizontal="right"/>
    </xf>
    <xf numFmtId="2" fontId="13" fillId="0" borderId="0" xfId="0" applyNumberFormat="1" applyFont="1" applyAlignment="1">
      <alignment horizontal="right"/>
    </xf>
    <xf numFmtId="10" fontId="13" fillId="0" borderId="0" xfId="30" applyNumberFormat="1" applyFont="1" applyAlignment="1">
      <alignment horizontal="center"/>
    </xf>
    <xf numFmtId="44" fontId="15" fillId="0" borderId="2" xfId="0" applyNumberFormat="1" applyFont="1" applyBorder="1"/>
    <xf numFmtId="44" fontId="15" fillId="0" borderId="10" xfId="0" applyNumberFormat="1" applyFont="1" applyBorder="1"/>
    <xf numFmtId="44" fontId="15" fillId="0" borderId="11" xfId="0" applyNumberFormat="1" applyFont="1" applyBorder="1"/>
    <xf numFmtId="44" fontId="13" fillId="0" borderId="11" xfId="0" applyNumberFormat="1" applyFont="1" applyBorder="1"/>
    <xf numFmtId="44" fontId="0" fillId="0" borderId="11" xfId="0" applyNumberFormat="1" applyBorder="1"/>
    <xf numFmtId="0" fontId="30" fillId="0" borderId="0" xfId="0" applyFont="1" applyAlignment="1">
      <alignment horizontal="center" wrapText="1"/>
    </xf>
    <xf numFmtId="0" fontId="0" fillId="0" borderId="0" xfId="0" applyAlignment="1">
      <alignment wrapText="1"/>
    </xf>
    <xf numFmtId="0" fontId="31" fillId="0" borderId="0" xfId="0" applyFont="1" applyAlignment="1">
      <alignment wrapText="1"/>
    </xf>
    <xf numFmtId="0" fontId="8" fillId="0" borderId="0" xfId="0" applyFont="1" applyAlignment="1">
      <alignment horizontal="center" wrapText="1"/>
    </xf>
    <xf numFmtId="0" fontId="13" fillId="0" borderId="0" xfId="0" applyFont="1" applyAlignment="1">
      <alignment wrapText="1"/>
    </xf>
    <xf numFmtId="14" fontId="15" fillId="0" borderId="0" xfId="0" applyNumberFormat="1" applyFont="1"/>
    <xf numFmtId="9" fontId="13" fillId="0" borderId="0" xfId="30" applyFont="1" applyAlignment="1">
      <alignment horizontal="center"/>
    </xf>
    <xf numFmtId="44" fontId="15" fillId="0" borderId="0" xfId="0" applyNumberFormat="1" applyFont="1"/>
    <xf numFmtId="0" fontId="13" fillId="0" borderId="0" xfId="0" applyFont="1" applyAlignment="1">
      <alignment horizontal="right"/>
    </xf>
    <xf numFmtId="169" fontId="13" fillId="0" borderId="0" xfId="0" applyNumberFormat="1" applyFont="1"/>
    <xf numFmtId="2" fontId="15" fillId="0" borderId="0" xfId="0" applyNumberFormat="1" applyFont="1" applyAlignment="1">
      <alignment horizontal="right"/>
    </xf>
    <xf numFmtId="0" fontId="29" fillId="0" borderId="0" xfId="0" applyFont="1" applyAlignment="1">
      <alignment wrapText="1"/>
    </xf>
    <xf numFmtId="10" fontId="7" fillId="0" borderId="0" xfId="57" applyNumberFormat="1" applyFont="1" applyAlignment="1">
      <alignment horizontal="center"/>
    </xf>
    <xf numFmtId="0" fontId="27" fillId="0" borderId="0" xfId="0" applyFont="1" applyAlignment="1">
      <alignment wrapText="1"/>
    </xf>
    <xf numFmtId="2" fontId="27" fillId="0" borderId="0" xfId="0" applyNumberFormat="1" applyFont="1" applyAlignment="1">
      <alignment horizontal="right"/>
    </xf>
    <xf numFmtId="2" fontId="32" fillId="0" borderId="0" xfId="0" applyNumberFormat="1" applyFont="1" applyAlignment="1">
      <alignment horizontal="right"/>
    </xf>
    <xf numFmtId="44" fontId="32" fillId="0" borderId="0" xfId="0" applyNumberFormat="1" applyFont="1"/>
    <xf numFmtId="9" fontId="0" fillId="0" borderId="0" xfId="30" applyFont="1" applyAlignment="1">
      <alignment horizontal="center"/>
    </xf>
    <xf numFmtId="2" fontId="0" fillId="0" borderId="0" xfId="0" applyNumberFormat="1" applyAlignment="1">
      <alignment horizontal="right"/>
    </xf>
    <xf numFmtId="44" fontId="0" fillId="0" borderId="0" xfId="0" applyNumberFormat="1"/>
    <xf numFmtId="44" fontId="13" fillId="0" borderId="1" xfId="0" applyNumberFormat="1" applyFont="1" applyBorder="1"/>
    <xf numFmtId="44" fontId="13" fillId="0" borderId="1" xfId="29" applyFont="1" applyBorder="1"/>
    <xf numFmtId="0" fontId="16" fillId="0" borderId="0" xfId="0" applyFont="1" applyAlignment="1">
      <alignment horizontal="left" wrapText="1"/>
    </xf>
    <xf numFmtId="14" fontId="22" fillId="0" borderId="0" xfId="1" applyNumberFormat="1" applyFont="1" applyAlignment="1">
      <alignment horizontal="left" wrapText="1"/>
    </xf>
    <xf numFmtId="0" fontId="12" fillId="0" borderId="0" xfId="1" applyFont="1" applyAlignment="1">
      <alignment horizontal="left" wrapText="1"/>
    </xf>
    <xf numFmtId="0" fontId="0" fillId="0" borderId="0" xfId="0" applyAlignment="1">
      <alignment horizontal="left"/>
    </xf>
    <xf numFmtId="0" fontId="0" fillId="0" borderId="0" xfId="0" pivotButton="1"/>
    <xf numFmtId="43" fontId="12" fillId="0" borderId="0" xfId="1" applyNumberFormat="1" applyFont="1" applyAlignment="1">
      <alignment horizontal="left" wrapText="1"/>
    </xf>
    <xf numFmtId="3" fontId="0" fillId="0" borderId="0" xfId="0" applyNumberFormat="1"/>
    <xf numFmtId="0" fontId="13" fillId="0" borderId="0" xfId="1" applyFont="1"/>
    <xf numFmtId="0" fontId="24" fillId="0" borderId="0" xfId="0" applyFont="1" applyAlignment="1">
      <alignment horizontal="left" wrapText="1"/>
    </xf>
    <xf numFmtId="44" fontId="8" fillId="0" borderId="0" xfId="0" applyNumberFormat="1" applyFont="1" applyAlignment="1">
      <alignment horizontal="center"/>
    </xf>
    <xf numFmtId="0" fontId="8" fillId="9" borderId="6" xfId="0" applyFont="1" applyFill="1" applyBorder="1" applyAlignment="1">
      <alignment horizontal="center" vertical="center"/>
    </xf>
    <xf numFmtId="0" fontId="14" fillId="8" borderId="0" xfId="1" applyFont="1" applyFill="1" applyAlignment="1">
      <alignment wrapText="1"/>
    </xf>
    <xf numFmtId="0" fontId="21" fillId="8" borderId="0" xfId="1" applyFont="1" applyFill="1" applyAlignment="1">
      <alignment wrapText="1"/>
    </xf>
    <xf numFmtId="0" fontId="13" fillId="8" borderId="0" xfId="1" applyFont="1" applyFill="1" applyAlignment="1">
      <alignment wrapText="1"/>
    </xf>
    <xf numFmtId="0" fontId="19" fillId="8" borderId="13" xfId="1" applyFont="1" applyFill="1" applyBorder="1"/>
    <xf numFmtId="44" fontId="8" fillId="9" borderId="14" xfId="1" applyNumberFormat="1" applyFont="1" applyFill="1" applyBorder="1" applyAlignment="1">
      <alignment horizontal="center" vertical="center" wrapText="1"/>
    </xf>
    <xf numFmtId="44" fontId="7" fillId="0" borderId="13" xfId="1" applyNumberFormat="1" applyFont="1" applyBorder="1"/>
    <xf numFmtId="44" fontId="13" fillId="0" borderId="13" xfId="0" applyNumberFormat="1" applyFont="1" applyBorder="1"/>
    <xf numFmtId="44" fontId="22" fillId="0" borderId="13" xfId="1" applyNumberFormat="1" applyFont="1" applyBorder="1"/>
    <xf numFmtId="44" fontId="13" fillId="0" borderId="13" xfId="1" applyNumberFormat="1" applyFont="1" applyBorder="1"/>
    <xf numFmtId="44" fontId="7" fillId="0" borderId="13" xfId="2" applyFont="1" applyBorder="1"/>
    <xf numFmtId="44" fontId="7" fillId="0" borderId="13" xfId="7" applyFont="1" applyBorder="1"/>
    <xf numFmtId="44" fontId="7" fillId="0" borderId="13" xfId="0" applyNumberFormat="1" applyFont="1" applyBorder="1" applyAlignment="1">
      <alignment horizontal="center"/>
    </xf>
    <xf numFmtId="44" fontId="27" fillId="0" borderId="13" xfId="0" applyNumberFormat="1" applyFont="1" applyBorder="1"/>
    <xf numFmtId="8" fontId="13" fillId="0" borderId="13" xfId="0" applyNumberFormat="1" applyFont="1" applyBorder="1"/>
    <xf numFmtId="44" fontId="12" fillId="0" borderId="0" xfId="1" applyNumberFormat="1" applyFont="1"/>
    <xf numFmtId="0" fontId="8" fillId="9" borderId="14" xfId="1" applyFont="1" applyFill="1" applyBorder="1" applyAlignment="1">
      <alignment horizontal="center" vertical="center" wrapText="1"/>
    </xf>
    <xf numFmtId="44" fontId="10" fillId="0" borderId="13" xfId="1" applyNumberFormat="1" applyFont="1" applyBorder="1" applyAlignment="1">
      <alignment horizontal="center"/>
    </xf>
    <xf numFmtId="44" fontId="8" fillId="0" borderId="13" xfId="0" applyNumberFormat="1" applyFont="1" applyBorder="1" applyAlignment="1">
      <alignment horizontal="center"/>
    </xf>
    <xf numFmtId="44" fontId="15" fillId="0" borderId="13" xfId="0" applyNumberFormat="1" applyFont="1" applyBorder="1"/>
    <xf numFmtId="44" fontId="32" fillId="0" borderId="13" xfId="0" applyNumberFormat="1" applyFont="1" applyBorder="1"/>
    <xf numFmtId="44" fontId="0" fillId="0" borderId="13" xfId="0" applyNumberFormat="1" applyBorder="1"/>
    <xf numFmtId="0" fontId="18" fillId="8" borderId="13" xfId="1" applyFont="1" applyFill="1" applyBorder="1"/>
    <xf numFmtId="0" fontId="21" fillId="8" borderId="13" xfId="1" applyFont="1" applyFill="1" applyBorder="1"/>
    <xf numFmtId="9" fontId="8" fillId="9" borderId="14" xfId="1" applyNumberFormat="1" applyFont="1" applyFill="1" applyBorder="1" applyAlignment="1">
      <alignment horizontal="center" vertical="center" wrapText="1"/>
    </xf>
    <xf numFmtId="9" fontId="7" fillId="0" borderId="13" xfId="1" applyNumberFormat="1" applyFont="1" applyBorder="1" applyAlignment="1">
      <alignment horizontal="center"/>
    </xf>
    <xf numFmtId="9" fontId="6" fillId="0" borderId="13" xfId="1" applyNumberFormat="1" applyFont="1" applyBorder="1" applyAlignment="1">
      <alignment horizontal="center"/>
    </xf>
    <xf numFmtId="0" fontId="7" fillId="0" borderId="13" xfId="1" applyFont="1" applyBorder="1"/>
    <xf numFmtId="167" fontId="7" fillId="0" borderId="13" xfId="1" applyNumberFormat="1" applyFont="1" applyBorder="1" applyAlignment="1">
      <alignment horizontal="center"/>
    </xf>
    <xf numFmtId="10" fontId="7" fillId="0" borderId="13" xfId="1" applyNumberFormat="1" applyFont="1" applyBorder="1" applyAlignment="1">
      <alignment horizontal="center"/>
    </xf>
    <xf numFmtId="44" fontId="7" fillId="0" borderId="13" xfId="1" applyNumberFormat="1" applyFont="1" applyBorder="1" applyAlignment="1">
      <alignment horizontal="center"/>
    </xf>
    <xf numFmtId="10" fontId="7" fillId="0" borderId="13" xfId="1" applyNumberFormat="1" applyFont="1" applyBorder="1"/>
    <xf numFmtId="0" fontId="13" fillId="0" borderId="13" xfId="0" applyFont="1" applyBorder="1"/>
    <xf numFmtId="10" fontId="13" fillId="0" borderId="13" xfId="30" applyNumberFormat="1" applyFont="1" applyBorder="1"/>
    <xf numFmtId="9" fontId="15" fillId="0" borderId="13" xfId="30" applyFont="1" applyBorder="1" applyAlignment="1">
      <alignment horizontal="center"/>
    </xf>
    <xf numFmtId="9" fontId="13" fillId="0" borderId="13" xfId="30" applyFont="1" applyBorder="1"/>
    <xf numFmtId="10" fontId="7" fillId="0" borderId="13" xfId="57" applyNumberFormat="1" applyFont="1" applyBorder="1" applyAlignment="1">
      <alignment horizontal="center"/>
    </xf>
    <xf numFmtId="9" fontId="0" fillId="0" borderId="13" xfId="30" applyFont="1" applyBorder="1"/>
    <xf numFmtId="0" fontId="6" fillId="0" borderId="8" xfId="1" applyFont="1" applyBorder="1" applyAlignment="1">
      <alignment horizontal="left"/>
    </xf>
    <xf numFmtId="0" fontId="7" fillId="0" borderId="8" xfId="1" applyFont="1" applyBorder="1" applyAlignment="1">
      <alignment horizontal="left"/>
    </xf>
    <xf numFmtId="0" fontId="13" fillId="0" borderId="8" xfId="0" applyFont="1" applyBorder="1" applyAlignment="1">
      <alignment horizontal="left"/>
    </xf>
    <xf numFmtId="43" fontId="7" fillId="0" borderId="8" xfId="1" applyNumberFormat="1" applyFont="1" applyBorder="1" applyAlignment="1">
      <alignment horizontal="left"/>
    </xf>
    <xf numFmtId="49" fontId="7" fillId="0" borderId="8" xfId="1" applyNumberFormat="1" applyFont="1" applyBorder="1" applyAlignment="1">
      <alignment horizontal="left"/>
    </xf>
    <xf numFmtId="0" fontId="22" fillId="0" borderId="8" xfId="1" applyFont="1" applyBorder="1" applyAlignment="1">
      <alignment horizontal="left"/>
    </xf>
    <xf numFmtId="14" fontId="7" fillId="0" borderId="8" xfId="1" applyNumberFormat="1" applyFont="1" applyBorder="1" applyAlignment="1">
      <alignment horizontal="left"/>
    </xf>
    <xf numFmtId="0" fontId="6" fillId="0" borderId="8" xfId="1" applyFont="1" applyBorder="1"/>
    <xf numFmtId="43" fontId="22" fillId="0" borderId="8" xfId="1" applyNumberFormat="1" applyFont="1" applyBorder="1" applyAlignment="1">
      <alignment horizontal="left"/>
    </xf>
    <xf numFmtId="14" fontId="7" fillId="0" borderId="8" xfId="0" applyNumberFormat="1" applyFont="1" applyBorder="1" applyAlignment="1">
      <alignment horizontal="right"/>
    </xf>
    <xf numFmtId="0" fontId="8" fillId="0" borderId="8" xfId="0" applyFont="1" applyBorder="1" applyAlignment="1">
      <alignment horizontal="center"/>
    </xf>
    <xf numFmtId="14" fontId="13" fillId="0" borderId="8" xfId="0" applyNumberFormat="1" applyFont="1" applyBorder="1"/>
    <xf numFmtId="14" fontId="15" fillId="0" borderId="8" xfId="0" applyNumberFormat="1" applyFont="1" applyBorder="1"/>
    <xf numFmtId="0" fontId="13" fillId="0" borderId="8" xfId="0" applyFont="1" applyBorder="1"/>
    <xf numFmtId="169" fontId="13" fillId="0" borderId="8" xfId="0" applyNumberFormat="1" applyFont="1" applyBorder="1"/>
    <xf numFmtId="0" fontId="0" fillId="0" borderId="8" xfId="0" applyBorder="1"/>
    <xf numFmtId="44" fontId="10" fillId="0" borderId="0" xfId="1" applyNumberFormat="1" applyFont="1" applyAlignment="1">
      <alignment horizontal="center"/>
    </xf>
    <xf numFmtId="0" fontId="34" fillId="8" borderId="0" xfId="1" applyFont="1" applyFill="1"/>
    <xf numFmtId="0" fontId="35" fillId="8" borderId="0" xfId="1" applyFont="1" applyFill="1"/>
    <xf numFmtId="0" fontId="13" fillId="8" borderId="0" xfId="0" applyFont="1" applyFill="1"/>
    <xf numFmtId="14" fontId="34" fillId="8" borderId="0" xfId="1" applyNumberFormat="1" applyFont="1" applyFill="1"/>
    <xf numFmtId="0" fontId="13" fillId="11" borderId="0" xfId="0" applyFont="1" applyFill="1"/>
    <xf numFmtId="0" fontId="13" fillId="11" borderId="0" xfId="0" applyFont="1" applyFill="1" applyAlignment="1">
      <alignment horizontal="center"/>
    </xf>
    <xf numFmtId="0" fontId="14" fillId="11" borderId="0" xfId="1" applyFont="1" applyFill="1"/>
    <xf numFmtId="0" fontId="14" fillId="11" borderId="0" xfId="1" applyFont="1" applyFill="1" applyAlignment="1">
      <alignment horizontal="center"/>
    </xf>
    <xf numFmtId="43" fontId="14" fillId="11" borderId="0" xfId="1" applyNumberFormat="1" applyFont="1" applyFill="1"/>
    <xf numFmtId="0" fontId="14" fillId="11" borderId="13" xfId="1" applyFont="1" applyFill="1" applyBorder="1"/>
    <xf numFmtId="44" fontId="14" fillId="11" borderId="0" xfId="1" applyNumberFormat="1" applyFont="1" applyFill="1"/>
    <xf numFmtId="44" fontId="14" fillId="11" borderId="13" xfId="1" applyNumberFormat="1" applyFont="1" applyFill="1" applyBorder="1"/>
    <xf numFmtId="0" fontId="14" fillId="11" borderId="0" xfId="1" applyFont="1" applyFill="1" applyAlignment="1">
      <alignment wrapText="1"/>
    </xf>
    <xf numFmtId="0" fontId="20" fillId="8" borderId="0" xfId="1" applyFont="1" applyFill="1" applyAlignment="1">
      <alignment wrapText="1"/>
    </xf>
    <xf numFmtId="0" fontId="20" fillId="11" borderId="0" xfId="1" applyFont="1" applyFill="1" applyAlignment="1">
      <alignment wrapText="1"/>
    </xf>
    <xf numFmtId="0" fontId="16" fillId="8" borderId="0" xfId="1" applyFont="1" applyFill="1" applyAlignment="1">
      <alignment wrapText="1"/>
    </xf>
    <xf numFmtId="0" fontId="16" fillId="0" borderId="0" xfId="0" applyFont="1" applyAlignment="1">
      <alignment wrapText="1"/>
    </xf>
    <xf numFmtId="1" fontId="22" fillId="0" borderId="0" xfId="1" applyNumberFormat="1" applyFont="1" applyAlignment="1">
      <alignment horizontal="left" wrapText="1"/>
    </xf>
    <xf numFmtId="0" fontId="0" fillId="0" borderId="0" xfId="0" applyAlignment="1">
      <alignment horizontal="left" indent="1"/>
    </xf>
    <xf numFmtId="0" fontId="7" fillId="0" borderId="0" xfId="1" applyFont="1" applyAlignment="1">
      <alignment horizontal="left" wrapText="1"/>
    </xf>
    <xf numFmtId="0" fontId="10" fillId="0" borderId="0" xfId="1" applyFont="1" applyAlignment="1">
      <alignment horizontal="center" wrapText="1"/>
    </xf>
    <xf numFmtId="9" fontId="7" fillId="0" borderId="0" xfId="1" applyNumberFormat="1" applyFont="1" applyAlignment="1">
      <alignment horizontal="center" wrapText="1"/>
    </xf>
    <xf numFmtId="14" fontId="7" fillId="0" borderId="0" xfId="1" applyNumberFormat="1" applyFont="1" applyAlignment="1">
      <alignment horizontal="center" wrapText="1"/>
    </xf>
    <xf numFmtId="43" fontId="7" fillId="0" borderId="0" xfId="1" applyNumberFormat="1" applyFont="1" applyAlignment="1">
      <alignment wrapText="1"/>
    </xf>
    <xf numFmtId="0" fontId="7" fillId="0" borderId="0" xfId="12" applyFont="1" applyAlignment="1" applyProtection="1">
      <alignment wrapText="1"/>
    </xf>
    <xf numFmtId="0" fontId="14" fillId="8" borderId="13" xfId="1" applyFont="1" applyFill="1" applyBorder="1" applyAlignment="1">
      <alignment wrapText="1"/>
    </xf>
    <xf numFmtId="0" fontId="21" fillId="8" borderId="13" xfId="1" applyFont="1" applyFill="1" applyBorder="1" applyAlignment="1">
      <alignment wrapText="1"/>
    </xf>
    <xf numFmtId="0" fontId="14" fillId="11" borderId="13" xfId="1" applyFont="1" applyFill="1" applyBorder="1" applyAlignment="1">
      <alignment wrapText="1"/>
    </xf>
    <xf numFmtId="0" fontId="13" fillId="8" borderId="13" xfId="1" applyFont="1" applyFill="1" applyBorder="1" applyAlignment="1">
      <alignment wrapText="1"/>
    </xf>
    <xf numFmtId="0" fontId="7" fillId="0" borderId="13" xfId="1" applyFont="1" applyBorder="1" applyAlignment="1">
      <alignment wrapText="1"/>
    </xf>
    <xf numFmtId="0" fontId="7" fillId="0" borderId="13" xfId="1" applyFont="1" applyBorder="1" applyAlignment="1">
      <alignment horizontal="center" wrapText="1"/>
    </xf>
    <xf numFmtId="0" fontId="7" fillId="0" borderId="13" xfId="1" quotePrefix="1" applyFont="1" applyBorder="1" applyAlignment="1">
      <alignment wrapText="1"/>
    </xf>
    <xf numFmtId="43" fontId="7" fillId="0" borderId="13" xfId="1" applyNumberFormat="1" applyFont="1" applyBorder="1" applyAlignment="1">
      <alignment wrapText="1"/>
    </xf>
    <xf numFmtId="0" fontId="7" fillId="0" borderId="13" xfId="12" applyFont="1" applyBorder="1" applyAlignment="1" applyProtection="1">
      <alignment wrapText="1"/>
    </xf>
    <xf numFmtId="0" fontId="13" fillId="0" borderId="13" xfId="0" applyFont="1" applyBorder="1" applyAlignment="1">
      <alignment wrapText="1"/>
    </xf>
    <xf numFmtId="0" fontId="0" fillId="12" borderId="15" xfId="0" applyFill="1" applyBorder="1"/>
    <xf numFmtId="0" fontId="0" fillId="0" borderId="15" xfId="0" applyBorder="1"/>
    <xf numFmtId="0" fontId="33" fillId="8" borderId="8" xfId="1" applyFont="1" applyFill="1" applyBorder="1"/>
    <xf numFmtId="1" fontId="7" fillId="0" borderId="0" xfId="1" applyNumberFormat="1" applyFont="1" applyAlignment="1">
      <alignment horizontal="center"/>
    </xf>
    <xf numFmtId="44" fontId="13" fillId="8" borderId="0" xfId="0" applyNumberFormat="1" applyFont="1" applyFill="1"/>
    <xf numFmtId="0" fontId="19" fillId="8" borderId="17" xfId="1" applyFont="1" applyFill="1" applyBorder="1"/>
    <xf numFmtId="0" fontId="16" fillId="8" borderId="0" xfId="0" applyFont="1" applyFill="1" applyAlignment="1">
      <alignment wrapText="1"/>
    </xf>
    <xf numFmtId="44" fontId="13" fillId="8" borderId="13" xfId="0" applyNumberFormat="1" applyFont="1" applyFill="1" applyBorder="1"/>
    <xf numFmtId="0" fontId="13" fillId="8" borderId="13" xfId="0" applyFont="1" applyFill="1" applyBorder="1"/>
    <xf numFmtId="0" fontId="0" fillId="8" borderId="0" xfId="0" applyFill="1"/>
    <xf numFmtId="0" fontId="13" fillId="8" borderId="0" xfId="0" applyFont="1" applyFill="1" applyAlignment="1">
      <alignment wrapText="1"/>
    </xf>
    <xf numFmtId="0" fontId="13" fillId="8" borderId="13" xfId="0" applyFont="1" applyFill="1" applyBorder="1" applyAlignment="1">
      <alignment wrapText="1"/>
    </xf>
    <xf numFmtId="0" fontId="35" fillId="8" borderId="0" xfId="1" applyFont="1" applyFill="1" applyAlignment="1">
      <alignment horizontal="left"/>
    </xf>
    <xf numFmtId="170" fontId="18" fillId="8" borderId="0" xfId="1" applyNumberFormat="1" applyFont="1" applyFill="1" applyAlignment="1">
      <alignment horizontal="center"/>
    </xf>
    <xf numFmtId="44" fontId="14" fillId="8" borderId="0" xfId="0" applyNumberFormat="1" applyFont="1" applyFill="1" applyAlignment="1">
      <alignment horizontal="right"/>
    </xf>
    <xf numFmtId="0" fontId="14" fillId="8" borderId="0" xfId="1" applyFont="1" applyFill="1" applyAlignment="1">
      <alignment horizontal="right"/>
    </xf>
    <xf numFmtId="0" fontId="19" fillId="8" borderId="16" xfId="1" applyFont="1" applyFill="1" applyBorder="1" applyAlignment="1">
      <alignment horizontal="left"/>
    </xf>
    <xf numFmtId="0" fontId="7" fillId="0" borderId="0" xfId="1" applyFont="1" applyAlignment="1">
      <alignment horizontal="center" vertical="center"/>
    </xf>
    <xf numFmtId="0" fontId="7" fillId="0" borderId="0" xfId="1" applyFont="1" applyAlignment="1">
      <alignment horizontal="center" vertical="center" wrapText="1"/>
    </xf>
    <xf numFmtId="0" fontId="13" fillId="8" borderId="0" xfId="0" applyFont="1" applyFill="1" applyAlignment="1">
      <alignment horizontal="center" vertical="center" wrapText="1"/>
    </xf>
    <xf numFmtId="0" fontId="14" fillId="8" borderId="0" xfId="1" applyFont="1" applyFill="1" applyAlignment="1">
      <alignment horizontal="center" vertical="center" wrapText="1"/>
    </xf>
    <xf numFmtId="0" fontId="19" fillId="8" borderId="0" xfId="1" applyFont="1" applyFill="1" applyAlignment="1">
      <alignment horizontal="center" vertical="center" wrapText="1"/>
    </xf>
    <xf numFmtId="0" fontId="14" fillId="11" borderId="0" xfId="1" applyFont="1" applyFill="1" applyAlignment="1">
      <alignment horizontal="center" vertical="center" wrapText="1"/>
    </xf>
    <xf numFmtId="0" fontId="10" fillId="0" borderId="0" xfId="1" applyFont="1" applyAlignment="1">
      <alignment horizontal="center" vertical="center" wrapText="1"/>
    </xf>
    <xf numFmtId="14" fontId="7" fillId="0" borderId="0" xfId="1" applyNumberFormat="1" applyFont="1" applyAlignment="1">
      <alignment horizontal="center" vertical="center" wrapText="1"/>
    </xf>
    <xf numFmtId="9" fontId="7" fillId="0" borderId="0" xfId="1" applyNumberFormat="1" applyFont="1" applyAlignment="1">
      <alignment horizontal="center" vertical="center" wrapText="1"/>
    </xf>
    <xf numFmtId="14" fontId="13" fillId="0" borderId="0" xfId="0" applyNumberFormat="1" applyFont="1" applyAlignment="1">
      <alignment horizontal="center" vertical="center" wrapText="1"/>
    </xf>
    <xf numFmtId="9" fontId="13" fillId="0" borderId="0" xfId="0" applyNumberFormat="1" applyFont="1" applyAlignment="1">
      <alignment horizontal="center" vertical="center" wrapText="1"/>
    </xf>
    <xf numFmtId="0" fontId="13" fillId="0" borderId="0" xfId="0" applyFont="1" applyAlignment="1">
      <alignment horizontal="center" vertical="center" wrapText="1"/>
    </xf>
    <xf numFmtId="0" fontId="12" fillId="0" borderId="0" xfId="1" applyFont="1" applyAlignment="1">
      <alignment horizontal="center" vertical="center" wrapText="1"/>
    </xf>
    <xf numFmtId="0" fontId="6" fillId="9" borderId="0" xfId="57" applyFont="1" applyFill="1"/>
    <xf numFmtId="0" fontId="6" fillId="9" borderId="0" xfId="0" applyFont="1" applyFill="1" applyAlignment="1">
      <alignment horizontal="left" vertical="center"/>
    </xf>
    <xf numFmtId="0" fontId="6" fillId="0" borderId="0" xfId="0" applyFont="1" applyAlignment="1">
      <alignment horizontal="left" vertical="center"/>
    </xf>
    <xf numFmtId="0" fontId="7" fillId="8" borderId="0" xfId="0" applyFont="1" applyFill="1" applyAlignment="1">
      <alignment horizontal="left" vertical="center"/>
    </xf>
    <xf numFmtId="0" fontId="6" fillId="8" borderId="0" xfId="1" applyFont="1" applyFill="1" applyAlignment="1">
      <alignment horizontal="left" vertical="center"/>
    </xf>
    <xf numFmtId="0" fontId="21" fillId="8" borderId="0" xfId="1" applyFont="1" applyFill="1" applyAlignment="1">
      <alignment horizontal="left" vertical="center"/>
    </xf>
    <xf numFmtId="0" fontId="6" fillId="11" borderId="0" xfId="1" applyFont="1" applyFill="1" applyAlignment="1">
      <alignment horizontal="left" vertical="center"/>
    </xf>
    <xf numFmtId="0" fontId="8" fillId="9" borderId="6" xfId="1" applyFont="1" applyFill="1" applyBorder="1" applyAlignment="1">
      <alignment horizontal="left" vertical="center" wrapText="1"/>
    </xf>
    <xf numFmtId="0" fontId="6" fillId="9" borderId="0" xfId="1" applyFont="1" applyFill="1" applyAlignment="1">
      <alignment horizontal="left" vertical="center"/>
    </xf>
    <xf numFmtId="0" fontId="6" fillId="0" borderId="0" xfId="1" applyFont="1" applyAlignment="1">
      <alignment horizontal="left" vertical="center"/>
    </xf>
    <xf numFmtId="0" fontId="7" fillId="0" borderId="0" xfId="0" applyFont="1" applyAlignment="1">
      <alignment horizontal="left" vertical="center"/>
    </xf>
    <xf numFmtId="14" fontId="6" fillId="9" borderId="0" xfId="1" applyNumberFormat="1" applyFont="1" applyFill="1" applyAlignment="1">
      <alignment horizontal="left" vertical="center"/>
    </xf>
    <xf numFmtId="0" fontId="6" fillId="9" borderId="7" xfId="1" applyFont="1" applyFill="1" applyBorder="1" applyAlignment="1">
      <alignment horizontal="left" vertical="center"/>
    </xf>
    <xf numFmtId="0" fontId="7" fillId="9" borderId="0" xfId="1" applyFont="1" applyFill="1" applyAlignment="1">
      <alignment horizontal="left" vertical="center"/>
    </xf>
    <xf numFmtId="0" fontId="7" fillId="9" borderId="0" xfId="0" applyFont="1" applyFill="1" applyAlignment="1">
      <alignment horizontal="left" vertical="center"/>
    </xf>
    <xf numFmtId="0" fontId="23" fillId="9" borderId="0" xfId="0" applyFont="1" applyFill="1" applyAlignment="1">
      <alignment horizontal="left" vertical="center"/>
    </xf>
    <xf numFmtId="10" fontId="13" fillId="0" borderId="0" xfId="30" applyNumberFormat="1" applyFont="1" applyAlignment="1">
      <alignment horizontal="left" vertical="center"/>
    </xf>
    <xf numFmtId="0" fontId="28" fillId="0" borderId="0" xfId="0" applyFont="1" applyAlignment="1">
      <alignment horizontal="left" vertical="center"/>
    </xf>
    <xf numFmtId="0" fontId="15" fillId="9" borderId="0" xfId="0" applyFont="1" applyFill="1" applyAlignment="1">
      <alignment horizontal="left" vertical="center"/>
    </xf>
    <xf numFmtId="0" fontId="15"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wrapText="1"/>
    </xf>
    <xf numFmtId="0" fontId="37" fillId="0" borderId="0" xfId="0" applyFont="1" applyAlignment="1">
      <alignment horizontal="left" wrapText="1"/>
    </xf>
    <xf numFmtId="0" fontId="38" fillId="0" borderId="0" xfId="0" applyFont="1" applyAlignment="1">
      <alignment wrapText="1"/>
    </xf>
    <xf numFmtId="0" fontId="15" fillId="0" borderId="0" xfId="0" applyFont="1" applyAlignment="1">
      <alignment wrapText="1"/>
    </xf>
    <xf numFmtId="0" fontId="39" fillId="0" borderId="0" xfId="1" applyFont="1" applyAlignment="1">
      <alignment horizontal="center" vertical="center" wrapText="1"/>
    </xf>
    <xf numFmtId="0" fontId="6" fillId="0" borderId="0" xfId="1" applyFont="1" applyAlignment="1">
      <alignment horizontal="left" vertical="top" wrapText="1"/>
    </xf>
    <xf numFmtId="0" fontId="0" fillId="0" borderId="0" xfId="1"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4" fontId="0" fillId="0" borderId="0" xfId="0" applyNumberFormat="1" applyAlignment="1">
      <alignment wrapText="1"/>
    </xf>
    <xf numFmtId="10" fontId="7" fillId="0" borderId="13" xfId="1" applyNumberFormat="1" applyFont="1" applyBorder="1" applyAlignment="1">
      <alignment horizontal="right"/>
    </xf>
    <xf numFmtId="0" fontId="36" fillId="0" borderId="0" xfId="0" applyFont="1" applyAlignment="1">
      <alignment vertical="center" wrapText="1"/>
    </xf>
    <xf numFmtId="0" fontId="41" fillId="0" borderId="0" xfId="0" applyFont="1" applyAlignment="1">
      <alignment wrapText="1"/>
    </xf>
    <xf numFmtId="44" fontId="7" fillId="0" borderId="0" xfId="1" applyNumberFormat="1" applyFont="1" applyFill="1"/>
    <xf numFmtId="10" fontId="7" fillId="0" borderId="0" xfId="57" applyNumberFormat="1" applyFont="1" applyBorder="1" applyAlignment="1">
      <alignment horizontal="center"/>
    </xf>
    <xf numFmtId="0" fontId="42" fillId="0" borderId="8" xfId="0" applyFont="1" applyFill="1" applyBorder="1" applyAlignment="1">
      <alignment horizontal="center"/>
    </xf>
    <xf numFmtId="0" fontId="13" fillId="0" borderId="0" xfId="0" applyFont="1" applyFill="1"/>
    <xf numFmtId="0" fontId="0" fillId="0" borderId="0" xfId="0" applyFill="1"/>
    <xf numFmtId="14" fontId="13" fillId="0" borderId="0" xfId="0" applyNumberFormat="1" applyFont="1" applyFill="1"/>
    <xf numFmtId="14" fontId="7" fillId="0" borderId="0" xfId="1" applyNumberFormat="1" applyFont="1" applyFill="1" applyAlignment="1">
      <alignment horizontal="center"/>
    </xf>
    <xf numFmtId="2" fontId="13" fillId="0" borderId="0" xfId="0" applyNumberFormat="1" applyFont="1" applyFill="1" applyAlignment="1">
      <alignment horizontal="right"/>
    </xf>
    <xf numFmtId="0" fontId="13" fillId="0" borderId="0" xfId="0" applyFont="1" applyFill="1" applyAlignment="1">
      <alignment wrapText="1"/>
    </xf>
    <xf numFmtId="1" fontId="22" fillId="0" borderId="0" xfId="1" applyNumberFormat="1" applyFont="1" applyFill="1" applyAlignment="1">
      <alignment horizontal="left" wrapText="1"/>
    </xf>
    <xf numFmtId="0" fontId="0" fillId="0" borderId="0" xfId="0" applyFill="1" applyAlignment="1">
      <alignment wrapText="1"/>
    </xf>
    <xf numFmtId="0" fontId="13" fillId="0" borderId="13" xfId="0" applyFont="1" applyFill="1" applyBorder="1" applyAlignment="1">
      <alignment wrapText="1"/>
    </xf>
    <xf numFmtId="14" fontId="13" fillId="0" borderId="8" xfId="0" applyNumberFormat="1" applyFont="1" applyFill="1" applyBorder="1"/>
    <xf numFmtId="44" fontId="13" fillId="0" borderId="0" xfId="0" applyNumberFormat="1" applyFont="1" applyFill="1"/>
    <xf numFmtId="44" fontId="13" fillId="0" borderId="13" xfId="0" applyNumberFormat="1" applyFont="1" applyFill="1" applyBorder="1"/>
    <xf numFmtId="1" fontId="7" fillId="0" borderId="0" xfId="1" applyNumberFormat="1" applyFont="1" applyFill="1" applyAlignment="1">
      <alignment horizontal="center"/>
    </xf>
    <xf numFmtId="44" fontId="7" fillId="0" borderId="13" xfId="1" applyNumberFormat="1" applyFont="1" applyFill="1" applyBorder="1"/>
    <xf numFmtId="10" fontId="13" fillId="0" borderId="0" xfId="30" applyNumberFormat="1" applyFont="1" applyFill="1" applyAlignment="1">
      <alignment horizontal="center"/>
    </xf>
    <xf numFmtId="10" fontId="13" fillId="0" borderId="13" xfId="30" applyNumberFormat="1" applyFont="1" applyFill="1" applyBorder="1"/>
    <xf numFmtId="0" fontId="13" fillId="0" borderId="0" xfId="0" applyFont="1" applyFill="1" applyAlignment="1">
      <alignment horizontal="center" vertical="center" wrapText="1"/>
    </xf>
    <xf numFmtId="0" fontId="24" fillId="0" borderId="0" xfId="0" applyFont="1" applyFill="1" applyAlignment="1">
      <alignment horizontal="left" vertical="center" wrapText="1"/>
    </xf>
    <xf numFmtId="0" fontId="43" fillId="0" borderId="0" xfId="0" applyFont="1" applyFill="1" applyAlignment="1">
      <alignment horizontal="left" vertical="center" wrapText="1"/>
    </xf>
    <xf numFmtId="0" fontId="22" fillId="0" borderId="0" xfId="1" quotePrefix="1" applyFont="1" applyAlignment="1">
      <alignment horizontal="left" wrapText="1"/>
    </xf>
    <xf numFmtId="0" fontId="41" fillId="0" borderId="0" xfId="1" applyFont="1" applyAlignment="1">
      <alignment horizontal="left" wrapText="1"/>
    </xf>
    <xf numFmtId="14" fontId="13" fillId="0" borderId="0" xfId="0" applyNumberFormat="1" applyFont="1" applyFill="1" applyAlignment="1">
      <alignment horizontal="center"/>
    </xf>
    <xf numFmtId="164" fontId="7" fillId="0" borderId="0" xfId="1" applyNumberFormat="1" applyFont="1" applyFill="1"/>
    <xf numFmtId="0" fontId="16" fillId="0" borderId="0" xfId="0" applyFont="1" applyFill="1" applyAlignment="1">
      <alignment horizontal="left" wrapText="1"/>
    </xf>
    <xf numFmtId="0" fontId="24" fillId="0" borderId="0" xfId="0" applyFont="1" applyFill="1" applyAlignment="1">
      <alignment horizontal="left" wrapText="1"/>
    </xf>
    <xf numFmtId="0" fontId="13" fillId="0" borderId="8" xfId="0" applyFont="1" applyFill="1" applyBorder="1" applyAlignment="1">
      <alignment horizontal="left"/>
    </xf>
    <xf numFmtId="10" fontId="7" fillId="0" borderId="0" xfId="1" applyNumberFormat="1" applyFont="1" applyFill="1" applyAlignment="1">
      <alignment horizontal="center"/>
    </xf>
    <xf numFmtId="10" fontId="7" fillId="0" borderId="13" xfId="1" applyNumberFormat="1" applyFont="1" applyFill="1" applyBorder="1" applyAlignment="1">
      <alignment horizontal="center"/>
    </xf>
    <xf numFmtId="2" fontId="22" fillId="0" borderId="0" xfId="1" applyNumberFormat="1" applyFont="1" applyAlignment="1">
      <alignment horizontal="left" vertical="top"/>
    </xf>
    <xf numFmtId="0" fontId="22" fillId="0" borderId="0" xfId="1" applyFont="1" applyAlignment="1">
      <alignment horizontal="left" vertical="top"/>
    </xf>
    <xf numFmtId="2" fontId="22" fillId="0" borderId="0" xfId="1" applyNumberFormat="1" applyFont="1" applyAlignment="1">
      <alignment horizontal="left" vertical="top" wrapText="1"/>
    </xf>
    <xf numFmtId="0" fontId="22" fillId="0" borderId="0" xfId="1" applyFont="1" applyAlignment="1">
      <alignment horizontal="left" vertical="top" wrapText="1"/>
    </xf>
    <xf numFmtId="14" fontId="22" fillId="0" borderId="0" xfId="1" applyNumberFormat="1" applyFont="1" applyAlignment="1">
      <alignment horizontal="left" vertical="top"/>
    </xf>
    <xf numFmtId="43" fontId="22" fillId="0" borderId="0" xfId="1" applyNumberFormat="1" applyFont="1" applyAlignment="1">
      <alignment horizontal="left" vertical="top"/>
    </xf>
    <xf numFmtId="0" fontId="12" fillId="0" borderId="0" xfId="1" applyFont="1" applyAlignment="1">
      <alignment horizontal="left" vertical="top"/>
    </xf>
    <xf numFmtId="0" fontId="16" fillId="0" borderId="0" xfId="0" applyFont="1" applyAlignment="1">
      <alignment horizontal="left" vertical="top"/>
    </xf>
    <xf numFmtId="43" fontId="22" fillId="0" borderId="0" xfId="1" applyNumberFormat="1" applyFont="1" applyAlignment="1">
      <alignment horizontal="left" vertical="top" wrapText="1"/>
    </xf>
    <xf numFmtId="43" fontId="12" fillId="0" borderId="0" xfId="1" applyNumberFormat="1" applyFont="1" applyAlignment="1">
      <alignment horizontal="left" vertical="top"/>
    </xf>
    <xf numFmtId="0" fontId="7" fillId="0" borderId="0" xfId="1" applyFont="1" applyAlignment="1">
      <alignment horizontal="center" vertical="top"/>
    </xf>
    <xf numFmtId="43" fontId="7" fillId="0" borderId="0" xfId="1" applyNumberFormat="1" applyFont="1" applyAlignment="1">
      <alignment horizontal="center" vertical="top"/>
    </xf>
    <xf numFmtId="0" fontId="7" fillId="0" borderId="0" xfId="1" applyFont="1" applyAlignment="1">
      <alignment horizontal="center" vertical="top" wrapText="1"/>
    </xf>
    <xf numFmtId="0" fontId="13" fillId="0" borderId="0" xfId="0" applyFont="1" applyAlignment="1">
      <alignment horizontal="center" vertical="top"/>
    </xf>
    <xf numFmtId="0" fontId="13" fillId="0" borderId="0" xfId="0" applyFont="1" applyFill="1" applyAlignment="1">
      <alignment horizontal="center" vertical="top"/>
    </xf>
    <xf numFmtId="0" fontId="7" fillId="0" borderId="0" xfId="0" applyFont="1" applyAlignment="1">
      <alignment horizontal="center" vertical="top"/>
    </xf>
    <xf numFmtId="0" fontId="8" fillId="0" borderId="0" xfId="0" applyFont="1" applyAlignment="1">
      <alignment horizontal="center" vertical="top"/>
    </xf>
    <xf numFmtId="0" fontId="27" fillId="0" borderId="0" xfId="0" applyFont="1" applyAlignment="1">
      <alignment horizontal="center" vertical="top"/>
    </xf>
    <xf numFmtId="0" fontId="0" fillId="0" borderId="0" xfId="0" applyAlignment="1">
      <alignment horizontal="center" vertical="top"/>
    </xf>
    <xf numFmtId="0" fontId="13" fillId="0" borderId="0" xfId="0" applyFont="1" applyAlignment="1">
      <alignment horizontal="center" vertical="center"/>
    </xf>
    <xf numFmtId="164" fontId="7" fillId="0" borderId="0" xfId="1" applyNumberFormat="1" applyFont="1" applyAlignment="1">
      <alignment horizontal="center"/>
    </xf>
    <xf numFmtId="0" fontId="13" fillId="0" borderId="0" xfId="0" applyFont="1" applyFill="1" applyAlignment="1">
      <alignment horizontal="left"/>
    </xf>
    <xf numFmtId="0" fontId="13" fillId="0" borderId="0" xfId="0" applyFont="1" applyAlignment="1">
      <alignment horizontal="left"/>
    </xf>
    <xf numFmtId="0" fontId="13" fillId="8" borderId="0" xfId="0" applyFont="1" applyFill="1" applyAlignment="1">
      <alignment horizontal="center" vertical="center"/>
    </xf>
    <xf numFmtId="0" fontId="14" fillId="8" borderId="0" xfId="1" applyFont="1" applyFill="1" applyAlignment="1">
      <alignment horizontal="center" vertical="center"/>
    </xf>
    <xf numFmtId="0" fontId="40" fillId="8" borderId="0" xfId="1" applyFont="1" applyFill="1" applyAlignment="1">
      <alignment horizontal="center" vertical="center"/>
    </xf>
    <xf numFmtId="0" fontId="14" fillId="11" borderId="0" xfId="1" applyFont="1" applyFill="1" applyAlignment="1">
      <alignment horizontal="center" vertical="center"/>
    </xf>
    <xf numFmtId="0" fontId="13" fillId="8" borderId="0" xfId="1" applyFont="1" applyFill="1" applyAlignment="1">
      <alignment horizontal="center" vertical="center"/>
    </xf>
    <xf numFmtId="2" fontId="22" fillId="0" borderId="0" xfId="1" applyNumberFormat="1" applyFont="1" applyAlignment="1">
      <alignment horizontal="left" vertical="center"/>
    </xf>
    <xf numFmtId="0" fontId="22" fillId="0" borderId="0" xfId="1" applyFont="1" applyAlignment="1">
      <alignment horizontal="left" vertical="center" wrapText="1"/>
    </xf>
    <xf numFmtId="14" fontId="22" fillId="0" borderId="0" xfId="1" applyNumberFormat="1" applyFont="1" applyAlignment="1">
      <alignment horizontal="left" vertical="center"/>
    </xf>
    <xf numFmtId="2" fontId="22" fillId="0" borderId="0" xfId="1" applyNumberFormat="1" applyFont="1" applyAlignment="1">
      <alignment horizontal="left" vertical="center" wrapText="1"/>
    </xf>
    <xf numFmtId="0" fontId="22" fillId="0" borderId="0" xfId="1" applyFont="1" applyAlignment="1">
      <alignment horizontal="left" vertical="center"/>
    </xf>
    <xf numFmtId="0" fontId="12" fillId="0" borderId="0" xfId="1" applyFont="1" applyAlignment="1">
      <alignment horizontal="left" vertical="center"/>
    </xf>
    <xf numFmtId="43" fontId="22" fillId="0" borderId="0" xfId="1" applyNumberFormat="1" applyFont="1" applyAlignment="1">
      <alignment horizontal="left" vertical="center"/>
    </xf>
    <xf numFmtId="43" fontId="12" fillId="0" borderId="0" xfId="1" applyNumberFormat="1" applyFont="1" applyAlignment="1">
      <alignment horizontal="left" vertical="center"/>
    </xf>
    <xf numFmtId="0" fontId="12" fillId="0" borderId="0" xfId="1" applyFont="1" applyAlignment="1">
      <alignment horizontal="center" vertical="center"/>
    </xf>
    <xf numFmtId="43" fontId="7" fillId="0" borderId="0" xfId="1" applyNumberFormat="1" applyFont="1" applyAlignment="1">
      <alignment horizontal="center" vertical="center"/>
    </xf>
    <xf numFmtId="0" fontId="7" fillId="0" borderId="0" xfId="0" applyFont="1" applyAlignment="1">
      <alignment horizontal="center"/>
    </xf>
    <xf numFmtId="0" fontId="13" fillId="8" borderId="0" xfId="0" applyFont="1" applyFill="1" applyAlignment="1">
      <alignment horizontal="left"/>
    </xf>
    <xf numFmtId="0" fontId="19" fillId="8" borderId="0" xfId="1" applyFont="1" applyFill="1" applyAlignment="1">
      <alignment horizontal="left"/>
    </xf>
    <xf numFmtId="0" fontId="14" fillId="11" borderId="0" xfId="1" applyFont="1" applyFill="1" applyAlignment="1">
      <alignment horizontal="left"/>
    </xf>
    <xf numFmtId="0" fontId="13" fillId="0" borderId="0" xfId="0" quotePrefix="1" applyFont="1" applyAlignment="1">
      <alignment horizontal="left"/>
    </xf>
    <xf numFmtId="0" fontId="22" fillId="0" borderId="0" xfId="1" applyFont="1" applyAlignment="1">
      <alignment horizontal="center" vertical="center" wrapText="1"/>
    </xf>
    <xf numFmtId="0" fontId="46" fillId="0" borderId="0" xfId="1" applyFont="1" applyAlignment="1">
      <alignment horizontal="center" wrapText="1"/>
    </xf>
    <xf numFmtId="0" fontId="24" fillId="0" borderId="0" xfId="0" applyFont="1" applyAlignment="1">
      <alignment horizontal="center" wrapText="1"/>
    </xf>
    <xf numFmtId="0" fontId="13" fillId="8" borderId="8" xfId="0" applyNumberFormat="1" applyFont="1" applyFill="1" applyBorder="1" applyAlignment="1">
      <alignment horizontal="left"/>
    </xf>
    <xf numFmtId="0" fontId="14" fillId="11" borderId="8" xfId="1" applyNumberFormat="1" applyFont="1" applyFill="1" applyBorder="1" applyAlignment="1">
      <alignment horizontal="left"/>
    </xf>
    <xf numFmtId="0" fontId="13" fillId="0" borderId="8" xfId="0" applyNumberFormat="1" applyFont="1" applyBorder="1" applyAlignment="1">
      <alignment horizontal="left"/>
    </xf>
    <xf numFmtId="0" fontId="19" fillId="8" borderId="8" xfId="1" applyNumberFormat="1" applyFont="1" applyFill="1" applyBorder="1" applyAlignment="1">
      <alignment horizontal="left"/>
    </xf>
    <xf numFmtId="0" fontId="8" fillId="9" borderId="12" xfId="1" applyNumberFormat="1" applyFont="1" applyFill="1" applyBorder="1" applyAlignment="1">
      <alignment horizontal="left" vertical="center" wrapText="1"/>
    </xf>
    <xf numFmtId="44" fontId="7" fillId="0" borderId="0" xfId="1" applyNumberFormat="1" applyFont="1" applyBorder="1"/>
    <xf numFmtId="0" fontId="6" fillId="13" borderId="0" xfId="0" applyFont="1" applyFill="1" applyAlignment="1">
      <alignment horizontal="left" vertical="center"/>
    </xf>
    <xf numFmtId="0" fontId="47" fillId="0" borderId="0" xfId="0" applyFont="1" applyAlignment="1">
      <alignment vertical="center" wrapText="1"/>
    </xf>
    <xf numFmtId="0" fontId="22" fillId="0" borderId="0" xfId="1" applyFont="1" applyAlignment="1">
      <alignment horizontal="center" vertical="center"/>
    </xf>
    <xf numFmtId="164" fontId="0" fillId="0" borderId="0" xfId="0" applyNumberFormat="1"/>
    <xf numFmtId="0" fontId="24" fillId="0" borderId="0" xfId="0" applyFont="1" applyAlignment="1">
      <alignment horizontal="left" vertical="center" wrapText="1"/>
    </xf>
    <xf numFmtId="0" fontId="50" fillId="0" borderId="0" xfId="0" applyFont="1" applyAlignment="1">
      <alignment wrapText="1"/>
    </xf>
    <xf numFmtId="0" fontId="49" fillId="0" borderId="0" xfId="0" applyFont="1" applyFill="1" applyBorder="1" applyAlignment="1">
      <alignment wrapText="1"/>
    </xf>
    <xf numFmtId="43" fontId="49" fillId="0" borderId="0" xfId="60" applyFont="1" applyFill="1" applyBorder="1" applyAlignment="1">
      <alignment wrapText="1"/>
    </xf>
    <xf numFmtId="44" fontId="13" fillId="0" borderId="2" xfId="0" applyNumberFormat="1" applyFont="1" applyBorder="1"/>
    <xf numFmtId="0" fontId="51" fillId="0" borderId="0" xfId="0" applyFont="1" applyFill="1" applyAlignment="1">
      <alignment wrapText="1"/>
    </xf>
    <xf numFmtId="4" fontId="7" fillId="0" borderId="0" xfId="0" applyNumberFormat="1" applyFont="1" applyFill="1" applyAlignment="1">
      <alignment horizontal="center"/>
    </xf>
    <xf numFmtId="0" fontId="33" fillId="8" borderId="8" xfId="1" applyFont="1" applyFill="1" applyBorder="1" applyAlignment="1">
      <alignment horizontal="center" vertical="center"/>
    </xf>
    <xf numFmtId="0" fontId="33" fillId="8" borderId="0" xfId="1" applyFont="1" applyFill="1" applyAlignment="1">
      <alignment horizontal="center" vertical="center"/>
    </xf>
    <xf numFmtId="0" fontId="33" fillId="8" borderId="8" xfId="1" applyFont="1" applyFill="1" applyBorder="1" applyAlignment="1">
      <alignment horizontal="center"/>
    </xf>
    <xf numFmtId="0" fontId="33" fillId="8" borderId="0" xfId="1" applyFont="1" applyFill="1" applyAlignment="1">
      <alignment horizontal="center"/>
    </xf>
    <xf numFmtId="0" fontId="33" fillId="8" borderId="13" xfId="1" applyFont="1" applyFill="1" applyBorder="1" applyAlignment="1">
      <alignment horizontal="center"/>
    </xf>
    <xf numFmtId="0" fontId="33" fillId="8" borderId="8" xfId="1" applyNumberFormat="1" applyFont="1" applyFill="1" applyBorder="1" applyAlignment="1">
      <alignment horizontal="left"/>
    </xf>
    <xf numFmtId="0" fontId="33" fillId="8" borderId="0" xfId="1" applyFont="1" applyFill="1" applyAlignment="1">
      <alignment horizontal="left"/>
    </xf>
    <xf numFmtId="0" fontId="7" fillId="0" borderId="0" xfId="0" applyNumberFormat="1" applyFont="1" applyFill="1" applyBorder="1" applyAlignment="1" applyProtection="1">
      <alignment horizontal="center"/>
    </xf>
    <xf numFmtId="0" fontId="22" fillId="0" borderId="0" xfId="0" applyNumberFormat="1" applyFont="1" applyFill="1" applyBorder="1" applyAlignment="1" applyProtection="1">
      <alignment horizontal="left" wrapText="1"/>
    </xf>
    <xf numFmtId="0" fontId="7" fillId="0" borderId="0" xfId="0" applyNumberFormat="1" applyFont="1" applyFill="1" applyBorder="1" applyAlignment="1" applyProtection="1"/>
    <xf numFmtId="0" fontId="13" fillId="0" borderId="0" xfId="0" applyNumberFormat="1" applyFont="1" applyAlignment="1">
      <alignment horizontal="center"/>
    </xf>
    <xf numFmtId="0" fontId="13" fillId="0" borderId="13" xfId="0" applyNumberFormat="1" applyFont="1" applyBorder="1"/>
    <xf numFmtId="44" fontId="7" fillId="0" borderId="13" xfId="0" applyNumberFormat="1" applyFont="1" applyFill="1" applyBorder="1" applyAlignment="1" applyProtection="1"/>
    <xf numFmtId="3" fontId="0" fillId="0" borderId="0" xfId="0" applyNumberFormat="1" applyFill="1"/>
    <xf numFmtId="0" fontId="0" fillId="0" borderId="0" xfId="0" applyFill="1" applyAlignment="1">
      <alignment horizontal="left" indent="1"/>
    </xf>
    <xf numFmtId="0" fontId="0" fillId="14" borderId="0" xfId="0" applyFill="1" applyAlignment="1">
      <alignment horizontal="left" indent="1"/>
    </xf>
    <xf numFmtId="0" fontId="0" fillId="15" borderId="0" xfId="0" applyFill="1" applyAlignment="1">
      <alignment horizontal="left" indent="1"/>
    </xf>
    <xf numFmtId="0" fontId="0" fillId="0" borderId="0" xfId="0" applyFill="1" applyAlignment="1">
      <alignment horizontal="left"/>
    </xf>
    <xf numFmtId="3" fontId="0" fillId="0" borderId="0" xfId="0" applyNumberFormat="1" applyAlignment="1">
      <alignment horizontal="center"/>
    </xf>
    <xf numFmtId="3" fontId="0" fillId="0" borderId="0" xfId="0" applyNumberFormat="1" applyFill="1" applyAlignment="1">
      <alignment horizontal="center"/>
    </xf>
    <xf numFmtId="0" fontId="52" fillId="0" borderId="0" xfId="0" applyFont="1" applyAlignment="1">
      <alignment wrapText="1"/>
    </xf>
  </cellXfs>
  <cellStyles count="61">
    <cellStyle name="Comma" xfId="60" builtinId="3"/>
    <cellStyle name="Currency" xfId="29" builtinId="4"/>
    <cellStyle name="Currency 2" xfId="3" xr:uid="{00000000-0005-0000-0000-000001000000}"/>
    <cellStyle name="Currency 2 2" xfId="4" xr:uid="{00000000-0005-0000-0000-000002000000}"/>
    <cellStyle name="Currency 2 2 2" xfId="35" xr:uid="{00000000-0005-0000-0000-000003000000}"/>
    <cellStyle name="Currency 2 3" xfId="33" xr:uid="{00000000-0005-0000-0000-000004000000}"/>
    <cellStyle name="Currency 3" xfId="5" xr:uid="{00000000-0005-0000-0000-000005000000}"/>
    <cellStyle name="Currency 3 2" xfId="6" xr:uid="{00000000-0005-0000-0000-000006000000}"/>
    <cellStyle name="Currency 3 2 2" xfId="36" xr:uid="{00000000-0005-0000-0000-000007000000}"/>
    <cellStyle name="Currency 3 3" xfId="7" xr:uid="{00000000-0005-0000-0000-000008000000}"/>
    <cellStyle name="Currency 3 3 2" xfId="8" xr:uid="{00000000-0005-0000-0000-000009000000}"/>
    <cellStyle name="Currency 3 3 2 2" xfId="42" xr:uid="{00000000-0005-0000-0000-00000A000000}"/>
    <cellStyle name="Currency 3 3 3" xfId="9" xr:uid="{00000000-0005-0000-0000-00000B000000}"/>
    <cellStyle name="Currency 3 3 3 2" xfId="51" xr:uid="{00000000-0005-0000-0000-00000C000000}"/>
    <cellStyle name="Currency 3 3 3 3" xfId="45" xr:uid="{00000000-0005-0000-0000-00000D000000}"/>
    <cellStyle name="Currency 3 3 4" xfId="39" xr:uid="{00000000-0005-0000-0000-00000E000000}"/>
    <cellStyle name="Currency 3 4" xfId="10" xr:uid="{00000000-0005-0000-0000-00000F000000}"/>
    <cellStyle name="Currency 3 4 2" xfId="52" xr:uid="{00000000-0005-0000-0000-000010000000}"/>
    <cellStyle name="Currency 3 4 3" xfId="46" xr:uid="{00000000-0005-0000-0000-000011000000}"/>
    <cellStyle name="Currency 3 5" xfId="32" xr:uid="{00000000-0005-0000-0000-000012000000}"/>
    <cellStyle name="Currency 4" xfId="11" xr:uid="{00000000-0005-0000-0000-000013000000}"/>
    <cellStyle name="Currency 5" xfId="2" xr:uid="{00000000-0005-0000-0000-000014000000}"/>
    <cellStyle name="Currency 5 2" xfId="58" xr:uid="{00000000-0005-0000-0000-000015000000}"/>
    <cellStyle name="Hyperlink" xfId="12" builtinId="8"/>
    <cellStyle name="Normal" xfId="0" builtinId="0"/>
    <cellStyle name="Normal 2" xfId="13" xr:uid="{00000000-0005-0000-0000-000018000000}"/>
    <cellStyle name="Normal 2 2" xfId="14" xr:uid="{00000000-0005-0000-0000-000019000000}"/>
    <cellStyle name="Normal 2 2 2" xfId="37" xr:uid="{00000000-0005-0000-0000-00001A000000}"/>
    <cellStyle name="Normal 2 3" xfId="15" xr:uid="{00000000-0005-0000-0000-00001B000000}"/>
    <cellStyle name="Normal 2 3 2" xfId="16" xr:uid="{00000000-0005-0000-0000-00001C000000}"/>
    <cellStyle name="Normal 2 3 2 2" xfId="43" xr:uid="{00000000-0005-0000-0000-00001D000000}"/>
    <cellStyle name="Normal 2 3 3" xfId="17" xr:uid="{00000000-0005-0000-0000-00001E000000}"/>
    <cellStyle name="Normal 2 3 3 2" xfId="53" xr:uid="{00000000-0005-0000-0000-00001F000000}"/>
    <cellStyle name="Normal 2 3 3 3" xfId="47" xr:uid="{00000000-0005-0000-0000-000020000000}"/>
    <cellStyle name="Normal 2 3 4" xfId="40" xr:uid="{00000000-0005-0000-0000-000021000000}"/>
    <cellStyle name="Normal 2 4" xfId="18" xr:uid="{00000000-0005-0000-0000-000022000000}"/>
    <cellStyle name="Normal 2 4 2" xfId="54" xr:uid="{00000000-0005-0000-0000-000023000000}"/>
    <cellStyle name="Normal 2 4 3" xfId="48" xr:uid="{00000000-0005-0000-0000-000024000000}"/>
    <cellStyle name="Normal 2 5" xfId="31" xr:uid="{00000000-0005-0000-0000-000025000000}"/>
    <cellStyle name="Normal 3" xfId="19" xr:uid="{00000000-0005-0000-0000-000026000000}"/>
    <cellStyle name="Normal 4" xfId="20" xr:uid="{00000000-0005-0000-0000-000027000000}"/>
    <cellStyle name="Normal 5" xfId="1" xr:uid="{00000000-0005-0000-0000-000028000000}"/>
    <cellStyle name="Normal 5 2" xfId="57" xr:uid="{00000000-0005-0000-0000-000029000000}"/>
    <cellStyle name="Percent" xfId="30" builtinId="5"/>
    <cellStyle name="Percent 2" xfId="22" xr:uid="{00000000-0005-0000-0000-00002B000000}"/>
    <cellStyle name="Percent 2 2" xfId="23" xr:uid="{00000000-0005-0000-0000-00002C000000}"/>
    <cellStyle name="Percent 2 2 2" xfId="38" xr:uid="{00000000-0005-0000-0000-00002D000000}"/>
    <cellStyle name="Percent 2 3" xfId="24" xr:uid="{00000000-0005-0000-0000-00002E000000}"/>
    <cellStyle name="Percent 2 3 2" xfId="25" xr:uid="{00000000-0005-0000-0000-00002F000000}"/>
    <cellStyle name="Percent 2 3 2 2" xfId="44" xr:uid="{00000000-0005-0000-0000-000030000000}"/>
    <cellStyle name="Percent 2 3 3" xfId="26" xr:uid="{00000000-0005-0000-0000-000031000000}"/>
    <cellStyle name="Percent 2 3 3 2" xfId="55" xr:uid="{00000000-0005-0000-0000-000032000000}"/>
    <cellStyle name="Percent 2 3 3 3" xfId="49" xr:uid="{00000000-0005-0000-0000-000033000000}"/>
    <cellStyle name="Percent 2 3 4" xfId="41" xr:uid="{00000000-0005-0000-0000-000034000000}"/>
    <cellStyle name="Percent 2 4" xfId="27" xr:uid="{00000000-0005-0000-0000-000035000000}"/>
    <cellStyle name="Percent 2 4 2" xfId="56" xr:uid="{00000000-0005-0000-0000-000036000000}"/>
    <cellStyle name="Percent 2 4 3" xfId="50" xr:uid="{00000000-0005-0000-0000-000037000000}"/>
    <cellStyle name="Percent 2 5" xfId="34" xr:uid="{00000000-0005-0000-0000-000038000000}"/>
    <cellStyle name="Percent 3" xfId="28" xr:uid="{00000000-0005-0000-0000-000039000000}"/>
    <cellStyle name="Percent 4" xfId="21" xr:uid="{00000000-0005-0000-0000-00003A000000}"/>
    <cellStyle name="Percent 4 2" xfId="59" xr:uid="{00000000-0005-0000-0000-00003B000000}"/>
  </cellStyles>
  <dxfs count="122">
    <dxf>
      <fill>
        <patternFill>
          <bgColor rgb="FFFFFFA7"/>
        </patternFill>
      </fill>
    </dxf>
    <dxf>
      <alignment horizontal="center"/>
    </dxf>
    <dxf>
      <fill>
        <patternFill patternType="solid">
          <bgColor theme="8" tint="0.59999389629810485"/>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0"/>
        <color theme="1"/>
        <name val="Cambria"/>
        <family val="1"/>
        <scheme val="major"/>
      </font>
      <alignment horizontal="right" vertical="bottom" textRotation="0" wrapText="0" indent="0" justifyLastLine="0" shrinkToFit="0" readingOrder="0"/>
    </dxf>
    <dxf>
      <font>
        <b val="0"/>
        <i val="0"/>
        <strike val="0"/>
        <condense val="0"/>
        <extend val="0"/>
        <outline val="0"/>
        <shadow val="0"/>
        <u val="none"/>
        <vertAlign val="baseline"/>
        <sz val="10"/>
        <color auto="1"/>
        <name val="Cambria"/>
        <family val="1"/>
        <scheme val="maj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bottom/>
      </border>
      <protection locked="1" hidden="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border diagonalUp="0" diagonalDown="0" outline="0">
        <left/>
        <right style="thin">
          <color indexed="64"/>
        </right>
        <top/>
        <bottom/>
      </border>
    </dxf>
    <dxf>
      <font>
        <b val="0"/>
        <i val="0"/>
        <strike val="0"/>
        <condense val="0"/>
        <extend val="0"/>
        <outline val="0"/>
        <shadow val="0"/>
        <u val="none"/>
        <vertAlign val="baseline"/>
        <sz val="10"/>
        <color theme="1"/>
        <name val="Cambria"/>
        <family val="1"/>
        <scheme val="major"/>
      </font>
      <alignment horizontal="center" vertical="bottom" textRotation="0" wrapText="0" indent="0" justifyLastLine="0" shrinkToFit="0" readingOrder="0"/>
    </dxf>
    <dxf>
      <font>
        <b val="0"/>
        <i val="0"/>
        <strike val="0"/>
        <condense val="0"/>
        <extend val="0"/>
        <outline val="0"/>
        <shadow val="0"/>
        <u val="none"/>
        <vertAlign val="baseline"/>
        <sz val="10"/>
        <color auto="1"/>
        <name val="Cambria"/>
        <family val="1"/>
        <scheme val="major"/>
      </font>
    </dxf>
    <dxf>
      <font>
        <b val="0"/>
        <i val="0"/>
        <strike val="0"/>
        <condense val="0"/>
        <extend val="0"/>
        <outline val="0"/>
        <shadow val="0"/>
        <u val="none"/>
        <vertAlign val="baseline"/>
        <sz val="10"/>
        <color auto="1"/>
        <name val="Cambria"/>
        <family val="1"/>
        <scheme val="maj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border diagonalUp="0" diagonalDown="0" outline="0">
        <left/>
        <right style="thin">
          <color indexed="64"/>
        </right>
        <top/>
        <bottom/>
      </border>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border diagonalUp="0" diagonalDown="0" outline="0">
        <left style="thin">
          <color indexed="64"/>
        </left>
        <right/>
        <top/>
        <bottom/>
      </border>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top" textRotation="0" wrapText="0" indent="0" justifyLastLine="0" shrinkToFit="0" readingOrder="0"/>
    </dxf>
    <dxf>
      <font>
        <b/>
        <i/>
        <strike val="0"/>
        <condense val="0"/>
        <extend val="0"/>
        <outline val="0"/>
        <shadow val="0"/>
        <u val="none"/>
        <vertAlign val="baseline"/>
        <sz val="10"/>
        <color auto="1"/>
        <name val="Cambria"/>
        <family val="1"/>
        <scheme val="major"/>
      </font>
      <alignment horizontal="left"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auto="1"/>
        <name val="Cambria"/>
        <family val="1"/>
        <scheme val="maj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dxf>
    <dxf>
      <font>
        <b/>
        <i val="0"/>
        <strike val="0"/>
        <condense val="0"/>
        <extend val="0"/>
        <outline val="0"/>
        <shadow val="0"/>
        <u val="none"/>
        <vertAlign val="baseline"/>
        <sz val="10"/>
        <color theme="1"/>
        <name val="Cambria"/>
        <family val="1"/>
        <scheme val="major"/>
      </font>
      <fill>
        <patternFill patternType="solid">
          <fgColor indexed="64"/>
          <bgColor theme="4" tint="0.59999389629810485"/>
        </patternFill>
      </fill>
      <alignment horizontal="left" vertical="center" textRotation="0" wrapText="0" indent="0" justifyLastLine="0" shrinkToFit="0" readingOrder="0"/>
    </dxf>
    <dxf>
      <fill>
        <patternFill>
          <bgColor theme="5" tint="0.59996337778862885"/>
        </patternFill>
      </fill>
    </dxf>
    <dxf>
      <fill>
        <patternFill>
          <bgColor theme="8" tint="0.59996337778862885"/>
        </patternFill>
      </fill>
    </dxf>
    <dxf>
      <fill>
        <patternFill>
          <bgColor rgb="FFFFFF00"/>
        </patternFill>
      </fill>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9C0006"/>
      </font>
    </dxf>
    <dxf>
      <fill>
        <patternFill>
          <bgColor theme="5" tint="0.59996337778862885"/>
        </patternFill>
      </fill>
    </dxf>
    <dxf>
      <fill>
        <patternFill>
          <bgColor theme="8" tint="0.59996337778862885"/>
        </patternFill>
      </fill>
    </dxf>
    <dxf>
      <fill>
        <patternFill>
          <bgColor rgb="FFFFFF00"/>
        </patternFill>
      </fill>
    </dxf>
    <dxf>
      <font>
        <color rgb="FFFF0000"/>
      </font>
      <fill>
        <patternFill patternType="none">
          <bgColor auto="1"/>
        </patternFill>
      </fill>
    </dxf>
    <dxf>
      <font>
        <color rgb="FF9C0006"/>
      </font>
    </dxf>
    <dxf>
      <font>
        <color rgb="FF9C0006"/>
      </font>
      <fill>
        <patternFill>
          <bgColor rgb="FFFFC7CE"/>
        </patternFill>
      </fill>
    </dxf>
    <dxf>
      <font>
        <color rgb="FF006100"/>
      </font>
      <fill>
        <patternFill>
          <bgColor rgb="FFC6EFCE"/>
        </patternFill>
      </fill>
    </dxf>
    <dxf>
      <font>
        <b/>
        <i val="0"/>
        <strike val="0"/>
        <condense val="0"/>
        <extend val="0"/>
        <outline val="0"/>
        <shadow val="0"/>
        <u/>
        <vertAlign val="baseline"/>
        <sz val="10"/>
        <color auto="1"/>
        <name val="Cambria"/>
        <family val="1"/>
        <scheme val="major"/>
      </font>
      <fill>
        <patternFill patternType="solid">
          <fgColor indexed="64"/>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mbria"/>
        <family val="1"/>
        <scheme val="major"/>
      </font>
      <numFmt numFmtId="14" formatCode="0.00%"/>
      <border diagonalUp="0" diagonalDown="0">
        <left/>
        <right style="thin">
          <color indexed="64"/>
        </right>
        <top/>
        <bottom/>
        <vertical/>
        <horizontal/>
      </border>
    </dxf>
    <dxf>
      <font>
        <b val="0"/>
        <i val="0"/>
        <strike val="0"/>
        <condense val="0"/>
        <extend val="0"/>
        <outline val="0"/>
        <shadow val="0"/>
        <u val="none"/>
        <vertAlign val="baseline"/>
        <sz val="10"/>
        <color theme="1"/>
        <name val="Cambria"/>
        <family val="1"/>
        <scheme val="maj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0"/>
        <color auto="1"/>
        <name val="Cambria"/>
        <family val="1"/>
        <scheme val="major"/>
      </font>
      <numFmt numFmtId="34" formatCode="_(&quot;$&quot;* #,##0.00_);_(&quot;$&quot;* \(#,##0.00\);_(&quot;$&quot;* &quot;-&quot;??_);_(@_)"/>
      <border diagonalUp="0" diagonalDown="0">
        <left/>
        <right style="thin">
          <color indexed="64"/>
        </right>
        <top/>
        <bottom/>
        <vertical/>
        <horizontal/>
      </border>
    </dxf>
    <dxf>
      <font>
        <b val="0"/>
        <i val="0"/>
        <strike val="0"/>
        <condense val="0"/>
        <extend val="0"/>
        <outline val="0"/>
        <shadow val="0"/>
        <u val="none"/>
        <vertAlign val="baseline"/>
        <sz val="10"/>
        <color auto="1"/>
        <name val="Cambria"/>
        <family val="1"/>
        <scheme val="major"/>
      </font>
      <numFmt numFmtId="34" formatCode="_(&quot;$&quot;* #,##0.00_);_(&quot;$&quot;* \(#,##0.00\);_(&quot;$&quot;* &quot;-&quot;??_);_(@_)"/>
    </dxf>
    <dxf>
      <font>
        <b val="0"/>
        <i val="0"/>
        <strike val="0"/>
        <condense val="0"/>
        <extend val="0"/>
        <outline val="0"/>
        <shadow val="0"/>
        <u val="none"/>
        <vertAlign val="baseline"/>
        <sz val="10"/>
        <color auto="1"/>
        <name val="Cambria"/>
        <family val="1"/>
        <scheme val="maj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numFmt numFmtId="34" formatCode="_(&quot;$&quot;* #,##0.00_);_(&quot;$&quot;* \(#,##0.00\);_(&quot;$&quot;* &quot;-&quot;??_);_(@_)"/>
      <border diagonalUp="0" diagonalDown="0">
        <left/>
        <right style="thin">
          <color indexed="64"/>
        </right>
        <top/>
        <bottom/>
        <vertical/>
        <horizontal/>
      </border>
    </dxf>
    <dxf>
      <font>
        <b val="0"/>
        <i val="0"/>
        <strike val="0"/>
        <condense val="0"/>
        <extend val="0"/>
        <outline val="0"/>
        <shadow val="0"/>
        <u val="none"/>
        <vertAlign val="baseline"/>
        <sz val="10"/>
        <color theme="1"/>
        <name val="Cambria"/>
        <family val="1"/>
        <scheme val="major"/>
      </font>
      <numFmt numFmtId="34" formatCode="_(&quot;$&quot;* #,##0.00_);_(&quot;$&quot;* \(#,##0.00\);_(&quot;$&quot;* &quot;-&quot;??_);_(@_)"/>
    </dxf>
    <dxf>
      <font>
        <b val="0"/>
        <i val="0"/>
        <strike val="0"/>
        <condense val="0"/>
        <extend val="0"/>
        <outline val="0"/>
        <shadow val="0"/>
        <u val="none"/>
        <vertAlign val="baseline"/>
        <sz val="10"/>
        <color theme="1"/>
        <name val="Cambria"/>
        <family val="1"/>
        <scheme val="major"/>
      </font>
      <numFmt numFmtId="34" formatCode="_(&quot;$&quot;* #,##0.00_);_(&quot;$&quot;* \(#,##0.00\);_(&quot;$&quot;* &quot;-&quot;??_);_(@_)"/>
    </dxf>
    <dxf>
      <font>
        <b val="0"/>
        <i val="0"/>
        <strike val="0"/>
        <condense val="0"/>
        <extend val="0"/>
        <outline val="0"/>
        <shadow val="0"/>
        <u val="none"/>
        <vertAlign val="baseline"/>
        <sz val="10"/>
        <color theme="1"/>
        <name val="Cambria"/>
        <family val="1"/>
        <scheme val="major"/>
      </font>
      <numFmt numFmtId="34" formatCode="_(&quot;$&quot;* #,##0.00_);_(&quot;$&quot;* \(#,##0.00\);_(&quot;$&quot;* &quot;-&quot;??_);_(@_)"/>
    </dxf>
    <dxf>
      <font>
        <b val="0"/>
        <i val="0"/>
        <strike val="0"/>
        <condense val="0"/>
        <extend val="0"/>
        <outline val="0"/>
        <shadow val="0"/>
        <u val="none"/>
        <vertAlign val="baseline"/>
        <sz val="10"/>
        <color theme="1"/>
        <name val="Cambria"/>
        <family val="1"/>
        <scheme val="major"/>
      </font>
      <numFmt numFmtId="19" formatCode="m/d/yyyy"/>
      <border diagonalUp="0" diagonalDown="0">
        <left style="thin">
          <color indexed="64"/>
        </left>
        <right/>
        <top/>
        <bottom/>
        <vertical/>
        <horizontal/>
      </border>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mbria"/>
        <family val="1"/>
        <scheme val="major"/>
      </font>
      <alignment horizontal="center" vertical="top" textRotation="0" wrapText="0" indent="0" justifyLastLine="0" shrinkToFit="0" readingOrder="0"/>
    </dxf>
    <dxf>
      <font>
        <b/>
        <i/>
        <strike val="0"/>
        <condense val="0"/>
        <extend val="0"/>
        <outline val="0"/>
        <shadow val="0"/>
        <u val="none"/>
        <vertAlign val="baseline"/>
        <sz val="10"/>
        <color auto="1"/>
        <name val="Cambria"/>
        <family val="1"/>
        <scheme val="major"/>
      </font>
      <numFmt numFmtId="1" formatCode="0"/>
      <alignment horizontal="left"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dxf>
    <dxf>
      <font>
        <b val="0"/>
        <i val="0"/>
        <strike val="0"/>
        <condense val="0"/>
        <extend val="0"/>
        <outline val="0"/>
        <shadow val="0"/>
        <u val="none"/>
        <vertAlign val="baseline"/>
        <sz val="10"/>
        <color theme="1"/>
        <name val="Cambria"/>
        <family val="1"/>
        <scheme val="maj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Cambria"/>
        <family val="1"/>
        <scheme val="maj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mbria"/>
        <family val="1"/>
        <scheme val="major"/>
      </font>
      <numFmt numFmtId="19" formatCode="m/d/yyyy"/>
    </dxf>
    <dxf>
      <font>
        <b val="0"/>
        <i val="0"/>
        <strike val="0"/>
        <condense val="0"/>
        <extend val="0"/>
        <outline val="0"/>
        <shadow val="0"/>
        <u val="none"/>
        <vertAlign val="baseline"/>
        <sz val="10"/>
        <color theme="1"/>
        <name val="Cambria"/>
        <family val="1"/>
        <scheme val="major"/>
      </font>
    </dxf>
    <dxf>
      <font>
        <b/>
        <i val="0"/>
        <strike val="0"/>
        <condense val="0"/>
        <extend val="0"/>
        <outline val="0"/>
        <shadow val="0"/>
        <u val="none"/>
        <vertAlign val="baseline"/>
        <sz val="10"/>
        <color theme="1"/>
        <name val="Cambria"/>
        <family val="1"/>
        <scheme val="major"/>
      </font>
      <fill>
        <patternFill patternType="solid">
          <fgColor indexed="64"/>
          <bgColor theme="4" tint="0.59999389629810485"/>
        </patternFill>
      </fill>
      <alignment horizontal="left" vertical="center" textRotation="0" wrapText="0" indent="0" justifyLastLine="0" shrinkToFit="0" readingOrder="0"/>
    </dxf>
    <dxf>
      <border outline="0">
        <bottom style="medium">
          <color indexed="64"/>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numFmt numFmtId="19" formatCode="m/d/yyyy"/>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numFmt numFmtId="19" formatCode="m/d/yyyy"/>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colors>
    <mruColors>
      <color rgb="FFFF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[Mishaun 1-15-2020 R&amp;R &amp; Magnum Master - BLM Leases.xlsx]Summary Table!PivotTable17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Table'!$B$3:$B$4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 Table'!$A$5:$A$117</c:f>
              <c:multiLvlStrCache>
                <c:ptCount val="98"/>
                <c:lvl>
                  <c:pt idx="0">
                    <c:v>bibb</c:v>
                  </c:pt>
                  <c:pt idx="1">
                    <c:v>BLOUNT</c:v>
                  </c:pt>
                  <c:pt idx="2">
                    <c:v>CONECUH</c:v>
                  </c:pt>
                  <c:pt idx="3">
                    <c:v>COVINGTON</c:v>
                  </c:pt>
                  <c:pt idx="4">
                    <c:v>ESCAMBIA</c:v>
                  </c:pt>
                  <c:pt idx="5">
                    <c:v>LAMAR</c:v>
                  </c:pt>
                  <c:pt idx="6">
                    <c:v>PICKENS</c:v>
                  </c:pt>
                  <c:pt idx="7">
                    <c:v>SHELBY</c:v>
                  </c:pt>
                  <c:pt idx="8">
                    <c:v>TUSCALOOSA</c:v>
                  </c:pt>
                  <c:pt idx="9">
                    <c:v>(blank)</c:v>
                  </c:pt>
                  <c:pt idx="10">
                    <c:v>FRANKLIN</c:v>
                  </c:pt>
                  <c:pt idx="11">
                    <c:v>JOHNSON</c:v>
                  </c:pt>
                  <c:pt idx="12">
                    <c:v>POPE</c:v>
                  </c:pt>
                  <c:pt idx="13">
                    <c:v>SCOTT</c:v>
                  </c:pt>
                  <c:pt idx="14">
                    <c:v>Marion</c:v>
                  </c:pt>
                  <c:pt idx="15">
                    <c:v>maccreary</c:v>
                  </c:pt>
                  <c:pt idx="16">
                    <c:v>whitley</c:v>
                  </c:pt>
                  <c:pt idx="17">
                    <c:v>whitley and mccreary</c:v>
                  </c:pt>
                  <c:pt idx="18">
                    <c:v>Bossier</c:v>
                  </c:pt>
                  <c:pt idx="19">
                    <c:v>CALDWELL PARISH</c:v>
                  </c:pt>
                  <c:pt idx="20">
                    <c:v>CLAIBORNE</c:v>
                  </c:pt>
                  <c:pt idx="21">
                    <c:v>Claiborne Parish</c:v>
                  </c:pt>
                  <c:pt idx="22">
                    <c:v>GRANT PARISH</c:v>
                  </c:pt>
                  <c:pt idx="23">
                    <c:v>Natchitoches &amp; Winn Parishes</c:v>
                  </c:pt>
                  <c:pt idx="24">
                    <c:v>Natchitoches Parish</c:v>
                  </c:pt>
                  <c:pt idx="25">
                    <c:v>POINT COUPEE PARISH</c:v>
                  </c:pt>
                  <c:pt idx="26">
                    <c:v>RAPIDES PARISH</c:v>
                  </c:pt>
                  <c:pt idx="27">
                    <c:v>WEBSTER</c:v>
                  </c:pt>
                  <c:pt idx="28">
                    <c:v>WINN</c:v>
                  </c:pt>
                  <c:pt idx="29">
                    <c:v>Winn &amp; Natchitoches Parishes</c:v>
                  </c:pt>
                  <c:pt idx="30">
                    <c:v>winn and natchitoches parishes</c:v>
                  </c:pt>
                  <c:pt idx="31">
                    <c:v>WINN PARISH</c:v>
                  </c:pt>
                  <c:pt idx="32">
                    <c:v>Manistee National Forest</c:v>
                  </c:pt>
                  <c:pt idx="33">
                    <c:v>MASON</c:v>
                  </c:pt>
                  <c:pt idx="34">
                    <c:v>OCEANA</c:v>
                  </c:pt>
                  <c:pt idx="35">
                    <c:v>ADAMS</c:v>
                  </c:pt>
                  <c:pt idx="36">
                    <c:v>AMITE</c:v>
                  </c:pt>
                  <c:pt idx="37">
                    <c:v>CLAIBORNE &amp; COPIAH</c:v>
                  </c:pt>
                  <c:pt idx="38">
                    <c:v>COPIAH</c:v>
                  </c:pt>
                  <c:pt idx="39">
                    <c:v>COVINGTON</c:v>
                  </c:pt>
                  <c:pt idx="40">
                    <c:v>FORREST</c:v>
                  </c:pt>
                  <c:pt idx="41">
                    <c:v>FRANKLIN</c:v>
                  </c:pt>
                  <c:pt idx="42">
                    <c:v>GREENE</c:v>
                  </c:pt>
                  <c:pt idx="43">
                    <c:v>GRENADA</c:v>
                  </c:pt>
                  <c:pt idx="44">
                    <c:v>HARRISON</c:v>
                  </c:pt>
                  <c:pt idx="45">
                    <c:v>JACKSON</c:v>
                  </c:pt>
                  <c:pt idx="46">
                    <c:v>JACKSON &amp; HARRISON</c:v>
                  </c:pt>
                  <c:pt idx="47">
                    <c:v>JASPER</c:v>
                  </c:pt>
                  <c:pt idx="48">
                    <c:v>LAWRENCE</c:v>
                  </c:pt>
                  <c:pt idx="49">
                    <c:v>NEWTON</c:v>
                  </c:pt>
                  <c:pt idx="50">
                    <c:v>PEARL RIVER</c:v>
                  </c:pt>
                  <c:pt idx="51">
                    <c:v>PERRY</c:v>
                  </c:pt>
                  <c:pt idx="52">
                    <c:v>SCOTT</c:v>
                  </c:pt>
                  <c:pt idx="53">
                    <c:v>SIMPSON</c:v>
                  </c:pt>
                  <c:pt idx="54">
                    <c:v>SMITH</c:v>
                  </c:pt>
                  <c:pt idx="55">
                    <c:v>WAYNE</c:v>
                  </c:pt>
                  <c:pt idx="56">
                    <c:v>WILKINSON</c:v>
                  </c:pt>
                  <c:pt idx="57">
                    <c:v>DANIELS</c:v>
                  </c:pt>
                  <c:pt idx="58">
                    <c:v>DAWSON</c:v>
                  </c:pt>
                  <c:pt idx="59">
                    <c:v>POWDER RIVER</c:v>
                  </c:pt>
                  <c:pt idx="60">
                    <c:v>PRAIRIE</c:v>
                  </c:pt>
                  <c:pt idx="61">
                    <c:v>RICHLAND</c:v>
                  </c:pt>
                  <c:pt idx="62">
                    <c:v>BILLINGS</c:v>
                  </c:pt>
                  <c:pt idx="63">
                    <c:v>BOTTINEAU</c:v>
                  </c:pt>
                  <c:pt idx="64">
                    <c:v>MCKENZIE</c:v>
                  </c:pt>
                  <c:pt idx="65">
                    <c:v>MERCER</c:v>
                  </c:pt>
                  <c:pt idx="66">
                    <c:v>MOUNTRAIL</c:v>
                  </c:pt>
                  <c:pt idx="67">
                    <c:v>RENVILLE</c:v>
                  </c:pt>
                  <c:pt idx="68">
                    <c:v>SLOPE</c:v>
                  </c:pt>
                  <c:pt idx="69">
                    <c:v>CHAVES</c:v>
                  </c:pt>
                  <c:pt idx="70">
                    <c:v>CURRY</c:v>
                  </c:pt>
                  <c:pt idx="71">
                    <c:v>HIDALGO</c:v>
                  </c:pt>
                  <c:pt idx="72">
                    <c:v>LEA</c:v>
                  </c:pt>
                  <c:pt idx="73">
                    <c:v>MCKINLEY</c:v>
                  </c:pt>
                  <c:pt idx="74">
                    <c:v>QUAY</c:v>
                  </c:pt>
                  <c:pt idx="75">
                    <c:v>RIO ARRIBA</c:v>
                  </c:pt>
                  <c:pt idx="76">
                    <c:v>Roosevelt</c:v>
                  </c:pt>
                  <c:pt idx="77">
                    <c:v>SAN JUAN</c:v>
                  </c:pt>
                  <c:pt idx="78">
                    <c:v>SANDOVAL</c:v>
                  </c:pt>
                  <c:pt idx="79">
                    <c:v>GALLIA</c:v>
                  </c:pt>
                  <c:pt idx="80">
                    <c:v>LAWRENCE</c:v>
                  </c:pt>
                  <c:pt idx="81">
                    <c:v>MONROE</c:v>
                  </c:pt>
                  <c:pt idx="82">
                    <c:v>WASHINGTON</c:v>
                  </c:pt>
                  <c:pt idx="83">
                    <c:v>(blank)</c:v>
                  </c:pt>
                  <c:pt idx="84">
                    <c:v>GARVIN</c:v>
                  </c:pt>
                  <c:pt idx="85">
                    <c:v>GRANT</c:v>
                  </c:pt>
                  <c:pt idx="86">
                    <c:v>KAY</c:v>
                  </c:pt>
                  <c:pt idx="87">
                    <c:v>PITTSBURG</c:v>
                  </c:pt>
                  <c:pt idx="88">
                    <c:v>FALL RIVER</c:v>
                  </c:pt>
                  <c:pt idx="89">
                    <c:v>HARDING</c:v>
                  </c:pt>
                  <c:pt idx="90">
                    <c:v>DALLAM</c:v>
                  </c:pt>
                  <c:pt idx="91">
                    <c:v>FANNIN</c:v>
                  </c:pt>
                  <c:pt idx="92">
                    <c:v>HILL</c:v>
                  </c:pt>
                  <c:pt idx="93">
                    <c:v>HOUSTON</c:v>
                  </c:pt>
                  <c:pt idx="94">
                    <c:v>JASPER &amp; SABINE</c:v>
                  </c:pt>
                  <c:pt idx="95">
                    <c:v>SABINE</c:v>
                  </c:pt>
                  <c:pt idx="96">
                    <c:v>SHELBY</c:v>
                  </c:pt>
                  <c:pt idx="97">
                    <c:v>TERRY</c:v>
                  </c:pt>
                </c:lvl>
                <c:lvl>
                  <c:pt idx="0">
                    <c:v>AL</c:v>
                  </c:pt>
                  <c:pt idx="10">
                    <c:v>AR</c:v>
                  </c:pt>
                  <c:pt idx="14">
                    <c:v>KS</c:v>
                  </c:pt>
                  <c:pt idx="15">
                    <c:v>KY</c:v>
                  </c:pt>
                  <c:pt idx="18">
                    <c:v>LA</c:v>
                  </c:pt>
                  <c:pt idx="32">
                    <c:v>MI</c:v>
                  </c:pt>
                  <c:pt idx="35">
                    <c:v>MS</c:v>
                  </c:pt>
                  <c:pt idx="57">
                    <c:v>MT</c:v>
                  </c:pt>
                  <c:pt idx="62">
                    <c:v>ND</c:v>
                  </c:pt>
                  <c:pt idx="69">
                    <c:v>NM</c:v>
                  </c:pt>
                  <c:pt idx="79">
                    <c:v>OH</c:v>
                  </c:pt>
                  <c:pt idx="84">
                    <c:v>OK</c:v>
                  </c:pt>
                  <c:pt idx="88">
                    <c:v>SD</c:v>
                  </c:pt>
                  <c:pt idx="90">
                    <c:v>TX</c:v>
                  </c:pt>
                </c:lvl>
              </c:multiLvlStrCache>
            </c:multiLvlStrRef>
          </c:cat>
          <c:val>
            <c:numRef>
              <c:f>'Summary Table'!$B$5:$B$117</c:f>
              <c:numCache>
                <c:formatCode>#,##0</c:formatCode>
                <c:ptCount val="98"/>
                <c:pt idx="1">
                  <c:v>319.79000000000002</c:v>
                </c:pt>
                <c:pt idx="2">
                  <c:v>122</c:v>
                </c:pt>
                <c:pt idx="5">
                  <c:v>97.259999999999991</c:v>
                </c:pt>
                <c:pt idx="7">
                  <c:v>37.9</c:v>
                </c:pt>
                <c:pt idx="8">
                  <c:v>813.41</c:v>
                </c:pt>
                <c:pt idx="9">
                  <c:v>154.30000000000001</c:v>
                </c:pt>
                <c:pt idx="21">
                  <c:v>12</c:v>
                </c:pt>
                <c:pt idx="22">
                  <c:v>40</c:v>
                </c:pt>
                <c:pt idx="23">
                  <c:v>3965.9100000000003</c:v>
                </c:pt>
                <c:pt idx="26">
                  <c:v>26665.749999999996</c:v>
                </c:pt>
                <c:pt idx="28">
                  <c:v>142.41</c:v>
                </c:pt>
                <c:pt idx="31">
                  <c:v>2204.09</c:v>
                </c:pt>
                <c:pt idx="37">
                  <c:v>80</c:v>
                </c:pt>
                <c:pt idx="38">
                  <c:v>780</c:v>
                </c:pt>
                <c:pt idx="42">
                  <c:v>400</c:v>
                </c:pt>
                <c:pt idx="48">
                  <c:v>80</c:v>
                </c:pt>
                <c:pt idx="49">
                  <c:v>173.33</c:v>
                </c:pt>
                <c:pt idx="53">
                  <c:v>120</c:v>
                </c:pt>
                <c:pt idx="55">
                  <c:v>160</c:v>
                </c:pt>
                <c:pt idx="69">
                  <c:v>480</c:v>
                </c:pt>
                <c:pt idx="70">
                  <c:v>160</c:v>
                </c:pt>
                <c:pt idx="72">
                  <c:v>360</c:v>
                </c:pt>
                <c:pt idx="73">
                  <c:v>769.8</c:v>
                </c:pt>
                <c:pt idx="74">
                  <c:v>15834.19</c:v>
                </c:pt>
                <c:pt idx="78">
                  <c:v>2532.6800000000003</c:v>
                </c:pt>
                <c:pt idx="79">
                  <c:v>3218.86</c:v>
                </c:pt>
                <c:pt idx="80">
                  <c:v>5495.84</c:v>
                </c:pt>
                <c:pt idx="81">
                  <c:v>373.31</c:v>
                </c:pt>
                <c:pt idx="82">
                  <c:v>81.17</c:v>
                </c:pt>
                <c:pt idx="83">
                  <c:v>118.28</c:v>
                </c:pt>
                <c:pt idx="85">
                  <c:v>10.728</c:v>
                </c:pt>
                <c:pt idx="87">
                  <c:v>40</c:v>
                </c:pt>
                <c:pt idx="90">
                  <c:v>938.58</c:v>
                </c:pt>
                <c:pt idx="95">
                  <c:v>544.82000000000005</c:v>
                </c:pt>
                <c:pt idx="96">
                  <c:v>249</c:v>
                </c:pt>
                <c:pt idx="97">
                  <c:v>520.20000000000005</c:v>
                </c:pt>
              </c:numCache>
            </c:numRef>
          </c:val>
          <c:extLst>
            <c:ext xmlns:c16="http://schemas.microsoft.com/office/drawing/2014/chart" uri="{C3380CC4-5D6E-409C-BE32-E72D297353CC}">
              <c16:uniqueId val="{00000000-8559-4CE2-9D31-8C288E3E295D}"/>
            </c:ext>
          </c:extLst>
        </c:ser>
        <c:ser>
          <c:idx val="1"/>
          <c:order val="1"/>
          <c:tx>
            <c:strRef>
              <c:f>'Summary Table'!$C$3:$C$4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 Table'!$A$5:$A$117</c:f>
              <c:multiLvlStrCache>
                <c:ptCount val="98"/>
                <c:lvl>
                  <c:pt idx="0">
                    <c:v>bibb</c:v>
                  </c:pt>
                  <c:pt idx="1">
                    <c:v>BLOUNT</c:v>
                  </c:pt>
                  <c:pt idx="2">
                    <c:v>CONECUH</c:v>
                  </c:pt>
                  <c:pt idx="3">
                    <c:v>COVINGTON</c:v>
                  </c:pt>
                  <c:pt idx="4">
                    <c:v>ESCAMBIA</c:v>
                  </c:pt>
                  <c:pt idx="5">
                    <c:v>LAMAR</c:v>
                  </c:pt>
                  <c:pt idx="6">
                    <c:v>PICKENS</c:v>
                  </c:pt>
                  <c:pt idx="7">
                    <c:v>SHELBY</c:v>
                  </c:pt>
                  <c:pt idx="8">
                    <c:v>TUSCALOOSA</c:v>
                  </c:pt>
                  <c:pt idx="9">
                    <c:v>(blank)</c:v>
                  </c:pt>
                  <c:pt idx="10">
                    <c:v>FRANKLIN</c:v>
                  </c:pt>
                  <c:pt idx="11">
                    <c:v>JOHNSON</c:v>
                  </c:pt>
                  <c:pt idx="12">
                    <c:v>POPE</c:v>
                  </c:pt>
                  <c:pt idx="13">
                    <c:v>SCOTT</c:v>
                  </c:pt>
                  <c:pt idx="14">
                    <c:v>Marion</c:v>
                  </c:pt>
                  <c:pt idx="15">
                    <c:v>maccreary</c:v>
                  </c:pt>
                  <c:pt idx="16">
                    <c:v>whitley</c:v>
                  </c:pt>
                  <c:pt idx="17">
                    <c:v>whitley and mccreary</c:v>
                  </c:pt>
                  <c:pt idx="18">
                    <c:v>Bossier</c:v>
                  </c:pt>
                  <c:pt idx="19">
                    <c:v>CALDWELL PARISH</c:v>
                  </c:pt>
                  <c:pt idx="20">
                    <c:v>CLAIBORNE</c:v>
                  </c:pt>
                  <c:pt idx="21">
                    <c:v>Claiborne Parish</c:v>
                  </c:pt>
                  <c:pt idx="22">
                    <c:v>GRANT PARISH</c:v>
                  </c:pt>
                  <c:pt idx="23">
                    <c:v>Natchitoches &amp; Winn Parishes</c:v>
                  </c:pt>
                  <c:pt idx="24">
                    <c:v>Natchitoches Parish</c:v>
                  </c:pt>
                  <c:pt idx="25">
                    <c:v>POINT COUPEE PARISH</c:v>
                  </c:pt>
                  <c:pt idx="26">
                    <c:v>RAPIDES PARISH</c:v>
                  </c:pt>
                  <c:pt idx="27">
                    <c:v>WEBSTER</c:v>
                  </c:pt>
                  <c:pt idx="28">
                    <c:v>WINN</c:v>
                  </c:pt>
                  <c:pt idx="29">
                    <c:v>Winn &amp; Natchitoches Parishes</c:v>
                  </c:pt>
                  <c:pt idx="30">
                    <c:v>winn and natchitoches parishes</c:v>
                  </c:pt>
                  <c:pt idx="31">
                    <c:v>WINN PARISH</c:v>
                  </c:pt>
                  <c:pt idx="32">
                    <c:v>Manistee National Forest</c:v>
                  </c:pt>
                  <c:pt idx="33">
                    <c:v>MASON</c:v>
                  </c:pt>
                  <c:pt idx="34">
                    <c:v>OCEANA</c:v>
                  </c:pt>
                  <c:pt idx="35">
                    <c:v>ADAMS</c:v>
                  </c:pt>
                  <c:pt idx="36">
                    <c:v>AMITE</c:v>
                  </c:pt>
                  <c:pt idx="37">
                    <c:v>CLAIBORNE &amp; COPIAH</c:v>
                  </c:pt>
                  <c:pt idx="38">
                    <c:v>COPIAH</c:v>
                  </c:pt>
                  <c:pt idx="39">
                    <c:v>COVINGTON</c:v>
                  </c:pt>
                  <c:pt idx="40">
                    <c:v>FORREST</c:v>
                  </c:pt>
                  <c:pt idx="41">
                    <c:v>FRANKLIN</c:v>
                  </c:pt>
                  <c:pt idx="42">
                    <c:v>GREENE</c:v>
                  </c:pt>
                  <c:pt idx="43">
                    <c:v>GRENADA</c:v>
                  </c:pt>
                  <c:pt idx="44">
                    <c:v>HARRISON</c:v>
                  </c:pt>
                  <c:pt idx="45">
                    <c:v>JACKSON</c:v>
                  </c:pt>
                  <c:pt idx="46">
                    <c:v>JACKSON &amp; HARRISON</c:v>
                  </c:pt>
                  <c:pt idx="47">
                    <c:v>JASPER</c:v>
                  </c:pt>
                  <c:pt idx="48">
                    <c:v>LAWRENCE</c:v>
                  </c:pt>
                  <c:pt idx="49">
                    <c:v>NEWTON</c:v>
                  </c:pt>
                  <c:pt idx="50">
                    <c:v>PEARL RIVER</c:v>
                  </c:pt>
                  <c:pt idx="51">
                    <c:v>PERRY</c:v>
                  </c:pt>
                  <c:pt idx="52">
                    <c:v>SCOTT</c:v>
                  </c:pt>
                  <c:pt idx="53">
                    <c:v>SIMPSON</c:v>
                  </c:pt>
                  <c:pt idx="54">
                    <c:v>SMITH</c:v>
                  </c:pt>
                  <c:pt idx="55">
                    <c:v>WAYNE</c:v>
                  </c:pt>
                  <c:pt idx="56">
                    <c:v>WILKINSON</c:v>
                  </c:pt>
                  <c:pt idx="57">
                    <c:v>DANIELS</c:v>
                  </c:pt>
                  <c:pt idx="58">
                    <c:v>DAWSON</c:v>
                  </c:pt>
                  <c:pt idx="59">
                    <c:v>POWDER RIVER</c:v>
                  </c:pt>
                  <c:pt idx="60">
                    <c:v>PRAIRIE</c:v>
                  </c:pt>
                  <c:pt idx="61">
                    <c:v>RICHLAND</c:v>
                  </c:pt>
                  <c:pt idx="62">
                    <c:v>BILLINGS</c:v>
                  </c:pt>
                  <c:pt idx="63">
                    <c:v>BOTTINEAU</c:v>
                  </c:pt>
                  <c:pt idx="64">
                    <c:v>MCKENZIE</c:v>
                  </c:pt>
                  <c:pt idx="65">
                    <c:v>MERCER</c:v>
                  </c:pt>
                  <c:pt idx="66">
                    <c:v>MOUNTRAIL</c:v>
                  </c:pt>
                  <c:pt idx="67">
                    <c:v>RENVILLE</c:v>
                  </c:pt>
                  <c:pt idx="68">
                    <c:v>SLOPE</c:v>
                  </c:pt>
                  <c:pt idx="69">
                    <c:v>CHAVES</c:v>
                  </c:pt>
                  <c:pt idx="70">
                    <c:v>CURRY</c:v>
                  </c:pt>
                  <c:pt idx="71">
                    <c:v>HIDALGO</c:v>
                  </c:pt>
                  <c:pt idx="72">
                    <c:v>LEA</c:v>
                  </c:pt>
                  <c:pt idx="73">
                    <c:v>MCKINLEY</c:v>
                  </c:pt>
                  <c:pt idx="74">
                    <c:v>QUAY</c:v>
                  </c:pt>
                  <c:pt idx="75">
                    <c:v>RIO ARRIBA</c:v>
                  </c:pt>
                  <c:pt idx="76">
                    <c:v>Roosevelt</c:v>
                  </c:pt>
                  <c:pt idx="77">
                    <c:v>SAN JUAN</c:v>
                  </c:pt>
                  <c:pt idx="78">
                    <c:v>SANDOVAL</c:v>
                  </c:pt>
                  <c:pt idx="79">
                    <c:v>GALLIA</c:v>
                  </c:pt>
                  <c:pt idx="80">
                    <c:v>LAWRENCE</c:v>
                  </c:pt>
                  <c:pt idx="81">
                    <c:v>MONROE</c:v>
                  </c:pt>
                  <c:pt idx="82">
                    <c:v>WASHINGTON</c:v>
                  </c:pt>
                  <c:pt idx="83">
                    <c:v>(blank)</c:v>
                  </c:pt>
                  <c:pt idx="84">
                    <c:v>GARVIN</c:v>
                  </c:pt>
                  <c:pt idx="85">
                    <c:v>GRANT</c:v>
                  </c:pt>
                  <c:pt idx="86">
                    <c:v>KAY</c:v>
                  </c:pt>
                  <c:pt idx="87">
                    <c:v>PITTSBURG</c:v>
                  </c:pt>
                  <c:pt idx="88">
                    <c:v>FALL RIVER</c:v>
                  </c:pt>
                  <c:pt idx="89">
                    <c:v>HARDING</c:v>
                  </c:pt>
                  <c:pt idx="90">
                    <c:v>DALLAM</c:v>
                  </c:pt>
                  <c:pt idx="91">
                    <c:v>FANNIN</c:v>
                  </c:pt>
                  <c:pt idx="92">
                    <c:v>HILL</c:v>
                  </c:pt>
                  <c:pt idx="93">
                    <c:v>HOUSTON</c:v>
                  </c:pt>
                  <c:pt idx="94">
                    <c:v>JASPER &amp; SABINE</c:v>
                  </c:pt>
                  <c:pt idx="95">
                    <c:v>SABINE</c:v>
                  </c:pt>
                  <c:pt idx="96">
                    <c:v>SHELBY</c:v>
                  </c:pt>
                  <c:pt idx="97">
                    <c:v>TERRY</c:v>
                  </c:pt>
                </c:lvl>
                <c:lvl>
                  <c:pt idx="0">
                    <c:v>AL</c:v>
                  </c:pt>
                  <c:pt idx="10">
                    <c:v>AR</c:v>
                  </c:pt>
                  <c:pt idx="14">
                    <c:v>KS</c:v>
                  </c:pt>
                  <c:pt idx="15">
                    <c:v>KY</c:v>
                  </c:pt>
                  <c:pt idx="18">
                    <c:v>LA</c:v>
                  </c:pt>
                  <c:pt idx="32">
                    <c:v>MI</c:v>
                  </c:pt>
                  <c:pt idx="35">
                    <c:v>MS</c:v>
                  </c:pt>
                  <c:pt idx="57">
                    <c:v>MT</c:v>
                  </c:pt>
                  <c:pt idx="62">
                    <c:v>ND</c:v>
                  </c:pt>
                  <c:pt idx="69">
                    <c:v>NM</c:v>
                  </c:pt>
                  <c:pt idx="79">
                    <c:v>OH</c:v>
                  </c:pt>
                  <c:pt idx="84">
                    <c:v>OK</c:v>
                  </c:pt>
                  <c:pt idx="88">
                    <c:v>SD</c:v>
                  </c:pt>
                  <c:pt idx="90">
                    <c:v>TX</c:v>
                  </c:pt>
                </c:lvl>
              </c:multiLvlStrCache>
            </c:multiLvlStrRef>
          </c:cat>
          <c:val>
            <c:numRef>
              <c:f>'Summary Table'!$C$5:$C$117</c:f>
              <c:numCache>
                <c:formatCode>#,##0</c:formatCode>
                <c:ptCount val="98"/>
                <c:pt idx="0">
                  <c:v>768.67</c:v>
                </c:pt>
                <c:pt idx="2">
                  <c:v>39.93</c:v>
                </c:pt>
                <c:pt idx="3">
                  <c:v>756.54</c:v>
                </c:pt>
                <c:pt idx="10">
                  <c:v>160</c:v>
                </c:pt>
                <c:pt idx="11">
                  <c:v>149.97</c:v>
                </c:pt>
                <c:pt idx="12">
                  <c:v>1569.4549999999999</c:v>
                </c:pt>
                <c:pt idx="13">
                  <c:v>2495.4700000000003</c:v>
                </c:pt>
                <c:pt idx="14">
                  <c:v>54.38</c:v>
                </c:pt>
                <c:pt idx="15">
                  <c:v>95.2</c:v>
                </c:pt>
                <c:pt idx="16">
                  <c:v>1668.7</c:v>
                </c:pt>
                <c:pt idx="17">
                  <c:v>2069.6999999999998</c:v>
                </c:pt>
                <c:pt idx="18">
                  <c:v>39.93</c:v>
                </c:pt>
                <c:pt idx="19">
                  <c:v>1039.92</c:v>
                </c:pt>
                <c:pt idx="20">
                  <c:v>642.48</c:v>
                </c:pt>
                <c:pt idx="22">
                  <c:v>6247.6</c:v>
                </c:pt>
                <c:pt idx="24">
                  <c:v>56.25</c:v>
                </c:pt>
                <c:pt idx="25">
                  <c:v>1.24</c:v>
                </c:pt>
                <c:pt idx="27">
                  <c:v>269.47000000000003</c:v>
                </c:pt>
                <c:pt idx="29">
                  <c:v>437.26</c:v>
                </c:pt>
                <c:pt idx="30">
                  <c:v>513.38</c:v>
                </c:pt>
                <c:pt idx="31">
                  <c:v>17086.440000000002</c:v>
                </c:pt>
                <c:pt idx="32">
                  <c:v>245</c:v>
                </c:pt>
                <c:pt idx="33">
                  <c:v>160</c:v>
                </c:pt>
                <c:pt idx="34">
                  <c:v>160</c:v>
                </c:pt>
                <c:pt idx="35">
                  <c:v>2881.3</c:v>
                </c:pt>
                <c:pt idx="36">
                  <c:v>11066.750000000002</c:v>
                </c:pt>
                <c:pt idx="40">
                  <c:v>2442.1499999999996</c:v>
                </c:pt>
                <c:pt idx="41">
                  <c:v>17014.980000000003</c:v>
                </c:pt>
                <c:pt idx="43">
                  <c:v>40.200000000000003</c:v>
                </c:pt>
                <c:pt idx="44">
                  <c:v>6287.29</c:v>
                </c:pt>
                <c:pt idx="45">
                  <c:v>6730.66</c:v>
                </c:pt>
                <c:pt idx="46">
                  <c:v>2158.77</c:v>
                </c:pt>
                <c:pt idx="50">
                  <c:v>601.73</c:v>
                </c:pt>
                <c:pt idx="51">
                  <c:v>14900.691999999999</c:v>
                </c:pt>
                <c:pt idx="52">
                  <c:v>2384.0500000000002</c:v>
                </c:pt>
                <c:pt idx="54">
                  <c:v>4049.46</c:v>
                </c:pt>
                <c:pt idx="55">
                  <c:v>8792.09</c:v>
                </c:pt>
                <c:pt idx="56">
                  <c:v>812.16000000000008</c:v>
                </c:pt>
                <c:pt idx="57">
                  <c:v>1737</c:v>
                </c:pt>
                <c:pt idx="58">
                  <c:v>6020.72</c:v>
                </c:pt>
                <c:pt idx="59">
                  <c:v>2009.6</c:v>
                </c:pt>
                <c:pt idx="61">
                  <c:v>463.01</c:v>
                </c:pt>
                <c:pt idx="62">
                  <c:v>90.25</c:v>
                </c:pt>
                <c:pt idx="63">
                  <c:v>160</c:v>
                </c:pt>
                <c:pt idx="64">
                  <c:v>120.69</c:v>
                </c:pt>
                <c:pt idx="65">
                  <c:v>960</c:v>
                </c:pt>
                <c:pt idx="66">
                  <c:v>920</c:v>
                </c:pt>
                <c:pt idx="68">
                  <c:v>9715.1200000000008</c:v>
                </c:pt>
                <c:pt idx="69">
                  <c:v>1640</c:v>
                </c:pt>
                <c:pt idx="72">
                  <c:v>280</c:v>
                </c:pt>
                <c:pt idx="73">
                  <c:v>1660.87</c:v>
                </c:pt>
                <c:pt idx="74">
                  <c:v>2756.8599999999997</c:v>
                </c:pt>
                <c:pt idx="76">
                  <c:v>320</c:v>
                </c:pt>
                <c:pt idx="77">
                  <c:v>480</c:v>
                </c:pt>
                <c:pt idx="88">
                  <c:v>1063</c:v>
                </c:pt>
                <c:pt idx="89">
                  <c:v>3649.2</c:v>
                </c:pt>
                <c:pt idx="92">
                  <c:v>71.084999999999994</c:v>
                </c:pt>
                <c:pt idx="93">
                  <c:v>274.89</c:v>
                </c:pt>
                <c:pt idx="95">
                  <c:v>1053.4000000000001</c:v>
                </c:pt>
              </c:numCache>
            </c:numRef>
          </c:val>
          <c:extLst>
            <c:ext xmlns:c16="http://schemas.microsoft.com/office/drawing/2014/chart" uri="{C3380CC4-5D6E-409C-BE32-E72D297353CC}">
              <c16:uniqueId val="{00000001-8559-4CE2-9D31-8C288E3E295D}"/>
            </c:ext>
          </c:extLst>
        </c:ser>
        <c:ser>
          <c:idx val="2"/>
          <c:order val="2"/>
          <c:tx>
            <c:strRef>
              <c:f>'Summary Table'!$D$3:$D$4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 Table'!$A$5:$A$117</c:f>
              <c:multiLvlStrCache>
                <c:ptCount val="98"/>
                <c:lvl>
                  <c:pt idx="0">
                    <c:v>bibb</c:v>
                  </c:pt>
                  <c:pt idx="1">
                    <c:v>BLOUNT</c:v>
                  </c:pt>
                  <c:pt idx="2">
                    <c:v>CONECUH</c:v>
                  </c:pt>
                  <c:pt idx="3">
                    <c:v>COVINGTON</c:v>
                  </c:pt>
                  <c:pt idx="4">
                    <c:v>ESCAMBIA</c:v>
                  </c:pt>
                  <c:pt idx="5">
                    <c:v>LAMAR</c:v>
                  </c:pt>
                  <c:pt idx="6">
                    <c:v>PICKENS</c:v>
                  </c:pt>
                  <c:pt idx="7">
                    <c:v>SHELBY</c:v>
                  </c:pt>
                  <c:pt idx="8">
                    <c:v>TUSCALOOSA</c:v>
                  </c:pt>
                  <c:pt idx="9">
                    <c:v>(blank)</c:v>
                  </c:pt>
                  <c:pt idx="10">
                    <c:v>FRANKLIN</c:v>
                  </c:pt>
                  <c:pt idx="11">
                    <c:v>JOHNSON</c:v>
                  </c:pt>
                  <c:pt idx="12">
                    <c:v>POPE</c:v>
                  </c:pt>
                  <c:pt idx="13">
                    <c:v>SCOTT</c:v>
                  </c:pt>
                  <c:pt idx="14">
                    <c:v>Marion</c:v>
                  </c:pt>
                  <c:pt idx="15">
                    <c:v>maccreary</c:v>
                  </c:pt>
                  <c:pt idx="16">
                    <c:v>whitley</c:v>
                  </c:pt>
                  <c:pt idx="17">
                    <c:v>whitley and mccreary</c:v>
                  </c:pt>
                  <c:pt idx="18">
                    <c:v>Bossier</c:v>
                  </c:pt>
                  <c:pt idx="19">
                    <c:v>CALDWELL PARISH</c:v>
                  </c:pt>
                  <c:pt idx="20">
                    <c:v>CLAIBORNE</c:v>
                  </c:pt>
                  <c:pt idx="21">
                    <c:v>Claiborne Parish</c:v>
                  </c:pt>
                  <c:pt idx="22">
                    <c:v>GRANT PARISH</c:v>
                  </c:pt>
                  <c:pt idx="23">
                    <c:v>Natchitoches &amp; Winn Parishes</c:v>
                  </c:pt>
                  <c:pt idx="24">
                    <c:v>Natchitoches Parish</c:v>
                  </c:pt>
                  <c:pt idx="25">
                    <c:v>POINT COUPEE PARISH</c:v>
                  </c:pt>
                  <c:pt idx="26">
                    <c:v>RAPIDES PARISH</c:v>
                  </c:pt>
                  <c:pt idx="27">
                    <c:v>WEBSTER</c:v>
                  </c:pt>
                  <c:pt idx="28">
                    <c:v>WINN</c:v>
                  </c:pt>
                  <c:pt idx="29">
                    <c:v>Winn &amp; Natchitoches Parishes</c:v>
                  </c:pt>
                  <c:pt idx="30">
                    <c:v>winn and natchitoches parishes</c:v>
                  </c:pt>
                  <c:pt idx="31">
                    <c:v>WINN PARISH</c:v>
                  </c:pt>
                  <c:pt idx="32">
                    <c:v>Manistee National Forest</c:v>
                  </c:pt>
                  <c:pt idx="33">
                    <c:v>MASON</c:v>
                  </c:pt>
                  <c:pt idx="34">
                    <c:v>OCEANA</c:v>
                  </c:pt>
                  <c:pt idx="35">
                    <c:v>ADAMS</c:v>
                  </c:pt>
                  <c:pt idx="36">
                    <c:v>AMITE</c:v>
                  </c:pt>
                  <c:pt idx="37">
                    <c:v>CLAIBORNE &amp; COPIAH</c:v>
                  </c:pt>
                  <c:pt idx="38">
                    <c:v>COPIAH</c:v>
                  </c:pt>
                  <c:pt idx="39">
                    <c:v>COVINGTON</c:v>
                  </c:pt>
                  <c:pt idx="40">
                    <c:v>FORREST</c:v>
                  </c:pt>
                  <c:pt idx="41">
                    <c:v>FRANKLIN</c:v>
                  </c:pt>
                  <c:pt idx="42">
                    <c:v>GREENE</c:v>
                  </c:pt>
                  <c:pt idx="43">
                    <c:v>GRENADA</c:v>
                  </c:pt>
                  <c:pt idx="44">
                    <c:v>HARRISON</c:v>
                  </c:pt>
                  <c:pt idx="45">
                    <c:v>JACKSON</c:v>
                  </c:pt>
                  <c:pt idx="46">
                    <c:v>JACKSON &amp; HARRISON</c:v>
                  </c:pt>
                  <c:pt idx="47">
                    <c:v>JASPER</c:v>
                  </c:pt>
                  <c:pt idx="48">
                    <c:v>LAWRENCE</c:v>
                  </c:pt>
                  <c:pt idx="49">
                    <c:v>NEWTON</c:v>
                  </c:pt>
                  <c:pt idx="50">
                    <c:v>PEARL RIVER</c:v>
                  </c:pt>
                  <c:pt idx="51">
                    <c:v>PERRY</c:v>
                  </c:pt>
                  <c:pt idx="52">
                    <c:v>SCOTT</c:v>
                  </c:pt>
                  <c:pt idx="53">
                    <c:v>SIMPSON</c:v>
                  </c:pt>
                  <c:pt idx="54">
                    <c:v>SMITH</c:v>
                  </c:pt>
                  <c:pt idx="55">
                    <c:v>WAYNE</c:v>
                  </c:pt>
                  <c:pt idx="56">
                    <c:v>WILKINSON</c:v>
                  </c:pt>
                  <c:pt idx="57">
                    <c:v>DANIELS</c:v>
                  </c:pt>
                  <c:pt idx="58">
                    <c:v>DAWSON</c:v>
                  </c:pt>
                  <c:pt idx="59">
                    <c:v>POWDER RIVER</c:v>
                  </c:pt>
                  <c:pt idx="60">
                    <c:v>PRAIRIE</c:v>
                  </c:pt>
                  <c:pt idx="61">
                    <c:v>RICHLAND</c:v>
                  </c:pt>
                  <c:pt idx="62">
                    <c:v>BILLINGS</c:v>
                  </c:pt>
                  <c:pt idx="63">
                    <c:v>BOTTINEAU</c:v>
                  </c:pt>
                  <c:pt idx="64">
                    <c:v>MCKENZIE</c:v>
                  </c:pt>
                  <c:pt idx="65">
                    <c:v>MERCER</c:v>
                  </c:pt>
                  <c:pt idx="66">
                    <c:v>MOUNTRAIL</c:v>
                  </c:pt>
                  <c:pt idx="67">
                    <c:v>RENVILLE</c:v>
                  </c:pt>
                  <c:pt idx="68">
                    <c:v>SLOPE</c:v>
                  </c:pt>
                  <c:pt idx="69">
                    <c:v>CHAVES</c:v>
                  </c:pt>
                  <c:pt idx="70">
                    <c:v>CURRY</c:v>
                  </c:pt>
                  <c:pt idx="71">
                    <c:v>HIDALGO</c:v>
                  </c:pt>
                  <c:pt idx="72">
                    <c:v>LEA</c:v>
                  </c:pt>
                  <c:pt idx="73">
                    <c:v>MCKINLEY</c:v>
                  </c:pt>
                  <c:pt idx="74">
                    <c:v>QUAY</c:v>
                  </c:pt>
                  <c:pt idx="75">
                    <c:v>RIO ARRIBA</c:v>
                  </c:pt>
                  <c:pt idx="76">
                    <c:v>Roosevelt</c:v>
                  </c:pt>
                  <c:pt idx="77">
                    <c:v>SAN JUAN</c:v>
                  </c:pt>
                  <c:pt idx="78">
                    <c:v>SANDOVAL</c:v>
                  </c:pt>
                  <c:pt idx="79">
                    <c:v>GALLIA</c:v>
                  </c:pt>
                  <c:pt idx="80">
                    <c:v>LAWRENCE</c:v>
                  </c:pt>
                  <c:pt idx="81">
                    <c:v>MONROE</c:v>
                  </c:pt>
                  <c:pt idx="82">
                    <c:v>WASHINGTON</c:v>
                  </c:pt>
                  <c:pt idx="83">
                    <c:v>(blank)</c:v>
                  </c:pt>
                  <c:pt idx="84">
                    <c:v>GARVIN</c:v>
                  </c:pt>
                  <c:pt idx="85">
                    <c:v>GRANT</c:v>
                  </c:pt>
                  <c:pt idx="86">
                    <c:v>KAY</c:v>
                  </c:pt>
                  <c:pt idx="87">
                    <c:v>PITTSBURG</c:v>
                  </c:pt>
                  <c:pt idx="88">
                    <c:v>FALL RIVER</c:v>
                  </c:pt>
                  <c:pt idx="89">
                    <c:v>HARDING</c:v>
                  </c:pt>
                  <c:pt idx="90">
                    <c:v>DALLAM</c:v>
                  </c:pt>
                  <c:pt idx="91">
                    <c:v>FANNIN</c:v>
                  </c:pt>
                  <c:pt idx="92">
                    <c:v>HILL</c:v>
                  </c:pt>
                  <c:pt idx="93">
                    <c:v>HOUSTON</c:v>
                  </c:pt>
                  <c:pt idx="94">
                    <c:v>JASPER &amp; SABINE</c:v>
                  </c:pt>
                  <c:pt idx="95">
                    <c:v>SABINE</c:v>
                  </c:pt>
                  <c:pt idx="96">
                    <c:v>SHELBY</c:v>
                  </c:pt>
                  <c:pt idx="97">
                    <c:v>TERRY</c:v>
                  </c:pt>
                </c:lvl>
                <c:lvl>
                  <c:pt idx="0">
                    <c:v>AL</c:v>
                  </c:pt>
                  <c:pt idx="10">
                    <c:v>AR</c:v>
                  </c:pt>
                  <c:pt idx="14">
                    <c:v>KS</c:v>
                  </c:pt>
                  <c:pt idx="15">
                    <c:v>KY</c:v>
                  </c:pt>
                  <c:pt idx="18">
                    <c:v>LA</c:v>
                  </c:pt>
                  <c:pt idx="32">
                    <c:v>MI</c:v>
                  </c:pt>
                  <c:pt idx="35">
                    <c:v>MS</c:v>
                  </c:pt>
                  <c:pt idx="57">
                    <c:v>MT</c:v>
                  </c:pt>
                  <c:pt idx="62">
                    <c:v>ND</c:v>
                  </c:pt>
                  <c:pt idx="69">
                    <c:v>NM</c:v>
                  </c:pt>
                  <c:pt idx="79">
                    <c:v>OH</c:v>
                  </c:pt>
                  <c:pt idx="84">
                    <c:v>OK</c:v>
                  </c:pt>
                  <c:pt idx="88">
                    <c:v>SD</c:v>
                  </c:pt>
                  <c:pt idx="90">
                    <c:v>TX</c:v>
                  </c:pt>
                </c:lvl>
              </c:multiLvlStrCache>
            </c:multiLvlStrRef>
          </c:cat>
          <c:val>
            <c:numRef>
              <c:f>'Summary Table'!$D$5:$D$117</c:f>
              <c:numCache>
                <c:formatCode>#,##0</c:formatCode>
                <c:ptCount val="98"/>
                <c:pt idx="0">
                  <c:v>1021.03</c:v>
                </c:pt>
                <c:pt idx="3">
                  <c:v>12157.370000000003</c:v>
                </c:pt>
                <c:pt idx="4">
                  <c:v>4000.98</c:v>
                </c:pt>
                <c:pt idx="6">
                  <c:v>200</c:v>
                </c:pt>
                <c:pt idx="19">
                  <c:v>859.16</c:v>
                </c:pt>
                <c:pt idx="24">
                  <c:v>59169.490000000013</c:v>
                </c:pt>
                <c:pt idx="26">
                  <c:v>886</c:v>
                </c:pt>
                <c:pt idx="31">
                  <c:v>1186.1799999999998</c:v>
                </c:pt>
                <c:pt idx="39">
                  <c:v>405.5</c:v>
                </c:pt>
                <c:pt idx="40">
                  <c:v>4375.6000000000004</c:v>
                </c:pt>
                <c:pt idx="41">
                  <c:v>10391.749999999998</c:v>
                </c:pt>
                <c:pt idx="43">
                  <c:v>8029.3</c:v>
                </c:pt>
                <c:pt idx="47">
                  <c:v>4439.79</c:v>
                </c:pt>
                <c:pt idx="52">
                  <c:v>5601.28</c:v>
                </c:pt>
                <c:pt idx="54">
                  <c:v>240.05</c:v>
                </c:pt>
                <c:pt idx="55">
                  <c:v>11579.68</c:v>
                </c:pt>
                <c:pt idx="56">
                  <c:v>7759.5199999999995</c:v>
                </c:pt>
                <c:pt idx="60">
                  <c:v>5098.0599999999995</c:v>
                </c:pt>
                <c:pt idx="62">
                  <c:v>640</c:v>
                </c:pt>
                <c:pt idx="67">
                  <c:v>480</c:v>
                </c:pt>
                <c:pt idx="68">
                  <c:v>9.75</c:v>
                </c:pt>
                <c:pt idx="71">
                  <c:v>9817.52</c:v>
                </c:pt>
                <c:pt idx="75">
                  <c:v>640</c:v>
                </c:pt>
                <c:pt idx="84">
                  <c:v>20</c:v>
                </c:pt>
                <c:pt idx="86">
                  <c:v>436.12</c:v>
                </c:pt>
                <c:pt idx="88">
                  <c:v>6927.91</c:v>
                </c:pt>
                <c:pt idx="91">
                  <c:v>6083.79</c:v>
                </c:pt>
                <c:pt idx="94">
                  <c:v>2100.9299999999998</c:v>
                </c:pt>
                <c:pt idx="95">
                  <c:v>124</c:v>
                </c:pt>
              </c:numCache>
            </c:numRef>
          </c:val>
          <c:extLst>
            <c:ext xmlns:c16="http://schemas.microsoft.com/office/drawing/2014/chart" uri="{C3380CC4-5D6E-409C-BE32-E72D297353CC}">
              <c16:uniqueId val="{00000002-8559-4CE2-9D31-8C288E3E295D}"/>
            </c:ext>
          </c:extLst>
        </c:ser>
        <c:ser>
          <c:idx val="3"/>
          <c:order val="3"/>
          <c:tx>
            <c:strRef>
              <c:f>'Summary Table'!$E$3:$E$4</c:f>
              <c:strCache>
                <c:ptCount val="1"/>
                <c:pt idx="0">
                  <c:v>2023</c:v>
                </c:pt>
              </c:strCache>
            </c:strRef>
          </c:tx>
          <c:spPr>
            <a:solidFill>
              <a:schemeClr val="accent4"/>
            </a:solidFill>
            <a:ln>
              <a:noFill/>
            </a:ln>
            <a:effectLst/>
          </c:spPr>
          <c:invertIfNegative val="0"/>
          <c:cat>
            <c:multiLvlStrRef>
              <c:f>'Summary Table'!$A$5:$A$117</c:f>
              <c:multiLvlStrCache>
                <c:ptCount val="98"/>
                <c:lvl>
                  <c:pt idx="0">
                    <c:v>bibb</c:v>
                  </c:pt>
                  <c:pt idx="1">
                    <c:v>BLOUNT</c:v>
                  </c:pt>
                  <c:pt idx="2">
                    <c:v>CONECUH</c:v>
                  </c:pt>
                  <c:pt idx="3">
                    <c:v>COVINGTON</c:v>
                  </c:pt>
                  <c:pt idx="4">
                    <c:v>ESCAMBIA</c:v>
                  </c:pt>
                  <c:pt idx="5">
                    <c:v>LAMAR</c:v>
                  </c:pt>
                  <c:pt idx="6">
                    <c:v>PICKENS</c:v>
                  </c:pt>
                  <c:pt idx="7">
                    <c:v>SHELBY</c:v>
                  </c:pt>
                  <c:pt idx="8">
                    <c:v>TUSCALOOSA</c:v>
                  </c:pt>
                  <c:pt idx="9">
                    <c:v>(blank)</c:v>
                  </c:pt>
                  <c:pt idx="10">
                    <c:v>FRANKLIN</c:v>
                  </c:pt>
                  <c:pt idx="11">
                    <c:v>JOHNSON</c:v>
                  </c:pt>
                  <c:pt idx="12">
                    <c:v>POPE</c:v>
                  </c:pt>
                  <c:pt idx="13">
                    <c:v>SCOTT</c:v>
                  </c:pt>
                  <c:pt idx="14">
                    <c:v>Marion</c:v>
                  </c:pt>
                  <c:pt idx="15">
                    <c:v>maccreary</c:v>
                  </c:pt>
                  <c:pt idx="16">
                    <c:v>whitley</c:v>
                  </c:pt>
                  <c:pt idx="17">
                    <c:v>whitley and mccreary</c:v>
                  </c:pt>
                  <c:pt idx="18">
                    <c:v>Bossier</c:v>
                  </c:pt>
                  <c:pt idx="19">
                    <c:v>CALDWELL PARISH</c:v>
                  </c:pt>
                  <c:pt idx="20">
                    <c:v>CLAIBORNE</c:v>
                  </c:pt>
                  <c:pt idx="21">
                    <c:v>Claiborne Parish</c:v>
                  </c:pt>
                  <c:pt idx="22">
                    <c:v>GRANT PARISH</c:v>
                  </c:pt>
                  <c:pt idx="23">
                    <c:v>Natchitoches &amp; Winn Parishes</c:v>
                  </c:pt>
                  <c:pt idx="24">
                    <c:v>Natchitoches Parish</c:v>
                  </c:pt>
                  <c:pt idx="25">
                    <c:v>POINT COUPEE PARISH</c:v>
                  </c:pt>
                  <c:pt idx="26">
                    <c:v>RAPIDES PARISH</c:v>
                  </c:pt>
                  <c:pt idx="27">
                    <c:v>WEBSTER</c:v>
                  </c:pt>
                  <c:pt idx="28">
                    <c:v>WINN</c:v>
                  </c:pt>
                  <c:pt idx="29">
                    <c:v>Winn &amp; Natchitoches Parishes</c:v>
                  </c:pt>
                  <c:pt idx="30">
                    <c:v>winn and natchitoches parishes</c:v>
                  </c:pt>
                  <c:pt idx="31">
                    <c:v>WINN PARISH</c:v>
                  </c:pt>
                  <c:pt idx="32">
                    <c:v>Manistee National Forest</c:v>
                  </c:pt>
                  <c:pt idx="33">
                    <c:v>MASON</c:v>
                  </c:pt>
                  <c:pt idx="34">
                    <c:v>OCEANA</c:v>
                  </c:pt>
                  <c:pt idx="35">
                    <c:v>ADAMS</c:v>
                  </c:pt>
                  <c:pt idx="36">
                    <c:v>AMITE</c:v>
                  </c:pt>
                  <c:pt idx="37">
                    <c:v>CLAIBORNE &amp; COPIAH</c:v>
                  </c:pt>
                  <c:pt idx="38">
                    <c:v>COPIAH</c:v>
                  </c:pt>
                  <c:pt idx="39">
                    <c:v>COVINGTON</c:v>
                  </c:pt>
                  <c:pt idx="40">
                    <c:v>FORREST</c:v>
                  </c:pt>
                  <c:pt idx="41">
                    <c:v>FRANKLIN</c:v>
                  </c:pt>
                  <c:pt idx="42">
                    <c:v>GREENE</c:v>
                  </c:pt>
                  <c:pt idx="43">
                    <c:v>GRENADA</c:v>
                  </c:pt>
                  <c:pt idx="44">
                    <c:v>HARRISON</c:v>
                  </c:pt>
                  <c:pt idx="45">
                    <c:v>JACKSON</c:v>
                  </c:pt>
                  <c:pt idx="46">
                    <c:v>JACKSON &amp; HARRISON</c:v>
                  </c:pt>
                  <c:pt idx="47">
                    <c:v>JASPER</c:v>
                  </c:pt>
                  <c:pt idx="48">
                    <c:v>LAWRENCE</c:v>
                  </c:pt>
                  <c:pt idx="49">
                    <c:v>NEWTON</c:v>
                  </c:pt>
                  <c:pt idx="50">
                    <c:v>PEARL RIVER</c:v>
                  </c:pt>
                  <c:pt idx="51">
                    <c:v>PERRY</c:v>
                  </c:pt>
                  <c:pt idx="52">
                    <c:v>SCOTT</c:v>
                  </c:pt>
                  <c:pt idx="53">
                    <c:v>SIMPSON</c:v>
                  </c:pt>
                  <c:pt idx="54">
                    <c:v>SMITH</c:v>
                  </c:pt>
                  <c:pt idx="55">
                    <c:v>WAYNE</c:v>
                  </c:pt>
                  <c:pt idx="56">
                    <c:v>WILKINSON</c:v>
                  </c:pt>
                  <c:pt idx="57">
                    <c:v>DANIELS</c:v>
                  </c:pt>
                  <c:pt idx="58">
                    <c:v>DAWSON</c:v>
                  </c:pt>
                  <c:pt idx="59">
                    <c:v>POWDER RIVER</c:v>
                  </c:pt>
                  <c:pt idx="60">
                    <c:v>PRAIRIE</c:v>
                  </c:pt>
                  <c:pt idx="61">
                    <c:v>RICHLAND</c:v>
                  </c:pt>
                  <c:pt idx="62">
                    <c:v>BILLINGS</c:v>
                  </c:pt>
                  <c:pt idx="63">
                    <c:v>BOTTINEAU</c:v>
                  </c:pt>
                  <c:pt idx="64">
                    <c:v>MCKENZIE</c:v>
                  </c:pt>
                  <c:pt idx="65">
                    <c:v>MERCER</c:v>
                  </c:pt>
                  <c:pt idx="66">
                    <c:v>MOUNTRAIL</c:v>
                  </c:pt>
                  <c:pt idx="67">
                    <c:v>RENVILLE</c:v>
                  </c:pt>
                  <c:pt idx="68">
                    <c:v>SLOPE</c:v>
                  </c:pt>
                  <c:pt idx="69">
                    <c:v>CHAVES</c:v>
                  </c:pt>
                  <c:pt idx="70">
                    <c:v>CURRY</c:v>
                  </c:pt>
                  <c:pt idx="71">
                    <c:v>HIDALGO</c:v>
                  </c:pt>
                  <c:pt idx="72">
                    <c:v>LEA</c:v>
                  </c:pt>
                  <c:pt idx="73">
                    <c:v>MCKINLEY</c:v>
                  </c:pt>
                  <c:pt idx="74">
                    <c:v>QUAY</c:v>
                  </c:pt>
                  <c:pt idx="75">
                    <c:v>RIO ARRIBA</c:v>
                  </c:pt>
                  <c:pt idx="76">
                    <c:v>Roosevelt</c:v>
                  </c:pt>
                  <c:pt idx="77">
                    <c:v>SAN JUAN</c:v>
                  </c:pt>
                  <c:pt idx="78">
                    <c:v>SANDOVAL</c:v>
                  </c:pt>
                  <c:pt idx="79">
                    <c:v>GALLIA</c:v>
                  </c:pt>
                  <c:pt idx="80">
                    <c:v>LAWRENCE</c:v>
                  </c:pt>
                  <c:pt idx="81">
                    <c:v>MONROE</c:v>
                  </c:pt>
                  <c:pt idx="82">
                    <c:v>WASHINGTON</c:v>
                  </c:pt>
                  <c:pt idx="83">
                    <c:v>(blank)</c:v>
                  </c:pt>
                  <c:pt idx="84">
                    <c:v>GARVIN</c:v>
                  </c:pt>
                  <c:pt idx="85">
                    <c:v>GRANT</c:v>
                  </c:pt>
                  <c:pt idx="86">
                    <c:v>KAY</c:v>
                  </c:pt>
                  <c:pt idx="87">
                    <c:v>PITTSBURG</c:v>
                  </c:pt>
                  <c:pt idx="88">
                    <c:v>FALL RIVER</c:v>
                  </c:pt>
                  <c:pt idx="89">
                    <c:v>HARDING</c:v>
                  </c:pt>
                  <c:pt idx="90">
                    <c:v>DALLAM</c:v>
                  </c:pt>
                  <c:pt idx="91">
                    <c:v>FANNIN</c:v>
                  </c:pt>
                  <c:pt idx="92">
                    <c:v>HILL</c:v>
                  </c:pt>
                  <c:pt idx="93">
                    <c:v>HOUSTON</c:v>
                  </c:pt>
                  <c:pt idx="94">
                    <c:v>JASPER &amp; SABINE</c:v>
                  </c:pt>
                  <c:pt idx="95">
                    <c:v>SABINE</c:v>
                  </c:pt>
                  <c:pt idx="96">
                    <c:v>SHELBY</c:v>
                  </c:pt>
                  <c:pt idx="97">
                    <c:v>TERRY</c:v>
                  </c:pt>
                </c:lvl>
                <c:lvl>
                  <c:pt idx="0">
                    <c:v>AL</c:v>
                  </c:pt>
                  <c:pt idx="10">
                    <c:v>AR</c:v>
                  </c:pt>
                  <c:pt idx="14">
                    <c:v>KS</c:v>
                  </c:pt>
                  <c:pt idx="15">
                    <c:v>KY</c:v>
                  </c:pt>
                  <c:pt idx="18">
                    <c:v>LA</c:v>
                  </c:pt>
                  <c:pt idx="32">
                    <c:v>MI</c:v>
                  </c:pt>
                  <c:pt idx="35">
                    <c:v>MS</c:v>
                  </c:pt>
                  <c:pt idx="57">
                    <c:v>MT</c:v>
                  </c:pt>
                  <c:pt idx="62">
                    <c:v>ND</c:v>
                  </c:pt>
                  <c:pt idx="69">
                    <c:v>NM</c:v>
                  </c:pt>
                  <c:pt idx="79">
                    <c:v>OH</c:v>
                  </c:pt>
                  <c:pt idx="84">
                    <c:v>OK</c:v>
                  </c:pt>
                  <c:pt idx="88">
                    <c:v>SD</c:v>
                  </c:pt>
                  <c:pt idx="90">
                    <c:v>TX</c:v>
                  </c:pt>
                </c:lvl>
              </c:multiLvlStrCache>
            </c:multiLvlStrRef>
          </c:cat>
          <c:val>
            <c:numRef>
              <c:f>'Summary Table'!$E$5:$E$117</c:f>
              <c:numCache>
                <c:formatCode>#,##0</c:formatCode>
                <c:ptCount val="98"/>
                <c:pt idx="72">
                  <c:v>240</c:v>
                </c:pt>
              </c:numCache>
            </c:numRef>
          </c:val>
          <c:extLst>
            <c:ext xmlns:c16="http://schemas.microsoft.com/office/drawing/2014/chart" uri="{C3380CC4-5D6E-409C-BE32-E72D297353CC}">
              <c16:uniqueId val="{00000003-8559-4CE2-9D31-8C288E3E295D}"/>
            </c:ext>
          </c:extLst>
        </c:ser>
        <c:dLbls>
          <c:showLegendKey val="0"/>
          <c:showVal val="0"/>
          <c:showCatName val="0"/>
          <c:showSerName val="0"/>
          <c:showPercent val="0"/>
          <c:showBubbleSize val="0"/>
        </c:dLbls>
        <c:gapWidth val="500"/>
        <c:overlap val="-95"/>
        <c:axId val="1601753263"/>
        <c:axId val="1828194271"/>
      </c:barChart>
      <c:catAx>
        <c:axId val="160175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94271"/>
        <c:crosses val="autoZero"/>
        <c:auto val="1"/>
        <c:lblAlgn val="ctr"/>
        <c:lblOffset val="100"/>
        <c:noMultiLvlLbl val="0"/>
      </c:catAx>
      <c:valAx>
        <c:axId val="1828194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5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7B7A4E5-520D-44D3-932C-44ED69F75EE0}">
  <sheetPr codeName="Chart3"/>
  <sheetViews>
    <sheetView zoomScale="11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2</xdr:row>
      <xdr:rowOff>197144</xdr:rowOff>
    </xdr:from>
    <xdr:to>
      <xdr:col>4</xdr:col>
      <xdr:colOff>187057</xdr:colOff>
      <xdr:row>5</xdr:row>
      <xdr:rowOff>143864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19075" y="578144"/>
          <a:ext cx="4518211" cy="718245"/>
        </a:xfrm>
        <a:prstGeom prst="rect">
          <a:avLst/>
        </a:prstGeom>
        <a:ln w="12700" cap="sq">
          <a:solidFill>
            <a:srgbClr val="C8C6BD"/>
          </a:solidFill>
          <a:prstDash val="solid"/>
          <a:miter lim="800000"/>
        </a:ln>
        <a:effectLst>
          <a:outerShdw blurRad="254000" algn="b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9522" cy="6303624"/>
    <xdr:graphicFrame macro="">
      <xdr:nvGraphicFramePr>
        <xdr:cNvPr id="2" name="Chart 1">
          <a:extLst>
            <a:ext uri="{FF2B5EF4-FFF2-40B4-BE49-F238E27FC236}">
              <a16:creationId xmlns:a16="http://schemas.microsoft.com/office/drawing/2014/main" id="{9E8783A5-F076-4A83-A825-9E6C292955D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424.408876157409" createdVersion="4" refreshedVersion="4" minRefreshableVersion="3" recordCount="2258" xr:uid="{00000000-000A-0000-FFFF-FFFF12000000}">
  <cacheSource type="worksheet">
    <worksheetSource ref="A10:AE2429" sheet="MASTER"/>
  </cacheSource>
  <cacheFields count="30">
    <cacheField name="LEASE NO." numFmtId="0">
      <sharedItems containsBlank="1"/>
    </cacheField>
    <cacheField name="PLOTTED" numFmtId="0">
      <sharedItems containsBlank="1" count="3">
        <s v="NO"/>
        <m/>
        <s v="YES"/>
      </sharedItems>
    </cacheField>
    <cacheField name="GRANTEE" numFmtId="0">
      <sharedItems containsBlank="1" count="3">
        <s v="R&amp;R Royalty"/>
        <m/>
        <s v="Magnum Producing"/>
      </sharedItems>
    </cacheField>
    <cacheField name="SALE DATE" numFmtId="0">
      <sharedItems containsDate="1" containsBlank="1" containsMixedTypes="1" minDate="1993-07-21T00:00:00" maxDate="2018-09-21T00:00:00"/>
    </cacheField>
    <cacheField name="EFFECTIVE DATE OF LEASE" numFmtId="0">
      <sharedItems containsDate="1" containsBlank="1" containsMixedTypes="1" minDate="1993-09-01T00:00:00" maxDate="2018-11-02T00:00:00"/>
    </cacheField>
    <cacheField name="EXPIRATION DATE" numFmtId="0">
      <sharedItems containsNonDate="0" containsDate="1" containsString="0" containsBlank="1" minDate="2003-09-01T00:00:00" maxDate="2028-11-02T00:00:00" count="102">
        <d v="2005-12-01T00:00:00"/>
        <m/>
        <d v="2009-07-01T00:00:00"/>
        <d v="2003-09-01T00:00:00"/>
        <d v="2009-06-01T00:00:00"/>
        <d v="2009-09-01T00:00:00"/>
        <d v="2009-11-01T00:00:00"/>
        <d v="2010-02-01T00:00:00"/>
        <d v="2009-12-31T00:00:00"/>
        <d v="2010-04-01T00:00:00"/>
        <d v="2010-10-01T00:00:00"/>
        <d v="2010-08-01T00:00:00"/>
        <d v="2010-09-01T00:00:00"/>
        <d v="2010-12-01T00:00:00"/>
        <d v="2011-04-01T00:00:00"/>
        <d v="2011-08-01T00:00:00"/>
        <d v="2012-05-01T00:00:00"/>
        <d v="2012-08-01T00:00:00"/>
        <d v="2012-09-01T00:00:00"/>
        <d v="2013-09-01T00:00:00"/>
        <d v="2014-09-01T00:00:00"/>
        <d v="2014-12-01T00:00:00"/>
        <d v="2014-11-01T00:00:00"/>
        <d v="2015-01-01T00:00:00"/>
        <d v="2016-06-01T00:00:00"/>
        <d v="2016-12-01T00:00:00"/>
        <d v="2017-03-01T00:00:00"/>
        <d v="2017-06-01T00:00:00"/>
        <d v="2017-09-01T00:00:00"/>
        <d v="2017-12-01T00:00:00"/>
        <d v="2018-02-01T00:00:00"/>
        <d v="2018-03-01T00:00:00"/>
        <d v="2018-05-01T00:00:00"/>
        <d v="2018-08-01T00:00:00"/>
        <d v="2018-09-01T00:00:00"/>
        <d v="2020-09-01T00:00:00"/>
        <d v="2018-11-01T00:00:00"/>
        <d v="2018-12-01T00:00:00"/>
        <d v="2019-01-01T00:00:00"/>
        <d v="2019-02-01T00:00:00"/>
        <d v="2019-05-01T00:00:00"/>
        <d v="2019-09-01T00:00:00"/>
        <d v="2019-12-01T00:00:00"/>
        <d v="2020-06-01T00:00:00"/>
        <d v="2020-10-01T00:00:00"/>
        <d v="2020-12-01T00:00:00"/>
        <d v="2021-01-01T00:00:00"/>
        <d v="2021-02-01T00:00:00"/>
        <d v="2021-03-01T00:00:00"/>
        <d v="2015-06-01T00:00:00"/>
        <d v="2021-05-01T00:00:00"/>
        <d v="2021-12-01T00:00:00"/>
        <d v="2021-08-01T00:00:00"/>
        <d v="2021-09-01T00:00:00"/>
        <d v="2021-10-01T00:00:00"/>
        <d v="2021-11-01T00:00:00"/>
        <d v="2022-01-01T00:00:00"/>
        <d v="2022-02-01T00:00:00"/>
        <d v="2022-05-01T00:00:00"/>
        <d v="2022-07-01T00:00:00"/>
        <d v="2022-08-01T00:00:00"/>
        <d v="2022-11-01T00:00:00"/>
        <d v="2023-09-01T00:00:00"/>
        <d v="2025-10-01T00:00:00"/>
        <d v="2026-10-01T00:00:00"/>
        <d v="2023-02-01T00:00:00"/>
        <d v="2023-01-01T00:00:00"/>
        <d v="2023-04-01T00:00:00"/>
        <d v="2023-06-01T00:00:00"/>
        <d v="2026-12-01T00:00:00"/>
        <d v="2024-06-01T00:00:00"/>
        <d v="2023-12-01T00:00:00"/>
        <d v="2026-11-01T00:00:00"/>
        <d v="2024-03-01T00:00:00"/>
        <d v="2024-05-01T00:00:00"/>
        <d v="2024-04-01T00:00:00"/>
        <d v="2024-09-01T00:00:00"/>
        <d v="2024-11-01T00:00:00"/>
        <d v="2025-11-01T00:00:00"/>
        <d v="2025-06-01T00:00:00"/>
        <d v="2025-09-01T00:00:00"/>
        <d v="2028-11-01T00:00:00"/>
        <d v="2028-10-01T00:00:00"/>
        <d v="2020-11-01T00:00:00"/>
        <d v="2016-03-01T00:00:00"/>
        <d v="2021-04-01T00:00:00"/>
        <d v="2021-07-01T00:00:00"/>
        <d v="2022-04-01T00:00:00"/>
        <d v="2022-06-01T00:00:00"/>
        <d v="2022-09-01T00:00:00"/>
        <d v="2023-08-01T00:00:00"/>
        <d v="2027-02-01T00:00:00"/>
        <d v="2027-05-01T00:00:00"/>
        <d v="2027-07-01T00:00:00"/>
        <d v="2027-08-01T00:00:00"/>
        <d v="2028-02-01T00:00:00"/>
        <d v="2027-12-01T00:00:00"/>
        <d v="2027-11-01T00:00:00"/>
        <d v="2028-04-01T00:00:00"/>
        <d v="2028-05-01T00:00:00"/>
        <d v="2028-06-01T00:00:00"/>
        <d v="2028-08-01T00:00:00"/>
      </sharedItems>
      <fieldGroup par="29" base="5">
        <rangePr groupBy="quarters" startDate="2003-09-01T00:00:00" endDate="2028-11-02T00:00:00"/>
        <groupItems count="6">
          <s v="(blank)"/>
          <s v="Qtr1"/>
          <s v="Qtr2"/>
          <s v="Qtr3"/>
          <s v="Qtr4"/>
          <s v="&gt;11/2/2028"/>
        </groupItems>
      </fieldGroup>
    </cacheField>
    <cacheField name=" ACRES" numFmtId="0">
      <sharedItems containsString="0" containsBlank="1" containsNumber="1" minValue="0" maxValue="2560"/>
    </cacheField>
    <cacheField name="COUNTY" numFmtId="0">
      <sharedItems containsBlank="1" count="229">
        <s v="MONTGOMERY "/>
        <m/>
        <s v="HOUSTON "/>
        <s v="KLEBERG"/>
        <s v="KLEBERG "/>
        <s v="HOUSTON"/>
        <s v="SABINE "/>
        <s v="SAN AUGUSTINE"/>
        <s v="SAN AUGUSTINE/SABINE"/>
        <s v="SEBASTIAN"/>
        <s v="CALCASIEU"/>
        <s v="FORREST"/>
        <s v="WEBSTER"/>
        <s v="WAYNE"/>
        <s v="CHICKASAW"/>
        <s v="ADAMS"/>
        <s v="ST BERNARD"/>
        <s v="CUSTER"/>
        <s v="JACKSON"/>
        <s v="SAN JACINTO"/>
        <s v="SHELBY "/>
        <s v="WALKER"/>
        <s v="WASHINGTON"/>
        <s v="VERMILION PARISH"/>
        <s v="COVINGTON"/>
        <s v="PEARL RIVER"/>
        <s v="YELL"/>
        <s v="SCOTT"/>
        <s v="BEAUREGARD"/>
        <s v="LAMAR"/>
        <s v="DESOTO"/>
        <s v="CADDO &amp; DESOTO"/>
        <s v="RAPIDES PARISH"/>
        <s v="AMITE"/>
        <s v="STONE"/>
        <s v="HARRSION"/>
        <s v="JONES"/>
        <s v="MONTGOMERY"/>
        <s v="FRANKLIN"/>
        <s v="PERRY"/>
        <s v="EDDY"/>
        <s v="CURRY"/>
        <s v="SAN JUAN"/>
        <s v="ROGER MILLS"/>
        <s v="ZAPATA"/>
        <s v="RUSSELL"/>
        <s v="SANDOVAL"/>
        <s v="MCKINLEY"/>
        <s v="GRANT"/>
        <s v="MONTGOMERY&amp;WALKER"/>
        <s v="WISE"/>
        <s v="CRAWFORD"/>
        <s v="LOGAN &amp; YELL"/>
        <s v="FRANKLIN "/>
        <s v="CLAIBORNE"/>
        <s v="SMITH"/>
        <s v="HARRISON"/>
        <s v="HOUSTON &amp; TRINITY"/>
        <s v="SABINE"/>
        <s v="SHELBY"/>
        <s v="TRINITY"/>
        <s v="MCMULLEN"/>
        <s v="CHAVES"/>
        <s v="LEA"/>
        <s v="RIO ARRIBA"/>
        <s v="BEAVER"/>
        <s v="CADDO"/>
        <s v="DEWEY"/>
        <s v="TILLMAN"/>
        <s v="ELLIS"/>
        <s v="HARPER"/>
        <s v="WOODWARD"/>
        <s v="VAN BUREN"/>
        <s v="POPE"/>
        <s v="LAKE"/>
        <s v="GEORGE"/>
        <s v="STONE "/>
        <s v="SOCORRO"/>
        <s v="HARDING"/>
        <s v="CIMARRON"/>
        <s v="HILL"/>
        <s v="JOHNSON"/>
        <s v="LIVE OAK"/>
        <s v="LIVE OAK &amp; MCMULLEN"/>
        <s v="PERRY &amp; YELL"/>
        <s v="DE SOTO PARISH"/>
        <s v="CADDO PARISH"/>
        <s v="JACKSON PARISH"/>
        <s v="BIENVILLE PARISH"/>
        <s v="LINCOLN PARISH"/>
        <s v="WEBSTER PARISH"/>
        <s v="OUACHITA PARISH"/>
        <s v="CALCASIEU PARISH"/>
        <s v="ST LANDRY PARISH"/>
        <s v="IBERVILLE PARISH"/>
        <s v="CALDWELL PARISH"/>
        <s v="ST CHARLES PARISH"/>
        <s v="WOODSON &amp; WILSON"/>
        <s v="LEBETTE"/>
        <s v="MUSKOGEE &amp; WAGONER"/>
        <s v="PUSHMATAHA"/>
        <s v="LE FLORE"/>
        <s v="MC MULLEN &amp; LIVE OAK"/>
        <s v="MC MULLEN"/>
        <s v="LIVE OAK "/>
        <s v="ESCAMBIA"/>
        <s v="VERMILLION"/>
        <s v="MUSKEGON"/>
        <s v="MANISTEE"/>
        <s v="VIRGINIA HIGHLAND"/>
        <s v="PENDLETON"/>
        <s v="GOVE"/>
        <s v="HAMILTON"/>
        <s v="GUADALUPE"/>
        <s v="DONA ANA"/>
        <s v="LEFLORE"/>
        <s v="QUAY"/>
        <s v="WOODS"/>
        <s v="ELLIS 7 ROGER MILLS"/>
        <s v="Pulaski"/>
        <s v="BURLESON"/>
        <s v="WINN"/>
        <s v="ALCONA"/>
        <s v="NEWAYGO"/>
        <s v="OCEANA"/>
        <s v="MASON"/>
        <s v="Crawford; Perry"/>
        <s v="Shelby, San Augustine"/>
        <s v="CHEYENNE"/>
        <s v="SHERMAN"/>
        <s v="CONECUH"/>
        <s v="BLOUNT"/>
        <s v="TUSCALOOSA"/>
        <s v="GREENE"/>
        <s v="NEWTON"/>
        <s v="MONROE"/>
        <s v="LAWRENCE"/>
        <s v="GALLIA"/>
        <s v="PITTSBURG"/>
        <s v="GRANT PARISH"/>
        <s v="WINN PARISH"/>
        <s v="COPIAH"/>
        <s v="SIMPSON"/>
        <s v="CLAIBORNE &amp; COPIAH"/>
        <s v="DALLAM"/>
        <s v="TERRY"/>
        <s v="Claiborne Parish"/>
        <s v="Natchitoches &amp; Winn Parishes"/>
        <s v="Marion"/>
        <s v="Natchitoches Parish"/>
        <s v="Bossier"/>
        <s v="Winn &amp; Natchitoches Parishes"/>
        <s v="Manistee National Forest"/>
        <s v="Roosevelt"/>
        <s v="NATCHOITOCHES/WINN "/>
        <s v="bibb"/>
        <s v="whitley"/>
        <s v="maccreary"/>
        <s v="whitley and mccreary"/>
        <s v="winn and natchitoches parishes"/>
        <s v="GRENADA"/>
        <s v="JACKSON &amp; HARRISON"/>
        <s v="WILKINSON"/>
        <s v="PICKENS"/>
        <s v="GARVIN"/>
        <s v="JASPER"/>
        <s v="HIDALGO"/>
        <s v="KAY"/>
        <s v="FANNIN"/>
        <s v="JASPER &amp; SABINE"/>
        <s v="VERNON"/>
        <s v="LAFOURCHE PARISH"/>
        <s v="MONTGOMERY/WALKER"/>
        <s v="SAN JACINTO/WALKER"/>
        <s v="NATCHITOCHES &amp; RED RIVER"/>
        <s v="ROSCOMMON"/>
        <s v="VERNON PARISH"/>
        <s v="ALLEGAN"/>
        <s v="AVOYELLES"/>
        <s v="GRAND TRAVERSE"/>
        <s v="SABINE PARISH"/>
        <s v="WEBSTER/BOSSIER PARISH"/>
        <s v="BOSSIER PARISH"/>
        <s v="ELLIS "/>
        <s v="CLARKE"/>
        <s v="FAULKNER"/>
        <s v="WHITE"/>
        <s v="COUPEE PARISH"/>
        <s v="BRADFORD"/>
        <s v="NEVADA"/>
        <s v="CADDO PARISH "/>
        <s v="ST. MARY"/>
        <s v="BOWMAN"/>
        <s v="FALL RIVER"/>
        <s v="CLEBURNE"/>
        <s v="EMERY"/>
        <s v="HALE"/>
        <s v="POINT COUPEE PARISH"/>
        <s v="BILLINGS"/>
        <s v="SLOPE"/>
        <s v="RICHLAND"/>
        <s v="DAWSON"/>
        <s v="POWDER RIVER"/>
        <s v="MCKENZIE"/>
        <s v="MOUNTRAIL"/>
        <s v="MERCER"/>
        <s v="BOTTINEAU"/>
        <s v="DANIELS"/>
        <s v="RENVILLE"/>
        <s v="PRAIRIE"/>
        <s v="DESOTO PARISH"/>
        <s v="UNION"/>
        <s v="EUREKA"/>
        <s v="GARFIELD"/>
        <s v="FALLON"/>
        <s v="RIO BLANCO"/>
        <s v="CAMPBELL"/>
        <s v="SEVIER"/>
        <s v="SANPETE"/>
        <s v="CATAHOULA PARISH"/>
        <s v="LA PLATA"/>
        <s v="SAN MIGUEL"/>
        <s v="Noble"/>
        <s v="Converse"/>
        <s v="CHAVEZ"/>
        <s v="MUSSELSHELL"/>
        <s v="CARBON"/>
        <s v="CHOUTEAU"/>
        <s v="GLACIER"/>
      </sharedItems>
    </cacheField>
    <cacheField name="ST" numFmtId="0">
      <sharedItems containsBlank="1" count="23">
        <s v="TX"/>
        <m/>
        <s v="AR"/>
        <s v="LA"/>
        <s v="MS"/>
        <s v="OK"/>
        <s v="AL"/>
        <s v="NM"/>
        <s v="KS"/>
        <s v="MI"/>
        <s v="VA"/>
        <s v="WV"/>
        <s v="KY"/>
        <s v="IN"/>
        <s v="OH"/>
        <s v="PA"/>
        <s v="ND"/>
        <s v="SD"/>
        <s v="UT"/>
        <s v="MT"/>
        <s v="NV"/>
        <s v="CO"/>
        <s v="WY"/>
      </sharedItems>
    </cacheField>
    <cacheField name="UA %" numFmtId="0">
      <sharedItems containsBlank="1" containsMixedTypes="1" containsNumber="1" minValue="0" maxValue="0.5"/>
    </cacheField>
    <cacheField name="RA%" numFmtId="0">
      <sharedItems containsString="0" containsBlank="1" containsNumber="1" minValue="0.05" maxValue="0.18179999999999999"/>
    </cacheField>
    <cacheField name="KA%" numFmtId="0">
      <sharedItems containsString="0" containsBlank="1" containsNumber="1" minValue="4.4999999999999998E-2" maxValue="0.1"/>
    </cacheField>
    <cacheField name="PARCEL NO" numFmtId="0">
      <sharedItems containsBlank="1" containsMixedTypes="1" containsNumber="1" containsInteger="1" minValue="1" maxValue="201207028"/>
    </cacheField>
    <cacheField name="DUE AT SALE" numFmtId="44">
      <sharedItems containsBlank="1" containsMixedTypes="1" containsNumber="1" minValue="-184000" maxValue="990613.5"/>
    </cacheField>
    <cacheField name="DUE AFTER SALE (REFUNDED)" numFmtId="44">
      <sharedItems containsBlank="1" containsMixedTypes="1" containsNumber="1" minValue="-1049970" maxValue="9255078.5"/>
    </cacheField>
    <cacheField name="TOTAL  PAID" numFmtId="44">
      <sharedItems containsString="0" containsBlank="1" containsNumber="1" minValue="-1049970" maxValue="19960803.5"/>
    </cacheField>
    <cacheField name="AMOUNT OF RENTAL" numFmtId="0">
      <sharedItems containsString="0" containsBlank="1" containsNumber="1" minValue="3" maxValue="5120"/>
    </cacheField>
    <cacheField name="YEARS RENEWED" numFmtId="0">
      <sharedItems containsNonDate="0" containsString="0" containsBlank="1"/>
    </cacheField>
    <cacheField name="ADDITIONAL RENTALS PAID UP TO DATE" numFmtId="0">
      <sharedItems containsNonDate="0" containsString="0" containsBlank="1"/>
    </cacheField>
    <cacheField name="TOTAL INVESTMENT (BONUS + RENTALS)" numFmtId="0">
      <sharedItems containsNonDate="0" containsString="0" containsBlank="1"/>
    </cacheField>
    <cacheField name="STATUS/COMMENTS" numFmtId="0">
      <sharedItems containsBlank="1" count="125">
        <s v="Expired 2005"/>
        <m/>
        <s v="Expired 2009 - Bought from Dan Gonzales"/>
        <s v="Expired 2003"/>
        <s v="Expired 2009"/>
        <s v="Expired 2009 -  sold"/>
        <s v="Expired 2009 - May be part of 16,327.47 acre Explo. Unit ARES05528x - Ross Explorations, Inc. (OPR)"/>
        <s v="Expired 2010"/>
        <s v="Expired 2010 - SUBLEASE TERMINATED O/A 11-14-02"/>
        <s v="HBP-Gibraltar pays Royalty - Shut-in payment should be billed to Gibraltar for joint a/c rebill. Gibralter USA 5-12 #1 drilled and completed on SW/4 Sec 5.  "/>
        <s v="Indirect Acquisation Cost"/>
        <s v="Unsuccesful Bid Fees"/>
        <s v="Refunded 3-16-01. Bid Refunded"/>
        <s v="Refunded 7-10-00. Bid Refunded"/>
        <s v="Bid Refunded 7-10-00 "/>
        <s v="Expired 2010 - * 5O acres in San Jacinto County"/>
        <s v="Sold to Chk July 2008"/>
        <s v="Expired 2010 -Refunded 1-3-01. Write off Administrative Fee"/>
        <s v="Expired 2011"/>
        <s v="Expired 2011 -HBP CA MSES55705,6; PAR MINERALS, PER BLM. HAUSER #1 &amp; WHITE #1"/>
        <s v="Bid Refunded 4-2-2002"/>
        <s v="Bid Refunded 1-9-2002"/>
        <s v="Administrative fees written off"/>
        <s v="Indirect Costs written off "/>
        <s v="Expired 2012"/>
        <s v="Expired 2012 - Part of Ha Ra Suh - OPR Encore/Enduro. D/O Decimal .04301310"/>
        <s v="Chesapeake pays Royalty - Subleased - Assigned"/>
        <s v="Bid Refunded"/>
        <s v="American Express under bill"/>
        <s v="Expired 2013"/>
        <s v="Expired 2014"/>
        <s v="Lease not received - Sale was rescinded on 11-17-04; Administrative fee not refunded - was expensed 2-3-05"/>
        <s v="Lease Amendment 1 - 7/29/2008 Rents (4@274.50) $1,098; Bonus $1448) - Reduced by 181 acres. Lease Amendment 2 - 6/30/2009 (Refunds Due - Rents 382.50 ($76.50 X 5); Bonus 408.00) Reduced by 51.23 acres. Expired in 2014"/>
        <s v="Expired 2016"/>
        <s v="Notice received on 12-18-09. Lease cancelled. '$1,905.00+ 3-YR Rent $762.00 = Total $3,048.0 Received 8-31-10"/>
        <s v="HBP CA with ARES55530 since 8-2-08.  20 acres in unit -3.1179%. Lease is in unit ARES 55530; Wolf Exploration, Inc Operator (479-478-9610) Frank E Patton-Landman; first prod 1-2-2009"/>
        <s v="SOLD TO REAGAN SMITH MAY 2015"/>
        <s v="Cost of ORRI's &amp; Leases sold to GST &amp; Hunt"/>
        <s v="SUNDANCE ENERGY REASSIGNING TO R&amp;R. WE HAVE TO PAY RENTALS. "/>
        <s v="ORRI - 6.25 % UNIFIED, 6.25% AHUJA CHILDREN 2012 LT TRUST"/>
        <s v="CA AGRMT. WITH OKNM127227 - UNIT PETRO OPR. ASGN REC. 50% - BUTKA #1-H-X "/>
        <s v="CA AGRMT. WITH OKNM128709 - UNIT PETRO OPR. STATE OF OKLAHOMA B #1-1H"/>
        <s v="CA AGRMT. WITH OKNM127519 - PLANO PETROLEUM. ASGN REC. 50% - LOUISE 1-30 "/>
        <s v="CA AGRMT. WITH OKNM128116 - CHESAPEAKE OPER. GLENDA 9-16-25 #1H"/>
        <s v="ASGN REC. 50%"/>
        <s v="ACREAGE AMENDED"/>
        <s v="EXPLORATION AGRMT. MEADVILLE 3D - PETROHUNT"/>
        <s v="ACREAGE AMENDED-AS PER MAR 16, 2015 BLM NOTICE. $ 1968.50 TO BE REFUNDED. SOLD TO REAGAN SMITH MAY 2015"/>
        <s v="CANCELLED"/>
        <s v="SOLD TO RKI EXPLORATION (KHODY MINERALS CO.) IN NOVEMBER 2015"/>
        <s v="ORRI - 6.25 % UNIFIED, 6.25% AHUJA CHILDREN 2012 LT TRUST - Sold to Newfield"/>
        <s v="SOLD - ASSIGNING 100% RECORD TITLE TO ENERVEST. ASSGN FILED."/>
        <s v="QEP. 100% OPERATING RIGHTS (PROD.)"/>
        <s v="LEASE COMMITTED TO CA-LAES57513,56409. PROD. STATUS"/>
        <s v="LEASE CANCELLED NOTICE - DEC 3 2012 . REFUND $ 1980 DUE"/>
        <s v="SOLD TO ENERQUEST CORP"/>
        <s v="UNIFIED ASSETS PARTICIPATION DROPS TO 25% FROM 50% BEGINNING WITH 10-17-2007 NM SALE"/>
        <s v="NOTE 80A (E/2SW/4) LEASED TO ENDEAVOR 2010  "/>
        <s v="95% ASSGND TO MERCED, R&amp;R RETAINED 5% . HBP - CROW CANYON UNIT"/>
        <s v="EXP. AGREEMENT - PRUET 3D/CRAIN"/>
        <s v="LEASE AMENDED. 320 ACR. CANC. SEC.11 REMOVED. EXP. AGREEMENT - PRUET 3D/CRAIN"/>
        <s v="LEASE CANCELLED - RENTAL NOT PAID AS PER ACA'S DIRECTIVE"/>
        <s v="ORRI - 3.125 % UNIFIED, 9.375% AHUJA CHILDREN 2012 LT TRUST"/>
        <s v="ORRI - 12.5%  AHUJA CHILDREN 2012 LT TRUST"/>
        <s v="HBP SKYE"/>
        <s v="R&amp;R WAS SUCCESSFUL BIDDER AT 4/24/2008 EASTERN STATES LEASE"/>
        <s v="SALE FOR THE LEASES LISTED AND HIGHLIGHTED IN COLUMN &quot;A&quot;"/>
        <s v="PAYMENT FOR THE BALANCE DUE WAS NOT MADE TIMELY.  THE "/>
        <s v="INITIAL PAYMENT WAS FOREFEITED AND NO INTEREST IN THE LEASES "/>
        <s v="WAS AWARDED TO R&amp;R.  THE INITIAL PAYMENT OF $75,943.00 IS"/>
        <s v="RECORDED AS AN EXPENSE IN 2008 IN ACCOUNT 5120-1190."/>
        <s v="LEASE NOT ISSUED"/>
        <s v="Extended by BLM Rapides South Unit - Filed 8/15/18"/>
        <s v="COST OF LEASES SOLD TO CHESAPEAKE ENERGY "/>
        <s v=" SOLD TO RKI EXPLORATION (KHODY MINERALS CO.) IN NOVEMBER 2015"/>
        <s v="SOLD TO ADVANCE ENERGY IN APRIL 2017 / ORRI-ACLT 6.25 % UA 6.25% "/>
        <s v="100% OPR RIGHTS - CML EXPLR. - WILL PAY RENTALS"/>
        <s v="AMENDMENT - REFUND RECEIVED 8-3-2009 RECORDED LINE 942"/>
        <s v="LEASE AMENDED. BID REFUNDED. 50% OWNED BY GINGER "/>
        <s v="ANDERSON OIL, LTD  OWNS 50%"/>
        <s v="ANDERSON OIL, LTD OWNS 50%"/>
        <s v="LEASE ACREAGE AMENDED. TO BE REFUNDED: EXCESS BONUS BID $488.00; EXCESS RENT PYMTS (2) $732.00"/>
        <s v="Remaining due after sale paid by check # 1911"/>
        <s v="PART CANCELLED;  REFUNDED $42,225. BONUS $42,000;RENT $225 - RECORDED LINE 814"/>
        <s v="LEASES EXPIRED IN 2009"/>
        <s v="SALE CANCELLED - $542.50 T/B REFUNDED PER LTR 6-28-2010"/>
        <s v="DEAL WITH TRIAD HUNTER, LLC "/>
        <s v="SALE CANCELLED - $280.00  T/B REFUNDED PER LTR 7-14-2010"/>
        <s v="SALE CANCELLED - $561.50 ? ($416.50 EX FEE) T/B REFUNDED PER LTR 7-08-2010"/>
        <s v="AHUJA CHILDREN TRST - 7.5% ORRI / R&amp;R - 25% WI. COLEY 35-6# 1 WELL-STETSON PETROLEUM"/>
        <s v=" BOUGHT FROM I MEADE HUFFORD. EXPIRED IN 2015"/>
        <s v=" PAID BY CK # 3451 ON 3/4/11"/>
        <s v="TO BE ASSIGNED TO SAVANNAH "/>
        <s v="BOUGHT FROM  SOLAR RESOURCES &amp; SOLD TO REAGAN SMITH MAY 2015"/>
        <s v="AMENDED ACREAGE:SEPT 2011"/>
        <s v="AMENDED ACREAGE :SEPT2011"/>
        <s v="CANCELLED : TB REFUNDED $ 1867 AS PER LETTER RECEIVED ON 14 SEPT 2011"/>
        <s v="CANCELLED : TB REFUNDED $ 565 AS PER LETTER RECEIVED ON AUG 29 2011"/>
        <s v="CANCELLED : TB REFUNDED $ 1865 AS PER LETTER RECEIVED ON AUG 29 2011"/>
        <s v="TERM ASSGN. W/ VICTOR SMITH OIL CO. OPERATING RIGHTS ASSGN. - 280 ACRES ( 2 YR TERM)"/>
        <s v="SEGREGATED FROM MSES057120"/>
        <s v="ASSIGNED 100% OF 320 ACRES TO PINTADO O&amp;G. 7.5% ORRI RESERVED BY R&amp;R"/>
        <s v="MARCH 2017-FARMOUT W/ WILCOX ENERGY CO. WE WILL PAY RENTALS &amp; BILL THEM 100% "/>
        <s v="ESPEJO PAID $65,527 FOR 10% WI. R&amp;R'S WI - 0.71 &amp; NRI - 0.52 RESPECTIVELY. "/>
        <s v="LEASE NOT YET ISSUED - UNDER PROTEST"/>
        <s v="LEASE CANCELLED AND FULLY REFUNDED. CREDIT GIVEN TO RA &amp; KA"/>
        <s v="PANACEA OWNS 50.00%. WILL PAY RENTALS. U.S. MINERAL INT 50.00 %"/>
        <s v=" U.S. MINERAL INT 6.25%"/>
        <s v="PANACEA OWNS 50.00%. WILL PAY RENTALS."/>
        <s v="ACREAGE (INCREASED) AMENDED AS PER NOTICE REC. DEC 5 2016 "/>
        <s v="BID REJECTED - BONUS &amp; 1ST YR RENTAL REFUNDED. CREDIT GIVEN TO RA &amp; KA"/>
        <s v="100% RECORD TITLE ASSGND TO PENNINGTON OPER. CO. WILL PAY RENTALS "/>
        <s v="75 % - US MINERAL INT. "/>
        <s v="1/3RD - US MINERAL INT. "/>
        <s v="50% - US MINERAL INT."/>
        <s v="75% - US MINERAL INT."/>
        <s v="91.67% US MINERAL INT."/>
        <s v="12.5% - US MINERAL INT."/>
        <s v="87.5% - US MINERAL INT."/>
        <s v="BOUGHT FROM MEADE HUFFORD"/>
        <s v="BOUGHT FROM QEP AT O&amp;G CLEARINGHOUSE. EXPIRED 2016"/>
        <s v="BOUGHT FROM QEP AT O&amp;G CLEARINGHOUSE. EXPIRED 2017"/>
        <s v="HBP by CONTINENTAL RESOURCES WELL : POTTS 1-11H 40 acres/ MOTTS 1-16H 121.43 acres"/>
        <s v="HBP - EOG SIDONIA 15-1102H"/>
        <s v="No Surface Occupany/Drilling Stipulation Notice received"/>
      </sharedItems>
    </cacheField>
    <cacheField name="EXPIRATION YEAR" numFmtId="0">
      <sharedItems containsString="0" containsBlank="1" containsNumber="1" containsInteger="1" minValue="2003" maxValue="2028" count="23">
        <n v="2005"/>
        <m/>
        <n v="2009"/>
        <n v="2003"/>
        <n v="2010"/>
        <n v="2011"/>
        <n v="2012"/>
        <n v="2013"/>
        <n v="2014"/>
        <n v="2015"/>
        <n v="2016"/>
        <n v="2017"/>
        <n v="2018"/>
        <n v="2020"/>
        <n v="2019"/>
        <n v="2021"/>
        <n v="2022"/>
        <n v="2023"/>
        <n v="2025"/>
        <n v="2026"/>
        <n v="2024"/>
        <n v="2028"/>
        <n v="2027"/>
      </sharedItems>
    </cacheField>
    <cacheField name="TOWNSHIP" numFmtId="0">
      <sharedItems containsBlank="1"/>
    </cacheField>
    <cacheField name="RANGE" numFmtId="0">
      <sharedItems containsBlank="1"/>
    </cacheField>
    <cacheField name="DESCRIPTION I" numFmtId="0">
      <sharedItems containsBlank="1" longText="1"/>
    </cacheField>
    <cacheField name="DESCRIPTION II" numFmtId="0">
      <sharedItems containsBlank="1" longText="1"/>
    </cacheField>
    <cacheField name="DESCRIPTION III" numFmtId="0">
      <sharedItems containsBlank="1" longText="1"/>
    </cacheField>
    <cacheField name="RECORDED " numFmtId="0">
      <sharedItems containsBlank="1"/>
    </cacheField>
    <cacheField name="Assignment of ORRI" numFmtId="0">
      <sharedItems containsBlank="1"/>
    </cacheField>
    <cacheField name="Years" numFmtId="0" databaseField="0">
      <fieldGroup base="5">
        <rangePr groupBy="years" startDate="2003-09-01T00:00:00" endDate="2028-11-02T00:00:00"/>
        <groupItems count="28">
          <s v="&lt;9/1/2003"/>
          <s v="2003"/>
          <s v="2004"/>
          <s v="2005"/>
          <s v="2006"/>
          <s v="2007"/>
          <s v="2008"/>
          <s v="2009"/>
          <s v="2010"/>
          <s v="2011"/>
          <s v="2012"/>
          <s v="2013"/>
          <s v="2014"/>
          <s v="2015"/>
          <s v="2016"/>
          <s v="2017"/>
          <s v="2018"/>
          <s v="2019"/>
          <s v="2020"/>
          <s v="2021"/>
          <s v="2022"/>
          <s v="2023"/>
          <s v="2024"/>
          <s v="2025"/>
          <s v="2026"/>
          <s v="2027"/>
          <s v="2028"/>
          <s v="&gt;11/2/202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8">
  <r>
    <s v="TXNM096140"/>
    <x v="0"/>
    <x v="0"/>
    <d v="1995-10-19T00:00:00"/>
    <d v="1995-12-01T00:00:00"/>
    <x v="0"/>
    <m/>
    <x v="0"/>
    <x v="0"/>
    <s v=" "/>
    <m/>
    <m/>
    <m/>
    <m/>
    <n v="790.5"/>
    <n v="790.5"/>
    <m/>
    <m/>
    <m/>
    <m/>
    <x v="0"/>
    <x v="0"/>
    <m/>
    <m/>
    <s v="ASSIGNMENT REC'D FROM DAN"/>
    <s v="TRACTS J22, J22A, J22B"/>
    <m/>
    <m/>
    <m/>
  </r>
  <r>
    <m/>
    <x v="1"/>
    <x v="1"/>
    <m/>
    <m/>
    <x v="1"/>
    <m/>
    <x v="1"/>
    <x v="1"/>
    <m/>
    <m/>
    <m/>
    <m/>
    <m/>
    <m/>
    <m/>
    <m/>
    <m/>
    <m/>
    <m/>
    <x v="1"/>
    <x v="1"/>
    <m/>
    <m/>
    <m/>
    <m/>
    <m/>
    <m/>
    <m/>
  </r>
  <r>
    <s v="TXNM103231"/>
    <x v="0"/>
    <x v="0"/>
    <d v="1999-05-13T00:00:00"/>
    <d v="1999-07-01T00:00:00"/>
    <x v="2"/>
    <m/>
    <x v="2"/>
    <x v="0"/>
    <n v="0.5"/>
    <m/>
    <m/>
    <m/>
    <m/>
    <n v="1253.5"/>
    <n v="1253.5"/>
    <m/>
    <m/>
    <m/>
    <m/>
    <x v="2"/>
    <x v="2"/>
    <m/>
    <m/>
    <s v="SAM HOUSTON NATL FOREST"/>
    <s v="ASSIGNMENT REC'D FROM DAN"/>
    <m/>
    <m/>
    <m/>
  </r>
  <r>
    <m/>
    <x v="1"/>
    <x v="1"/>
    <m/>
    <m/>
    <x v="1"/>
    <m/>
    <x v="1"/>
    <x v="1"/>
    <m/>
    <m/>
    <m/>
    <m/>
    <m/>
    <m/>
    <m/>
    <m/>
    <m/>
    <m/>
    <m/>
    <x v="1"/>
    <x v="1"/>
    <m/>
    <m/>
    <m/>
    <m/>
    <m/>
    <m/>
    <m/>
  </r>
  <r>
    <s v="TXNM091527"/>
    <x v="0"/>
    <x v="0"/>
    <d v="1993-07-21T00:00:00"/>
    <d v="1993-09-01T00:00:00"/>
    <x v="3"/>
    <m/>
    <x v="3"/>
    <x v="0"/>
    <n v="0.5"/>
    <m/>
    <m/>
    <m/>
    <m/>
    <n v="4200"/>
    <n v="4200"/>
    <m/>
    <m/>
    <m/>
    <m/>
    <x v="3"/>
    <x v="3"/>
    <m/>
    <m/>
    <s v="KINGSVILLE NAS "/>
    <s v="J MINDIOLOA SURVEY"/>
    <s v="LOTS &amp; TRACTS IN SEC 23 &amp; 30"/>
    <m/>
    <m/>
  </r>
  <r>
    <m/>
    <x v="1"/>
    <x v="1"/>
    <m/>
    <m/>
    <x v="1"/>
    <m/>
    <x v="1"/>
    <x v="1"/>
    <m/>
    <m/>
    <m/>
    <m/>
    <m/>
    <m/>
    <m/>
    <m/>
    <m/>
    <m/>
    <m/>
    <x v="1"/>
    <x v="1"/>
    <m/>
    <m/>
    <m/>
    <m/>
    <m/>
    <m/>
    <m/>
  </r>
  <r>
    <s v="TXNM102849"/>
    <x v="0"/>
    <x v="0"/>
    <d v="1999-04-21T00:00:00"/>
    <d v="1999-06-01T00:00:00"/>
    <x v="4"/>
    <m/>
    <x v="4"/>
    <x v="0"/>
    <n v="0.5"/>
    <m/>
    <m/>
    <n v="9904002"/>
    <n v="42612.5"/>
    <n v="0"/>
    <n v="42612.5"/>
    <m/>
    <m/>
    <m/>
    <m/>
    <x v="4"/>
    <x v="2"/>
    <m/>
    <m/>
    <s v="TEXAS A&amp;M UNIVERSITY"/>
    <s v="LOTS 2-8, BLK 5, KING ADDITION-EX 47.75 A"/>
    <m/>
    <m/>
    <m/>
  </r>
  <r>
    <m/>
    <x v="1"/>
    <x v="1"/>
    <m/>
    <m/>
    <x v="1"/>
    <m/>
    <x v="1"/>
    <x v="1"/>
    <m/>
    <m/>
    <m/>
    <m/>
    <m/>
    <m/>
    <m/>
    <m/>
    <m/>
    <m/>
    <m/>
    <x v="1"/>
    <x v="1"/>
    <m/>
    <m/>
    <m/>
    <m/>
    <m/>
    <m/>
    <m/>
  </r>
  <r>
    <s v="TXNM103276"/>
    <x v="0"/>
    <x v="0"/>
    <d v="1999-07-21T00:00:00"/>
    <d v="1999-09-01T00:00:00"/>
    <x v="5"/>
    <m/>
    <x v="2"/>
    <x v="0"/>
    <n v="0.5"/>
    <m/>
    <m/>
    <n v="9907041"/>
    <n v="1744.5"/>
    <n v="0"/>
    <n v="1744.5"/>
    <m/>
    <m/>
    <m/>
    <m/>
    <x v="5"/>
    <x v="2"/>
    <m/>
    <m/>
    <s v="DAVY CROCKETT NATL FOREST"/>
    <s v="TRACT K-1g"/>
    <m/>
    <m/>
    <m/>
  </r>
  <r>
    <s v="TXNM103277"/>
    <x v="0"/>
    <x v="0"/>
    <d v="1999-07-21T00:00:00"/>
    <d v="1999-09-01T00:00:00"/>
    <x v="5"/>
    <m/>
    <x v="2"/>
    <x v="0"/>
    <n v="0.5"/>
    <m/>
    <m/>
    <n v="9907042"/>
    <n v="1436.5"/>
    <n v="0"/>
    <n v="1436.5"/>
    <m/>
    <m/>
    <m/>
    <m/>
    <x v="5"/>
    <x v="2"/>
    <m/>
    <m/>
    <s v="DAVY CROCKETT NATL FOREST"/>
    <s v="TRACT K-1h PARCEL #1"/>
    <s v="SEE EXHIBIT K FOR M&amp;B"/>
    <m/>
    <m/>
  </r>
  <r>
    <s v="TXNM103278"/>
    <x v="0"/>
    <x v="0"/>
    <d v="1999-07-21T00:00:00"/>
    <d v="1999-09-01T00:00:00"/>
    <x v="5"/>
    <m/>
    <x v="5"/>
    <x v="0"/>
    <n v="0.5"/>
    <m/>
    <m/>
    <n v="9907043"/>
    <n v="2265"/>
    <n v="0"/>
    <n v="2265"/>
    <m/>
    <m/>
    <m/>
    <m/>
    <x v="5"/>
    <x v="2"/>
    <m/>
    <m/>
    <s v="DAVY CROCKETT NATL FOREST"/>
    <s v="TRACT K-1i"/>
    <m/>
    <m/>
    <m/>
  </r>
  <r>
    <s v="TXNM103285"/>
    <x v="0"/>
    <x v="0"/>
    <d v="1999-07-21T00:00:00"/>
    <d v="1999-09-01T00:00:00"/>
    <x v="5"/>
    <m/>
    <x v="2"/>
    <x v="0"/>
    <n v="0.5"/>
    <m/>
    <m/>
    <n v="9907052"/>
    <n v="565"/>
    <n v="0"/>
    <n v="565"/>
    <m/>
    <m/>
    <m/>
    <m/>
    <x v="5"/>
    <x v="2"/>
    <m/>
    <m/>
    <s v="DAVY CROCKETT NATL FOREST"/>
    <s v="TRACT K-6"/>
    <m/>
    <m/>
    <m/>
  </r>
  <r>
    <s v="TXNM103286"/>
    <x v="0"/>
    <x v="0"/>
    <d v="1999-07-21T00:00:00"/>
    <d v="1999-09-01T00:00:00"/>
    <x v="5"/>
    <m/>
    <x v="2"/>
    <x v="0"/>
    <n v="0.5"/>
    <m/>
    <m/>
    <n v="9907053"/>
    <n v="162.5"/>
    <n v="0"/>
    <n v="162.5"/>
    <m/>
    <m/>
    <m/>
    <m/>
    <x v="5"/>
    <x v="2"/>
    <m/>
    <m/>
    <s v="DAVY CROCKETT NATL FOREST"/>
    <s v="TRACT K-18"/>
    <m/>
    <m/>
    <m/>
  </r>
  <r>
    <s v="TXNM103287"/>
    <x v="0"/>
    <x v="0"/>
    <d v="1999-07-21T00:00:00"/>
    <d v="1999-09-01T00:00:00"/>
    <x v="5"/>
    <m/>
    <x v="5"/>
    <x v="0"/>
    <n v="0.5"/>
    <m/>
    <m/>
    <n v="9907055"/>
    <n v="585"/>
    <n v="0"/>
    <n v="585"/>
    <m/>
    <m/>
    <m/>
    <m/>
    <x v="5"/>
    <x v="2"/>
    <m/>
    <m/>
    <s v="DAVY CROCKETT NATL FOREST"/>
    <s v="TRACT K-31"/>
    <m/>
    <m/>
    <m/>
  </r>
  <r>
    <s v="TXNM103288"/>
    <x v="0"/>
    <x v="0"/>
    <d v="1999-07-21T00:00:00"/>
    <d v="1999-09-01T00:00:00"/>
    <x v="5"/>
    <m/>
    <x v="5"/>
    <x v="0"/>
    <n v="0.5"/>
    <m/>
    <m/>
    <n v="9907056"/>
    <n v="204.5"/>
    <n v="0"/>
    <n v="204.5"/>
    <m/>
    <m/>
    <m/>
    <m/>
    <x v="5"/>
    <x v="2"/>
    <m/>
    <m/>
    <s v="DAVY CROCKETT NATL FOREST"/>
    <s v="TRACT K-119"/>
    <m/>
    <m/>
    <m/>
  </r>
  <r>
    <s v="TXNM103292"/>
    <x v="0"/>
    <x v="0"/>
    <d v="1999-07-21T00:00:00"/>
    <d v="1999-09-01T00:00:00"/>
    <x v="5"/>
    <m/>
    <x v="6"/>
    <x v="0"/>
    <n v="0.5"/>
    <m/>
    <m/>
    <n v="9907061"/>
    <n v="3004.5"/>
    <n v="0"/>
    <n v="3004.5"/>
    <m/>
    <m/>
    <m/>
    <m/>
    <x v="4"/>
    <x v="2"/>
    <m/>
    <m/>
    <s v="SABINE NATL FOREST"/>
    <s v="TRACT S1Av"/>
    <m/>
    <m/>
    <m/>
  </r>
  <r>
    <s v="TXNM103293"/>
    <x v="0"/>
    <x v="0"/>
    <d v="1999-07-21T00:00:00"/>
    <d v="1999-09-01T00:00:00"/>
    <x v="5"/>
    <m/>
    <x v="6"/>
    <x v="0"/>
    <n v="0.5"/>
    <m/>
    <m/>
    <n v="9907062"/>
    <n v="4457"/>
    <n v="0"/>
    <n v="4457"/>
    <m/>
    <m/>
    <m/>
    <m/>
    <x v="4"/>
    <x v="2"/>
    <m/>
    <m/>
    <s v="SABINE NATL FOREST"/>
    <s v="TRACT S-1Bb"/>
    <s v="SEE EXHIBIT L FOR M&amp;B"/>
    <m/>
    <m/>
  </r>
  <r>
    <s v="TXNM103296"/>
    <x v="0"/>
    <x v="0"/>
    <d v="1999-07-21T00:00:00"/>
    <d v="1999-09-01T00:00:00"/>
    <x v="5"/>
    <m/>
    <x v="7"/>
    <x v="0"/>
    <n v="0.5"/>
    <m/>
    <m/>
    <n v="9907072"/>
    <n v="603.5"/>
    <n v="0"/>
    <n v="603.5"/>
    <m/>
    <m/>
    <m/>
    <m/>
    <x v="4"/>
    <x v="2"/>
    <m/>
    <m/>
    <s v="ANGELINA NATL FOREST"/>
    <s v="TRACT A-22a PARCEL #2"/>
    <m/>
    <m/>
    <m/>
  </r>
  <r>
    <s v="TXNM103297"/>
    <x v="0"/>
    <x v="0"/>
    <d v="1999-07-21T00:00:00"/>
    <d v="1999-09-01T00:00:00"/>
    <x v="5"/>
    <m/>
    <x v="7"/>
    <x v="0"/>
    <n v="0.5"/>
    <m/>
    <m/>
    <n v="9907073"/>
    <n v="911.5"/>
    <n v="0"/>
    <n v="911.5"/>
    <m/>
    <m/>
    <m/>
    <m/>
    <x v="4"/>
    <x v="2"/>
    <m/>
    <m/>
    <s v="ANGELINA NATL FOREST"/>
    <s v="TRACT A-22d"/>
    <m/>
    <m/>
    <m/>
  </r>
  <r>
    <s v="TXNM103301"/>
    <x v="0"/>
    <x v="0"/>
    <d v="1999-07-21T00:00:00"/>
    <d v="1999-09-01T00:00:00"/>
    <x v="5"/>
    <m/>
    <x v="8"/>
    <x v="0"/>
    <n v="0.5"/>
    <m/>
    <m/>
    <n v="9907081"/>
    <n v="3774.5"/>
    <n v="0"/>
    <n v="3774.5"/>
    <m/>
    <m/>
    <m/>
    <m/>
    <x v="4"/>
    <x v="2"/>
    <m/>
    <m/>
    <s v="SABINE NATL FOREST"/>
    <s v="TRACT S-1An"/>
    <m/>
    <m/>
    <m/>
  </r>
  <r>
    <s v="TXNM103314"/>
    <x v="0"/>
    <x v="0"/>
    <d v="1999-07-21T00:00:00"/>
    <d v="1999-09-01T00:00:00"/>
    <x v="5"/>
    <m/>
    <x v="2"/>
    <x v="0"/>
    <n v="0.5"/>
    <m/>
    <m/>
    <n v="9907035"/>
    <n v="3898.5"/>
    <n v="0"/>
    <n v="3898.5"/>
    <m/>
    <m/>
    <m/>
    <m/>
    <x v="5"/>
    <x v="2"/>
    <m/>
    <m/>
    <s v="DAVY CROCKETT NATL FOREST"/>
    <s v="TRACT K-1a-II PARCEL #1"/>
    <s v="SEE EXHIBIT G FOR M&amp;B"/>
    <m/>
    <m/>
  </r>
  <r>
    <s v="TXNM103315"/>
    <x v="0"/>
    <x v="0"/>
    <d v="1999-07-21T00:00:00"/>
    <d v="1999-09-01T00:00:00"/>
    <x v="5"/>
    <m/>
    <x v="2"/>
    <x v="0"/>
    <n v="0.5"/>
    <m/>
    <m/>
    <n v="9907036"/>
    <n v="3871.5"/>
    <n v="0"/>
    <n v="3871.5"/>
    <m/>
    <m/>
    <m/>
    <m/>
    <x v="5"/>
    <x v="2"/>
    <m/>
    <m/>
    <s v="DAVY CROCKETT NATL FOREST"/>
    <s v="TRACT K-1a-II PARCEL #2"/>
    <s v="SEE EXHIBIT H FOR M&amp;B"/>
    <m/>
    <m/>
  </r>
  <r>
    <s v="ARES50476"/>
    <x v="0"/>
    <x v="0"/>
    <d v="1999-09-23T00:00:00"/>
    <d v="1999-11-01T00:00:00"/>
    <x v="6"/>
    <m/>
    <x v="9"/>
    <x v="2"/>
    <n v="0.5"/>
    <m/>
    <m/>
    <s v="ES-09/99 48"/>
    <n v="215"/>
    <n v="1720"/>
    <n v="1935"/>
    <m/>
    <m/>
    <m/>
    <m/>
    <x v="6"/>
    <x v="2"/>
    <m/>
    <m/>
    <s v="OUICHATA NATL FOREST"/>
    <s v="T4N, R31W, 5TH PRINCIPAL MERIDIAN"/>
    <s v="SEC 32, SWNW"/>
    <m/>
    <m/>
  </r>
  <r>
    <s v="LAES50481"/>
    <x v="0"/>
    <x v="0"/>
    <d v="1999-09-23T00:00:00"/>
    <d v="1999-11-01T00:00:00"/>
    <x v="6"/>
    <m/>
    <x v="10"/>
    <x v="3"/>
    <n v="0.5"/>
    <m/>
    <m/>
    <s v="ES-09/99 53"/>
    <n v="222"/>
    <n v="15666"/>
    <n v="15888"/>
    <m/>
    <m/>
    <m/>
    <m/>
    <x v="4"/>
    <x v="2"/>
    <m/>
    <m/>
    <s v="NONE"/>
    <s v="T8S, R10W,  LOUISIANA MERIDIAN"/>
    <s v="SEC 1, SWNE"/>
    <m/>
    <m/>
  </r>
  <r>
    <s v="MSES50483"/>
    <x v="0"/>
    <x v="0"/>
    <d v="1999-09-23T00:00:00"/>
    <d v="1999-11-01T00:00:00"/>
    <x v="6"/>
    <m/>
    <x v="11"/>
    <x v="4"/>
    <n v="0.5"/>
    <m/>
    <m/>
    <s v="ES-09/99 55"/>
    <n v="638.5"/>
    <n v="11753"/>
    <n v="12391.5"/>
    <m/>
    <m/>
    <m/>
    <m/>
    <x v="4"/>
    <x v="2"/>
    <m/>
    <m/>
    <s v="DESOTO NATL FOREST"/>
    <s v="T1S, R13W, ST. STEPHENS MERIDIAN"/>
    <s v="SEC 25"/>
    <m/>
    <m/>
  </r>
  <r>
    <m/>
    <x v="1"/>
    <x v="1"/>
    <m/>
    <m/>
    <x v="1"/>
    <m/>
    <x v="1"/>
    <x v="1"/>
    <m/>
    <m/>
    <m/>
    <m/>
    <m/>
    <m/>
    <m/>
    <m/>
    <m/>
    <m/>
    <m/>
    <x v="1"/>
    <x v="1"/>
    <m/>
    <m/>
    <m/>
    <m/>
    <m/>
    <m/>
    <m/>
  </r>
  <r>
    <s v="LAES50520"/>
    <x v="0"/>
    <x v="0"/>
    <d v="1999-12-16T00:00:00"/>
    <d v="2000-02-01T00:00:00"/>
    <x v="7"/>
    <n v="199.75"/>
    <x v="12"/>
    <x v="3"/>
    <n v="0.5"/>
    <m/>
    <m/>
    <s v="ES-12/99 03"/>
    <n v="775"/>
    <n v="54600"/>
    <n v="55375"/>
    <n v="400"/>
    <m/>
    <m/>
    <m/>
    <x v="7"/>
    <x v="4"/>
    <m/>
    <m/>
    <s v="NONE"/>
    <s v="T17N, R10W, LOUISIANA MERIDIAN"/>
    <s v="SEC 20, SENE, N2SW, N2SE"/>
    <m/>
    <m/>
  </r>
  <r>
    <s v="MSES50524"/>
    <x v="0"/>
    <x v="0"/>
    <d v="1999-12-16T00:00:00"/>
    <d v="2000-02-01T00:00:00"/>
    <x v="7"/>
    <n v="433.54"/>
    <x v="13"/>
    <x v="4"/>
    <n v="0.5"/>
    <m/>
    <m/>
    <s v="ES-12/99 07"/>
    <n v="1594"/>
    <n v="42532"/>
    <n v="44126"/>
    <n v="868"/>
    <m/>
    <m/>
    <m/>
    <x v="8"/>
    <x v="4"/>
    <m/>
    <m/>
    <s v="NONE"/>
    <s v="T7N, R8W, ST, STEPHENS MERIDIAN"/>
    <s v="SEC 4, SWNE, W2, W2SE"/>
    <m/>
    <m/>
  </r>
  <r>
    <s v="MSES50526"/>
    <x v="0"/>
    <x v="0"/>
    <d v="1999-12-16T00:00:00"/>
    <d v="2000-02-01T00:00:00"/>
    <x v="7"/>
    <m/>
    <x v="14"/>
    <x v="4"/>
    <n v="0.5"/>
    <m/>
    <m/>
    <s v="ES-12/99 09"/>
    <n v="1664"/>
    <n v="6356"/>
    <n v="8020"/>
    <m/>
    <m/>
    <m/>
    <m/>
    <x v="9"/>
    <x v="4"/>
    <m/>
    <m/>
    <s v="TOMBIGBEE NATL FOREST"/>
    <s v="T12S, R4E, CHICKASAW MERIDIAN"/>
    <s v="SEC 5, SW, E20ac OF SESE, 7ac IN SE  CORNER OF NESE; SEC 8, S2/3 NE*, NW*  (* 50% US MIN INT)"/>
    <m/>
    <m/>
  </r>
  <r>
    <m/>
    <x v="1"/>
    <x v="1"/>
    <d v="1999-12-31T00:00:00"/>
    <d v="1999-12-31T00:00:00"/>
    <x v="8"/>
    <m/>
    <x v="1"/>
    <x v="1"/>
    <m/>
    <m/>
    <m/>
    <m/>
    <m/>
    <n v="577.51"/>
    <n v="577.51"/>
    <m/>
    <m/>
    <m/>
    <m/>
    <x v="10"/>
    <x v="1"/>
    <m/>
    <m/>
    <m/>
    <m/>
    <m/>
    <m/>
    <m/>
  </r>
  <r>
    <m/>
    <x v="1"/>
    <x v="1"/>
    <d v="1999-12-31T00:00:00"/>
    <d v="1999-12-31T00:00:00"/>
    <x v="8"/>
    <m/>
    <x v="1"/>
    <x v="1"/>
    <m/>
    <m/>
    <m/>
    <m/>
    <m/>
    <n v="300"/>
    <n v="300"/>
    <m/>
    <m/>
    <m/>
    <m/>
    <x v="11"/>
    <x v="1"/>
    <m/>
    <m/>
    <m/>
    <m/>
    <m/>
    <m/>
    <m/>
  </r>
  <r>
    <m/>
    <x v="1"/>
    <x v="1"/>
    <m/>
    <m/>
    <x v="1"/>
    <m/>
    <x v="1"/>
    <x v="1"/>
    <m/>
    <m/>
    <m/>
    <m/>
    <m/>
    <m/>
    <m/>
    <m/>
    <m/>
    <m/>
    <m/>
    <x v="1"/>
    <x v="1"/>
    <m/>
    <m/>
    <m/>
    <m/>
    <m/>
    <m/>
    <m/>
  </r>
  <r>
    <s v="MSES050634"/>
    <x v="0"/>
    <x v="0"/>
    <d v="2000-03-23T00:00:00"/>
    <m/>
    <x v="1"/>
    <m/>
    <x v="1"/>
    <x v="4"/>
    <m/>
    <m/>
    <m/>
    <m/>
    <n v="298.5"/>
    <n v="-223.5"/>
    <n v="75"/>
    <m/>
    <m/>
    <m/>
    <m/>
    <x v="12"/>
    <x v="1"/>
    <m/>
    <m/>
    <m/>
    <m/>
    <m/>
    <m/>
    <m/>
  </r>
  <r>
    <s v="MSES050635"/>
    <x v="0"/>
    <x v="0"/>
    <d v="2000-03-23T00:00:00"/>
    <m/>
    <x v="1"/>
    <m/>
    <x v="1"/>
    <x v="4"/>
    <m/>
    <m/>
    <m/>
    <m/>
    <n v="745.5"/>
    <n v="-670.5"/>
    <n v="75"/>
    <m/>
    <m/>
    <m/>
    <m/>
    <x v="13"/>
    <x v="1"/>
    <m/>
    <m/>
    <m/>
    <m/>
    <m/>
    <m/>
    <m/>
  </r>
  <r>
    <s v="MSES050636"/>
    <x v="0"/>
    <x v="0"/>
    <d v="2000-03-23T00:00:00"/>
    <d v="2000-04-01T00:00:00"/>
    <x v="9"/>
    <n v="376.8"/>
    <x v="15"/>
    <x v="4"/>
    <n v="0.5"/>
    <m/>
    <m/>
    <s v="ES-03/00 31"/>
    <n v="640.5"/>
    <n v="0"/>
    <n v="640.5"/>
    <n v="754"/>
    <m/>
    <m/>
    <m/>
    <x v="7"/>
    <x v="4"/>
    <m/>
    <m/>
    <s v="HOMOCHITTO NATL FOREST"/>
    <s v="T5N, R1W, WASHINGTON MERIDIAN"/>
    <s v="SEC 6, ALL"/>
    <m/>
    <m/>
  </r>
  <r>
    <s v="MSES050637"/>
    <x v="0"/>
    <x v="0"/>
    <d v="2000-03-23T00:00:00"/>
    <m/>
    <x v="1"/>
    <m/>
    <x v="1"/>
    <x v="4"/>
    <m/>
    <m/>
    <m/>
    <m/>
    <n v="586.5"/>
    <n v="-511.5"/>
    <n v="75"/>
    <m/>
    <m/>
    <m/>
    <m/>
    <x v="14"/>
    <x v="1"/>
    <m/>
    <m/>
    <m/>
    <s v="N/A"/>
    <s v="N/A"/>
    <m/>
    <m/>
  </r>
  <r>
    <s v="MSES050642"/>
    <x v="0"/>
    <x v="0"/>
    <d v="2000-03-23T00:00:00"/>
    <d v="2000-04-01T00:00:00"/>
    <x v="9"/>
    <n v="152.11000000000001"/>
    <x v="15"/>
    <x v="4"/>
    <n v="0.5"/>
    <m/>
    <m/>
    <s v="ES-03/00 37"/>
    <n v="304.5"/>
    <n v="0"/>
    <n v="304.5"/>
    <n v="306"/>
    <m/>
    <m/>
    <m/>
    <x v="7"/>
    <x v="4"/>
    <m/>
    <m/>
    <s v="HOMOCHITTO NATL FOREST"/>
    <s v="T5N, R1W, WASHINGTON MERIDIAN"/>
    <s v="SEC 21, LOTS 5 THRU 8"/>
    <m/>
    <m/>
  </r>
  <r>
    <s v="MSES050646"/>
    <x v="0"/>
    <x v="0"/>
    <d v="2000-03-23T00:00:00"/>
    <d v="2000-04-01T00:00:00"/>
    <x v="9"/>
    <n v="39.65"/>
    <x v="13"/>
    <x v="4"/>
    <n v="0.5"/>
    <m/>
    <m/>
    <s v="ES-03/00 41"/>
    <n v="13135"/>
    <n v="0"/>
    <n v="13135"/>
    <n v="80"/>
    <m/>
    <m/>
    <m/>
    <x v="7"/>
    <x v="4"/>
    <m/>
    <m/>
    <s v="DESOTO NATL FOREST"/>
    <s v="T6N, R7W, ST, STEPHENS MERIDIAN"/>
    <s v="SEC 30, SWSW"/>
    <m/>
    <m/>
  </r>
  <r>
    <m/>
    <x v="1"/>
    <x v="1"/>
    <m/>
    <m/>
    <x v="1"/>
    <m/>
    <x v="1"/>
    <x v="1"/>
    <m/>
    <m/>
    <m/>
    <m/>
    <m/>
    <m/>
    <m/>
    <m/>
    <m/>
    <m/>
    <m/>
    <x v="1"/>
    <x v="1"/>
    <m/>
    <m/>
    <m/>
    <m/>
    <m/>
    <m/>
    <m/>
  </r>
  <r>
    <s v="LAES050702"/>
    <x v="0"/>
    <x v="0"/>
    <d v="2000-06-29T00:00:00"/>
    <d v="2000-10-01T00:00:00"/>
    <x v="10"/>
    <n v="80"/>
    <x v="16"/>
    <x v="3"/>
    <n v="0.5"/>
    <m/>
    <m/>
    <s v="ES-06/00 29"/>
    <n v="355"/>
    <n v="15840"/>
    <n v="16195"/>
    <n v="160"/>
    <m/>
    <m/>
    <m/>
    <x v="7"/>
    <x v="4"/>
    <m/>
    <m/>
    <s v="NONE"/>
    <s v="T14S, R16E, ST HELENA MERIDIAN"/>
    <s v="SEC 13, N2SW"/>
    <m/>
    <m/>
  </r>
  <r>
    <s v="MSES050710"/>
    <x v="0"/>
    <x v="0"/>
    <d v="2000-06-29T00:00:00"/>
    <d v="2000-08-01T00:00:00"/>
    <x v="11"/>
    <n v="600"/>
    <x v="13"/>
    <x v="4"/>
    <n v="0.5"/>
    <m/>
    <m/>
    <s v="ES-06/00 37"/>
    <n v="2175"/>
    <n v="0"/>
    <n v="2175"/>
    <n v="1200"/>
    <m/>
    <m/>
    <m/>
    <x v="7"/>
    <x v="4"/>
    <m/>
    <m/>
    <s v="DESOTO NATL FOREST"/>
    <s v="T6N,R7W, ST STEPHENS MERIDIAN"/>
    <s v="SEC 11, NWNE, S2NE,W2,SE"/>
    <m/>
    <m/>
  </r>
  <r>
    <s v="MSES050711"/>
    <x v="0"/>
    <x v="0"/>
    <d v="2000-06-29T00:00:00"/>
    <d v="2000-08-01T00:00:00"/>
    <x v="11"/>
    <n v="160.4"/>
    <x v="13"/>
    <x v="4"/>
    <n v="0.5"/>
    <m/>
    <m/>
    <s v="ES-06/00 38"/>
    <n v="638.5"/>
    <n v="644"/>
    <n v="1282.5"/>
    <n v="322"/>
    <m/>
    <m/>
    <m/>
    <x v="7"/>
    <x v="4"/>
    <m/>
    <m/>
    <s v="DESOTO NATL FOREST"/>
    <s v="T6N,R7W, ST STEPHENS MERIDIAN"/>
    <s v="SEC 27, SENE, W2NW, NESE"/>
    <m/>
    <m/>
  </r>
  <r>
    <s v="MSES050712"/>
    <x v="0"/>
    <x v="0"/>
    <d v="2000-06-29T00:00:00"/>
    <d v="2000-08-01T00:00:00"/>
    <x v="11"/>
    <n v="561.13800000000003"/>
    <x v="13"/>
    <x v="4"/>
    <n v="0.5"/>
    <m/>
    <m/>
    <s v="ES-06/00 39"/>
    <n v="2042"/>
    <n v="1124"/>
    <n v="3166"/>
    <n v="1124"/>
    <m/>
    <m/>
    <m/>
    <x v="7"/>
    <x v="4"/>
    <m/>
    <m/>
    <s v="DESOTO NATL FOREST"/>
    <s v="T6N,R7W, ST STEPHENS MERIDIAN"/>
    <s v="SEC 34,NWNE, S2NE,W2, N2SE, SWSE"/>
    <m/>
    <m/>
  </r>
  <r>
    <s v="MSES050713"/>
    <x v="0"/>
    <x v="0"/>
    <d v="2000-06-29T00:00:00"/>
    <d v="2000-08-01T00:00:00"/>
    <x v="11"/>
    <n v="639.5"/>
    <x v="13"/>
    <x v="4"/>
    <n v="0.5"/>
    <m/>
    <m/>
    <s v="ES-06/00 40"/>
    <n v="2315"/>
    <n v="2560"/>
    <n v="4875"/>
    <n v="1280"/>
    <m/>
    <m/>
    <m/>
    <x v="7"/>
    <x v="4"/>
    <m/>
    <m/>
    <s v="DESOTO NATL FOREST"/>
    <s v="T6N,R8W, ST STEPHENS MERIDIAN"/>
    <s v="SEC 1, ALL"/>
    <m/>
    <m/>
  </r>
  <r>
    <s v="MSES050714"/>
    <x v="0"/>
    <x v="0"/>
    <d v="2000-06-29T00:00:00"/>
    <d v="2000-08-01T00:00:00"/>
    <x v="11"/>
    <n v="481.05"/>
    <x v="13"/>
    <x v="4"/>
    <n v="0.5"/>
    <m/>
    <m/>
    <s v="ES-06/00 41"/>
    <n v="1762"/>
    <n v="0"/>
    <n v="1762"/>
    <n v="964"/>
    <m/>
    <m/>
    <m/>
    <x v="7"/>
    <x v="4"/>
    <m/>
    <m/>
    <s v="DESOTO NATL FOREST"/>
    <s v="T6N,R8W, ST STEPHENS MERIDIAN"/>
    <s v="SEC 2, N2NE,W2,W2SE"/>
    <m/>
    <m/>
  </r>
  <r>
    <s v="MSES050715"/>
    <x v="0"/>
    <x v="0"/>
    <d v="2000-06-29T00:00:00"/>
    <d v="2000-08-01T00:00:00"/>
    <x v="11"/>
    <n v="479.25"/>
    <x v="13"/>
    <x v="4"/>
    <n v="0.5"/>
    <m/>
    <m/>
    <s v="ES-06/00 42"/>
    <n v="1755"/>
    <n v="1920"/>
    <n v="3675"/>
    <n v="960"/>
    <m/>
    <m/>
    <m/>
    <x v="7"/>
    <x v="4"/>
    <m/>
    <m/>
    <s v="DESOTO NATL FOREST"/>
    <s v="T6N,R8W, ST STEPHENS MERIDIAN"/>
    <s v="SEC 4, W2NE,NW,SW, -EX. 1AC"/>
    <m/>
    <m/>
  </r>
  <r>
    <s v="MSES050716"/>
    <x v="0"/>
    <x v="0"/>
    <d v="2000-06-29T00:00:00"/>
    <d v="2000-08-01T00:00:00"/>
    <x v="11"/>
    <n v="437.93799999999999"/>
    <x v="13"/>
    <x v="4"/>
    <n v="0.5"/>
    <m/>
    <m/>
    <s v="ES-06/00 43"/>
    <n v="1608"/>
    <n v="3066"/>
    <n v="4674"/>
    <n v="876"/>
    <m/>
    <m/>
    <m/>
    <x v="7"/>
    <x v="4"/>
    <m/>
    <m/>
    <s v="DESOTO NATL FOREST"/>
    <s v="T6N,R8W, ST STEPHENS MERIDIAN"/>
    <s v="SEC 5,NE, SWNW, SW, N2SE"/>
    <m/>
    <m/>
  </r>
  <r>
    <s v="MSES050717"/>
    <x v="0"/>
    <x v="0"/>
    <d v="2000-06-29T00:00:00"/>
    <d v="2000-08-01T00:00:00"/>
    <x v="11"/>
    <n v="39.813000000000002"/>
    <x v="13"/>
    <x v="4"/>
    <n v="0.5"/>
    <m/>
    <m/>
    <s v="ES-06/00 44"/>
    <n v="215"/>
    <n v="0"/>
    <n v="215"/>
    <n v="80"/>
    <m/>
    <m/>
    <m/>
    <x v="7"/>
    <x v="4"/>
    <m/>
    <m/>
    <s v="DESOTO NATL FOREST"/>
    <s v="T6N,R8W, ST STEPHENS MERIDIAN"/>
    <s v="SEC 5, SWSE (25% US MI ONLY)"/>
    <m/>
    <m/>
  </r>
  <r>
    <s v="MSES050718"/>
    <x v="0"/>
    <x v="0"/>
    <d v="2000-06-29T00:00:00"/>
    <d v="2000-08-01T00:00:00"/>
    <x v="11"/>
    <n v="475.28"/>
    <x v="13"/>
    <x v="4"/>
    <n v="0.5"/>
    <m/>
    <m/>
    <s v="ES-06/00 45"/>
    <n v="1741"/>
    <n v="0"/>
    <n v="1741"/>
    <n v="952"/>
    <m/>
    <m/>
    <m/>
    <x v="7"/>
    <x v="4"/>
    <m/>
    <m/>
    <s v="DESOTO NATL FOREST"/>
    <s v="T6N,R8W, ST STEPHENS MERIDIAN"/>
    <s v="SEC 6, NWNE. S2N2,SW,W2SE,SESE"/>
    <m/>
    <m/>
  </r>
  <r>
    <s v="MSES050719"/>
    <x v="0"/>
    <x v="0"/>
    <d v="2000-06-29T00:00:00"/>
    <d v="2000-08-01T00:00:00"/>
    <x v="11"/>
    <n v="200"/>
    <x v="13"/>
    <x v="4"/>
    <n v="0.5"/>
    <m/>
    <m/>
    <s v="ES-06/00 46"/>
    <n v="775"/>
    <n v="1400"/>
    <n v="2175"/>
    <n v="400"/>
    <m/>
    <m/>
    <m/>
    <x v="7"/>
    <x v="4"/>
    <m/>
    <m/>
    <s v="DESOTO NATL FOREST"/>
    <s v="T6N,R8W, ST STEPHENS MERIDIAN"/>
    <s v="SEC 10, S2NW, N2SW, SWSW"/>
    <m/>
    <m/>
  </r>
  <r>
    <s v="MSES050720"/>
    <x v="0"/>
    <x v="0"/>
    <d v="2000-06-29T00:00:00"/>
    <d v="2000-08-01T00:00:00"/>
    <x v="11"/>
    <n v="642.70000000000005"/>
    <x v="13"/>
    <x v="4"/>
    <n v="0.5"/>
    <m/>
    <m/>
    <s v="ES-06/00 47"/>
    <n v="2325.5"/>
    <n v="0"/>
    <n v="2325.5"/>
    <n v="1286"/>
    <m/>
    <m/>
    <m/>
    <x v="7"/>
    <x v="4"/>
    <m/>
    <m/>
    <s v="DESOTO NATL FOREST"/>
    <s v="T6N,R8W, ST STEPHENS MERIDIAN"/>
    <s v="SEC 13, ALL"/>
    <m/>
    <m/>
  </r>
  <r>
    <s v="MSES050721"/>
    <x v="0"/>
    <x v="0"/>
    <d v="2000-06-29T00:00:00"/>
    <d v="2000-08-01T00:00:00"/>
    <x v="11"/>
    <n v="637.6"/>
    <x v="13"/>
    <x v="4"/>
    <n v="0.5"/>
    <m/>
    <m/>
    <s v="ES-06/00 48"/>
    <n v="2308"/>
    <n v="3828"/>
    <n v="6136"/>
    <n v="1276"/>
    <m/>
    <m/>
    <m/>
    <x v="7"/>
    <x v="4"/>
    <m/>
    <m/>
    <s v="DESOTO NATL FOREST"/>
    <s v="T6N,R8W, ST STEPHENS MERIDIAN"/>
    <s v="SEC 19, ALL"/>
    <m/>
    <m/>
  </r>
  <r>
    <s v="MSES050722"/>
    <x v="0"/>
    <x v="0"/>
    <d v="2000-06-29T00:00:00"/>
    <d v="2000-08-01T00:00:00"/>
    <x v="11"/>
    <n v="637.79999999999995"/>
    <x v="13"/>
    <x v="4"/>
    <n v="0.5"/>
    <m/>
    <m/>
    <s v="ES-06/00 49"/>
    <n v="2308"/>
    <n v="3828"/>
    <n v="6136"/>
    <n v="1276"/>
    <m/>
    <m/>
    <m/>
    <x v="7"/>
    <x v="4"/>
    <m/>
    <m/>
    <s v="DESOTO NATL FOREST"/>
    <s v="T6N,R8W, ST STEPHENS MERIDIAN"/>
    <s v="SEC 20, ALL"/>
    <m/>
    <m/>
  </r>
  <r>
    <s v="MSES050723"/>
    <x v="0"/>
    <x v="0"/>
    <d v="2000-06-29T00:00:00"/>
    <d v="2000-08-01T00:00:00"/>
    <x v="11"/>
    <n v="640.5"/>
    <x v="13"/>
    <x v="4"/>
    <n v="0.5"/>
    <m/>
    <m/>
    <s v="ES-06/00 50"/>
    <n v="2318.5"/>
    <n v="0"/>
    <n v="2318.5"/>
    <n v="1282"/>
    <m/>
    <m/>
    <m/>
    <x v="7"/>
    <x v="4"/>
    <m/>
    <m/>
    <s v="DESOTO NATL FOREST"/>
    <s v="T6N,R8W, ST STEPHENS MERIDIAN"/>
    <s v="SEC 22, ALL"/>
    <m/>
    <m/>
  </r>
  <r>
    <s v="MSES050724"/>
    <x v="0"/>
    <x v="0"/>
    <d v="2000-06-29T00:00:00"/>
    <d v="2000-08-01T00:00:00"/>
    <x v="11"/>
    <n v="240.45"/>
    <x v="13"/>
    <x v="4"/>
    <n v="0.5"/>
    <m/>
    <m/>
    <s v="ES-06/00 51"/>
    <n v="918.5"/>
    <n v="1446"/>
    <n v="2364.5"/>
    <n v="482"/>
    <m/>
    <m/>
    <m/>
    <x v="7"/>
    <x v="4"/>
    <m/>
    <m/>
    <s v="DESOTO NATL FOREST"/>
    <s v="T6N,R8W, ST STEPHENS MERIDIAN"/>
    <s v="SEC 23, NE, S2SE"/>
    <m/>
    <m/>
  </r>
  <r>
    <s v="MSES050725"/>
    <x v="0"/>
    <x v="0"/>
    <d v="2000-06-29T00:00:00"/>
    <d v="2000-08-01T00:00:00"/>
    <x v="11"/>
    <n v="642.4"/>
    <x v="13"/>
    <x v="4"/>
    <n v="0.5"/>
    <m/>
    <m/>
    <s v="ES-06/00 52"/>
    <n v="2325.5"/>
    <n v="0"/>
    <n v="2325.5"/>
    <n v="1286"/>
    <m/>
    <m/>
    <m/>
    <x v="7"/>
    <x v="4"/>
    <m/>
    <m/>
    <s v="DESOTO NATL FOREST"/>
    <s v="T6N,R8W, ST STEPHENS MERIDIAN"/>
    <s v="SEC 24, ALL"/>
    <m/>
    <m/>
  </r>
  <r>
    <s v="MSES050726"/>
    <x v="0"/>
    <x v="0"/>
    <d v="2000-06-29T00:00:00"/>
    <d v="2000-08-01T00:00:00"/>
    <x v="11"/>
    <n v="69.938000000000002"/>
    <x v="13"/>
    <x v="4"/>
    <n v="0.5"/>
    <m/>
    <m/>
    <s v="ES-06/00 53"/>
    <n v="320"/>
    <n v="1120"/>
    <n v="1440"/>
    <n v="140"/>
    <m/>
    <m/>
    <m/>
    <x v="7"/>
    <x v="4"/>
    <m/>
    <m/>
    <s v="DESOTO NATL FOREST"/>
    <s v="T6N,R8W, ST STEPHENS MERIDIAN"/>
    <s v="SEC 26, NWNW, SWNW, -EX 10A"/>
    <m/>
    <m/>
  </r>
  <r>
    <s v="MSES050727"/>
    <x v="0"/>
    <x v="0"/>
    <d v="2000-06-29T00:00:00"/>
    <d v="2000-08-01T00:00:00"/>
    <x v="11"/>
    <n v="560"/>
    <x v="13"/>
    <x v="4"/>
    <n v="0.5"/>
    <m/>
    <m/>
    <s v="ES-06/00 54"/>
    <n v="2035"/>
    <n v="0"/>
    <n v="2035"/>
    <n v="1120"/>
    <m/>
    <m/>
    <m/>
    <x v="7"/>
    <x v="4"/>
    <m/>
    <m/>
    <s v="DESOTO NATL FOREST"/>
    <s v="T6N,R8W, ST STEPHENS MERIDIAN"/>
    <s v="SEC 27, NENE,W2E2, W2, NESE"/>
    <m/>
    <m/>
  </r>
  <r>
    <s v="MSES050728"/>
    <x v="0"/>
    <x v="0"/>
    <d v="2000-06-29T00:00:00"/>
    <d v="2000-08-01T00:00:00"/>
    <x v="11"/>
    <n v="640"/>
    <x v="13"/>
    <x v="4"/>
    <n v="0.5"/>
    <m/>
    <m/>
    <s v="ES-06/00 55"/>
    <n v="2315"/>
    <n v="0"/>
    <n v="2315"/>
    <n v="1280"/>
    <m/>
    <m/>
    <m/>
    <x v="7"/>
    <x v="4"/>
    <m/>
    <m/>
    <s v="DESOTO NATL FOREST"/>
    <s v="T6N,R8W, ST STEPHENS MERIDIAN"/>
    <s v="SEC 28, ALL"/>
    <m/>
    <m/>
  </r>
  <r>
    <s v="MSES050729"/>
    <x v="0"/>
    <x v="0"/>
    <d v="2000-06-29T00:00:00"/>
    <d v="2000-08-01T00:00:00"/>
    <x v="11"/>
    <n v="438.97"/>
    <x v="13"/>
    <x v="4"/>
    <n v="0.5"/>
    <m/>
    <m/>
    <s v="ES-06/00 56"/>
    <n v="1611.5"/>
    <n v="0"/>
    <n v="1611.5"/>
    <n v="878"/>
    <m/>
    <m/>
    <m/>
    <x v="7"/>
    <x v="4"/>
    <m/>
    <m/>
    <s v="DESOTO NATL FOREST"/>
    <s v="T6N,R8W, ST STEPHENS MERIDIAN"/>
    <s v="SEC 32, N2,SESW,N2SE"/>
    <m/>
    <m/>
  </r>
  <r>
    <s v="MSES050730"/>
    <x v="0"/>
    <x v="0"/>
    <d v="2000-06-29T00:00:00"/>
    <d v="2000-08-01T00:00:00"/>
    <x v="11"/>
    <n v="440"/>
    <x v="13"/>
    <x v="4"/>
    <n v="0.5"/>
    <m/>
    <m/>
    <s v="ES-06/00 57"/>
    <n v="1615"/>
    <n v="0"/>
    <n v="1615"/>
    <n v="880"/>
    <m/>
    <m/>
    <m/>
    <x v="7"/>
    <x v="4"/>
    <m/>
    <m/>
    <s v="DESOTO NATL FOREST"/>
    <s v="T6N,R8W, ST STEPHENS MERIDIAN"/>
    <s v="SEC 33, E2, N2NW, SWNW"/>
    <m/>
    <m/>
  </r>
  <r>
    <s v="MSES050731"/>
    <x v="0"/>
    <x v="0"/>
    <d v="2000-06-29T00:00:00"/>
    <d v="2000-08-01T00:00:00"/>
    <x v="11"/>
    <n v="320"/>
    <x v="13"/>
    <x v="4"/>
    <n v="0.5"/>
    <m/>
    <m/>
    <s v="ES-06/00 58"/>
    <n v="1195"/>
    <n v="3840"/>
    <n v="5035"/>
    <n v="640"/>
    <m/>
    <m/>
    <m/>
    <x v="7"/>
    <x v="4"/>
    <m/>
    <m/>
    <s v="DESOTO NATL FOREST"/>
    <s v="T6N,R8W, ST STEPHENS MERIDIAN"/>
    <s v="SEC 35, W2NE, NWNW, NESW, S2SW, W2SE"/>
    <m/>
    <m/>
  </r>
  <r>
    <m/>
    <x v="1"/>
    <x v="1"/>
    <m/>
    <m/>
    <x v="1"/>
    <m/>
    <x v="1"/>
    <x v="1"/>
    <m/>
    <m/>
    <m/>
    <m/>
    <m/>
    <m/>
    <m/>
    <m/>
    <m/>
    <m/>
    <m/>
    <x v="1"/>
    <x v="1"/>
    <m/>
    <m/>
    <m/>
    <m/>
    <m/>
    <m/>
    <m/>
  </r>
  <r>
    <s v="OKNM105178"/>
    <x v="0"/>
    <x v="0"/>
    <d v="2000-07-19T00:00:00"/>
    <d v="2000-09-01T00:00:00"/>
    <x v="12"/>
    <n v="49.7"/>
    <x v="17"/>
    <x v="5"/>
    <n v="0.5"/>
    <m/>
    <m/>
    <n v="200007009"/>
    <n v="250"/>
    <n v="4400"/>
    <n v="4650"/>
    <n v="100"/>
    <m/>
    <m/>
    <m/>
    <x v="7"/>
    <x v="4"/>
    <m/>
    <m/>
    <s v=" "/>
    <s v="T15N,R14W, IM MERIDIAN"/>
    <s v="SEC 05, LOT 4"/>
    <m/>
    <m/>
  </r>
  <r>
    <s v="TXNM105180"/>
    <x v="0"/>
    <x v="0"/>
    <d v="2000-07-19T00:00:00"/>
    <d v="2000-09-01T00:00:00"/>
    <x v="12"/>
    <n v="259.39"/>
    <x v="18"/>
    <x v="0"/>
    <n v="0.5"/>
    <m/>
    <m/>
    <n v="200007011"/>
    <n v="985"/>
    <n v="56680"/>
    <n v="57665"/>
    <n v="520"/>
    <m/>
    <m/>
    <m/>
    <x v="7"/>
    <x v="4"/>
    <m/>
    <m/>
    <s v="NPRI O/S ON PART OF ACREAGE"/>
    <s v="TR I-C-141; FRAC TR I-C-138,142-2, TR 142-3"/>
    <s v="50% M.I. TRACT 142-2, 142-3"/>
    <m/>
    <m/>
  </r>
  <r>
    <s v="TXNM105181"/>
    <x v="0"/>
    <x v="0"/>
    <d v="2000-07-19T00:00:00"/>
    <d v="2000-09-01T00:00:00"/>
    <x v="12"/>
    <n v="642"/>
    <x v="0"/>
    <x v="0"/>
    <n v="0.5"/>
    <m/>
    <m/>
    <n v="200007012"/>
    <n v="2322"/>
    <n v="7062"/>
    <n v="9384"/>
    <n v="1284"/>
    <m/>
    <m/>
    <m/>
    <x v="15"/>
    <x v="4"/>
    <m/>
    <m/>
    <s v="SAM HOUSTON NATL FOREST"/>
    <s v="TRACT J-5, J-6B"/>
    <m/>
    <m/>
    <m/>
  </r>
  <r>
    <m/>
    <x v="1"/>
    <x v="1"/>
    <m/>
    <m/>
    <x v="1"/>
    <m/>
    <x v="1"/>
    <x v="1"/>
    <m/>
    <m/>
    <m/>
    <m/>
    <m/>
    <m/>
    <m/>
    <m/>
    <m/>
    <m/>
    <m/>
    <x v="1"/>
    <x v="1"/>
    <m/>
    <m/>
    <m/>
    <m/>
    <m/>
    <m/>
    <m/>
  </r>
  <r>
    <s v="TXNM105584"/>
    <x v="0"/>
    <x v="0"/>
    <d v="2000-10-18T00:00:00"/>
    <d v="2000-12-01T00:00:00"/>
    <x v="13"/>
    <n v="51"/>
    <x v="19"/>
    <x v="0"/>
    <n v="0.5"/>
    <m/>
    <m/>
    <n v="200010065"/>
    <n v="253.5"/>
    <n v="2448"/>
    <n v="2701.5"/>
    <n v="102"/>
    <m/>
    <m/>
    <m/>
    <x v="7"/>
    <x v="4"/>
    <m/>
    <m/>
    <s v="SAM HOUSTON NATL FOREST"/>
    <s v="TRACT J-1e"/>
    <m/>
    <m/>
    <m/>
  </r>
  <r>
    <s v="TXNM105585"/>
    <x v="0"/>
    <x v="0"/>
    <d v="2000-10-18T00:00:00"/>
    <d v="2000-12-01T00:00:00"/>
    <x v="13"/>
    <n v="15"/>
    <x v="19"/>
    <x v="0"/>
    <n v="0.5"/>
    <m/>
    <m/>
    <n v="200010066"/>
    <n v="127.5"/>
    <n v="705"/>
    <n v="832.5"/>
    <n v="30"/>
    <m/>
    <m/>
    <m/>
    <x v="7"/>
    <x v="4"/>
    <m/>
    <m/>
    <s v="SAM HOUSTON NATL FOREST"/>
    <s v="TRACT J-2-VIII"/>
    <m/>
    <m/>
    <m/>
  </r>
  <r>
    <s v="TXNM105586"/>
    <x v="0"/>
    <x v="0"/>
    <d v="2000-10-18T00:00:00"/>
    <d v="2000-12-01T00:00:00"/>
    <x v="13"/>
    <n v="11"/>
    <x v="19"/>
    <x v="0"/>
    <n v="0.5"/>
    <m/>
    <m/>
    <n v="200010067"/>
    <n v="113.5"/>
    <n v="363"/>
    <n v="476.5"/>
    <n v="22"/>
    <m/>
    <m/>
    <m/>
    <x v="7"/>
    <x v="4"/>
    <m/>
    <m/>
    <s v="SAM HOUSTON NATL FOREST"/>
    <s v="TRACT J-2-IX"/>
    <m/>
    <m/>
    <m/>
  </r>
  <r>
    <s v="TXNM105587"/>
    <x v="0"/>
    <x v="0"/>
    <d v="2000-10-18T00:00:00"/>
    <d v="2000-12-01T00:00:00"/>
    <x v="13"/>
    <n v="119"/>
    <x v="19"/>
    <x v="0"/>
    <n v="0.5"/>
    <m/>
    <m/>
    <n v="200010068"/>
    <n v="491.5"/>
    <n v="5712"/>
    <n v="6203.5"/>
    <n v="238"/>
    <m/>
    <m/>
    <m/>
    <x v="7"/>
    <x v="4"/>
    <m/>
    <m/>
    <s v="SAM HOUSTON NATL FOREST"/>
    <s v="TRACT J-2-XI"/>
    <m/>
    <m/>
    <m/>
  </r>
  <r>
    <s v="TXNM105588"/>
    <x v="0"/>
    <x v="0"/>
    <d v="2000-10-18T00:00:00"/>
    <d v="2000-12-01T00:00:00"/>
    <x v="13"/>
    <n v="59"/>
    <x v="19"/>
    <x v="0"/>
    <n v="0.5"/>
    <m/>
    <m/>
    <n v="200010069"/>
    <n v="281.5"/>
    <n v="4012"/>
    <n v="4293.5"/>
    <n v="118"/>
    <m/>
    <m/>
    <m/>
    <x v="7"/>
    <x v="4"/>
    <m/>
    <m/>
    <s v="SAM HOUSTON NATL FOREST"/>
    <s v="TRACT J-2-XII"/>
    <m/>
    <m/>
    <m/>
  </r>
  <r>
    <s v="TXNM105590"/>
    <x v="0"/>
    <x v="0"/>
    <d v="2000-10-18T00:00:00"/>
    <d v="2000-12-01T00:00:00"/>
    <x v="13"/>
    <n v="52"/>
    <x v="19"/>
    <x v="0"/>
    <n v="0.5"/>
    <m/>
    <m/>
    <n v="200010071"/>
    <n v="257"/>
    <n v="104"/>
    <n v="361"/>
    <n v="104"/>
    <m/>
    <m/>
    <m/>
    <x v="7"/>
    <x v="4"/>
    <m/>
    <m/>
    <s v="SAM HOUSTON NATL FOREST"/>
    <s v="TRACT J-8a"/>
    <m/>
    <m/>
    <m/>
  </r>
  <r>
    <s v="TXNM105591"/>
    <x v="0"/>
    <x v="0"/>
    <d v="2000-10-18T00:00:00"/>
    <d v="2000-12-01T00:00:00"/>
    <x v="13"/>
    <n v="183.5"/>
    <x v="19"/>
    <x v="0"/>
    <n v="0.5"/>
    <m/>
    <m/>
    <n v="200010072"/>
    <n v="719"/>
    <n v="5152"/>
    <n v="5871"/>
    <n v="368"/>
    <m/>
    <m/>
    <m/>
    <x v="7"/>
    <x v="4"/>
    <m/>
    <m/>
    <s v="SAM HOUSTON NATL FOREST"/>
    <s v="TRACT J-38a PARCEL #2"/>
    <s v="SEE EXHIBIT &quot;F&quot; &amp; MAP"/>
    <m/>
    <m/>
  </r>
  <r>
    <s v="TXNM105598"/>
    <x v="0"/>
    <x v="0"/>
    <d v="2000-10-18T00:00:00"/>
    <d v="2000-12-01T00:00:00"/>
    <x v="13"/>
    <n v="1395.31"/>
    <x v="20"/>
    <x v="0"/>
    <n v="0.5"/>
    <m/>
    <m/>
    <n v="200010079"/>
    <n v="4961"/>
    <n v="6980"/>
    <n v="11941"/>
    <m/>
    <m/>
    <m/>
    <m/>
    <x v="16"/>
    <x v="4"/>
    <m/>
    <m/>
    <s v="SABINE NATL FOREST"/>
    <s v="TRACT S-1b-I PARCEL #3"/>
    <s v="SEE EXHIBIT &quot;H&quot; &amp; MAP"/>
    <m/>
    <m/>
  </r>
  <r>
    <s v="TXNM105601"/>
    <x v="0"/>
    <x v="0"/>
    <d v="2000-10-18T00:00:00"/>
    <d v="2000-12-01T00:00:00"/>
    <x v="13"/>
    <n v="2209.64"/>
    <x v="21"/>
    <x v="0"/>
    <n v="0.5"/>
    <m/>
    <m/>
    <n v="200010082"/>
    <n v="7810"/>
    <n v="15470"/>
    <n v="23280"/>
    <n v="4420"/>
    <m/>
    <m/>
    <m/>
    <x v="7"/>
    <x v="4"/>
    <m/>
    <m/>
    <s v="SAM HOUSTON NATL FOREST"/>
    <s v="TRACT J-1-I PARCEL #1"/>
    <s v="SEE EXHIBIT &quot;J&quot; FOR M &amp; B"/>
    <m/>
    <m/>
  </r>
  <r>
    <s v="TXNM105602"/>
    <x v="0"/>
    <x v="0"/>
    <d v="2000-10-18T00:00:00"/>
    <d v="2000-12-01T00:00:00"/>
    <x v="13"/>
    <n v="34"/>
    <x v="21"/>
    <x v="0"/>
    <n v="0.5"/>
    <m/>
    <m/>
    <n v="200010083"/>
    <n v="194"/>
    <n v="782"/>
    <n v="976"/>
    <n v="68"/>
    <m/>
    <m/>
    <m/>
    <x v="7"/>
    <x v="4"/>
    <m/>
    <m/>
    <s v="SAM HOUSTON NATL FOREST"/>
    <s v="TRACT J-10b"/>
    <m/>
    <m/>
    <m/>
  </r>
  <r>
    <s v="TXNM105603"/>
    <x v="0"/>
    <x v="0"/>
    <d v="2000-10-18T00:00:00"/>
    <d v="2000-12-01T00:00:00"/>
    <x v="13"/>
    <n v="614"/>
    <x v="21"/>
    <x v="0"/>
    <n v="0.5"/>
    <m/>
    <m/>
    <n v="200010084"/>
    <n v="2224"/>
    <n v="1228"/>
    <n v="3452"/>
    <n v="1228"/>
    <m/>
    <m/>
    <m/>
    <x v="7"/>
    <x v="4"/>
    <m/>
    <m/>
    <s v="SAM HOUSTON NATL FOREST"/>
    <s v="TRACT J-69"/>
    <m/>
    <m/>
    <m/>
  </r>
  <r>
    <s v="TXNM105609"/>
    <x v="0"/>
    <x v="0"/>
    <d v="2000-10-18T00:00:00"/>
    <d v="2000-12-01T00:00:00"/>
    <x v="13"/>
    <n v="184.01"/>
    <x v="22"/>
    <x v="0"/>
    <n v="0.5"/>
    <m/>
    <m/>
    <n v="200010091"/>
    <n v="722.5"/>
    <n v="1480"/>
    <n v="2202.5"/>
    <n v="370"/>
    <m/>
    <m/>
    <m/>
    <x v="7"/>
    <x v="4"/>
    <m/>
    <m/>
    <s v="CORPS OF ENGINEERS - SOMMERVILLE LAKE"/>
    <m/>
    <s v="TRACTS 308,330"/>
    <m/>
    <m/>
  </r>
  <r>
    <s v="TXNM105610"/>
    <x v="0"/>
    <x v="0"/>
    <d v="2000-10-18T00:00:00"/>
    <m/>
    <x v="1"/>
    <m/>
    <x v="1"/>
    <x v="1"/>
    <n v="0.5"/>
    <m/>
    <m/>
    <m/>
    <n v="2955"/>
    <n v="-2880"/>
    <n v="75"/>
    <m/>
    <m/>
    <m/>
    <m/>
    <x v="17"/>
    <x v="1"/>
    <m/>
    <m/>
    <m/>
    <m/>
    <m/>
    <m/>
    <m/>
  </r>
  <r>
    <m/>
    <x v="1"/>
    <x v="1"/>
    <m/>
    <m/>
    <x v="1"/>
    <m/>
    <x v="1"/>
    <x v="1"/>
    <m/>
    <m/>
    <m/>
    <m/>
    <m/>
    <m/>
    <m/>
    <m/>
    <m/>
    <m/>
    <m/>
    <x v="1"/>
    <x v="1"/>
    <m/>
    <m/>
    <m/>
    <m/>
    <m/>
    <m/>
    <m/>
  </r>
  <r>
    <s v="LAES50956"/>
    <x v="0"/>
    <x v="0"/>
    <d v="2001-03-22T00:00:00"/>
    <d v="2001-04-01T00:00:00"/>
    <x v="14"/>
    <n v="6.43"/>
    <x v="23"/>
    <x v="3"/>
    <n v="0.5"/>
    <m/>
    <m/>
    <s v="ES-03/01 14"/>
    <n v="127.5"/>
    <n v="0"/>
    <n v="127.5"/>
    <n v="14"/>
    <m/>
    <m/>
    <m/>
    <x v="18"/>
    <x v="5"/>
    <m/>
    <m/>
    <m/>
    <s v="T16S,R1E, LA MERIDIAN"/>
    <s v="SEC 2,LOT 2;SEC 3,LOT 2;SEC10,LOT 2;SEC 11,LOT 1"/>
    <m/>
    <m/>
  </r>
  <r>
    <s v="MSES50958"/>
    <x v="0"/>
    <x v="0"/>
    <d v="2001-03-22T00:00:00"/>
    <d v="2001-04-01T00:00:00"/>
    <x v="14"/>
    <n v="40.799999999999997"/>
    <x v="24"/>
    <x v="4"/>
    <n v="0.5"/>
    <m/>
    <m/>
    <s v="ES-03/01 16"/>
    <n v="2391.5"/>
    <n v="0"/>
    <n v="2391.5"/>
    <n v="82"/>
    <m/>
    <m/>
    <m/>
    <x v="18"/>
    <x v="5"/>
    <m/>
    <m/>
    <m/>
    <s v="T8N,R14W, ST. STEPHENS MEDIDIAN"/>
    <s v="SEC 4 NENE"/>
    <m/>
    <m/>
  </r>
  <r>
    <s v="MSES50960"/>
    <x v="0"/>
    <x v="0"/>
    <d v="2001-03-22T00:00:00"/>
    <d v="2001-04-01T00:00:00"/>
    <x v="14"/>
    <n v="80"/>
    <x v="11"/>
    <x v="4"/>
    <n v="0.5"/>
    <m/>
    <m/>
    <s v="ES-03/01 18"/>
    <n v="14195"/>
    <n v="0"/>
    <n v="14195"/>
    <n v="160"/>
    <m/>
    <m/>
    <m/>
    <x v="18"/>
    <x v="5"/>
    <m/>
    <m/>
    <m/>
    <s v="T3N,R13W, ST. STEPHENS MERIDIAN"/>
    <s v="SEC 15 SWNE NWSW"/>
    <m/>
    <m/>
  </r>
  <r>
    <s v="MSES50962"/>
    <x v="0"/>
    <x v="0"/>
    <d v="2001-03-22T00:00:00"/>
    <d v="2001-04-01T00:00:00"/>
    <x v="14"/>
    <n v="106.24"/>
    <x v="15"/>
    <x v="4"/>
    <n v="0.5"/>
    <m/>
    <m/>
    <s v="ES-03/01 20"/>
    <n v="6655.5"/>
    <n v="0"/>
    <n v="6655.5"/>
    <n v="214"/>
    <m/>
    <m/>
    <m/>
    <x v="18"/>
    <x v="5"/>
    <m/>
    <m/>
    <m/>
    <s v="T5N,R1W, WASHINGTON MERIDIAN"/>
    <s v="SEC 14, TRACT H-20b"/>
    <m/>
    <m/>
  </r>
  <r>
    <s v="MSES50965"/>
    <x v="0"/>
    <x v="0"/>
    <d v="2001-03-22T00:00:00"/>
    <d v="2001-04-01T00:00:00"/>
    <x v="14"/>
    <n v="398.47"/>
    <x v="25"/>
    <x v="4"/>
    <n v="0.5"/>
    <m/>
    <m/>
    <s v="ES-03/01 23"/>
    <n v="36583.5"/>
    <n v="0"/>
    <n v="36583.5"/>
    <n v="798"/>
    <m/>
    <m/>
    <m/>
    <x v="19"/>
    <x v="5"/>
    <m/>
    <m/>
    <m/>
    <s v="T1S,R14W, ST. STEPHENS MERIDIAN"/>
    <s v="SEC 13, W2 LESS.86A - SEE LSE FOR M&amp;B"/>
    <m/>
    <m/>
  </r>
  <r>
    <s v="ARES50943"/>
    <x v="0"/>
    <x v="0"/>
    <d v="2001-03-23T00:00:00"/>
    <d v="2001-04-01T00:00:00"/>
    <x v="14"/>
    <n v="2167.4899999999998"/>
    <x v="26"/>
    <x v="2"/>
    <n v="0.5"/>
    <m/>
    <m/>
    <s v="ES-03/01 01"/>
    <n v="3327"/>
    <m/>
    <n v="3327"/>
    <n v="4336"/>
    <m/>
    <m/>
    <m/>
    <x v="18"/>
    <x v="5"/>
    <m/>
    <m/>
    <s v="5TH PRINCIPAL MERIDIAN"/>
    <s v="T3N,R25W"/>
    <s v="ALL OF SEC 6; PORTIONS OF SEC 1,3,4,5,7,8,9,18"/>
    <m/>
    <m/>
  </r>
  <r>
    <s v="ARES50944"/>
    <x v="0"/>
    <x v="0"/>
    <d v="2001-03-23T00:00:00"/>
    <d v="2001-04-01T00:00:00"/>
    <x v="14"/>
    <n v="2219.61"/>
    <x v="26"/>
    <x v="2"/>
    <n v="0.5"/>
    <m/>
    <m/>
    <s v="ES-03/01 02"/>
    <n v="3405"/>
    <m/>
    <n v="3405"/>
    <n v="4440"/>
    <m/>
    <m/>
    <m/>
    <x v="18"/>
    <x v="5"/>
    <m/>
    <m/>
    <s v="5TH PRINCIPAL MERIDIAN"/>
    <s v="T3W,R25W"/>
    <s v="ALL OF SEC 2; PORTIONS OF SEC 1,3,4,5,7,8"/>
    <m/>
    <m/>
  </r>
  <r>
    <s v="ARES50945"/>
    <x v="0"/>
    <x v="0"/>
    <d v="2001-03-23T00:00:00"/>
    <d v="2001-04-01T00:00:00"/>
    <x v="14"/>
    <n v="1927.58"/>
    <x v="26"/>
    <x v="2"/>
    <n v="0.5"/>
    <m/>
    <m/>
    <s v="ES-03/01 03"/>
    <n v="2967"/>
    <m/>
    <n v="2967"/>
    <n v="3856"/>
    <m/>
    <m/>
    <m/>
    <x v="18"/>
    <x v="5"/>
    <m/>
    <m/>
    <s v="5TH PRINCIPAL MERIDIAN"/>
    <s v="T3W,R25W"/>
    <s v="PORTIONS OF SEC 9,10,11,12,17,18,35,36"/>
    <m/>
    <m/>
  </r>
  <r>
    <s v="ARES50946"/>
    <x v="0"/>
    <x v="0"/>
    <d v="2001-03-23T00:00:00"/>
    <d v="2001-04-01T00:00:00"/>
    <x v="14"/>
    <n v="1986.9"/>
    <x v="26"/>
    <x v="2"/>
    <n v="0.5"/>
    <m/>
    <m/>
    <s v="ES-03/01 04"/>
    <n v="3055.5"/>
    <m/>
    <n v="3055.5"/>
    <n v="3974"/>
    <m/>
    <m/>
    <m/>
    <x v="18"/>
    <x v="5"/>
    <m/>
    <m/>
    <s v="5TH PRINCIPAL MERIDIAN"/>
    <s v="T4W,R25W"/>
    <s v="PORTIONS OF SEC 1,2,3"/>
    <m/>
    <m/>
  </r>
  <r>
    <s v="ARES50947"/>
    <x v="0"/>
    <x v="0"/>
    <d v="2001-03-23T00:00:00"/>
    <d v="2001-04-01T00:00:00"/>
    <x v="14"/>
    <n v="1556.57"/>
    <x v="26"/>
    <x v="2"/>
    <n v="0.5"/>
    <m/>
    <m/>
    <s v="ES-03/01 05"/>
    <n v="2410.5"/>
    <m/>
    <n v="2410.5"/>
    <n v="3114"/>
    <m/>
    <m/>
    <m/>
    <x v="18"/>
    <x v="5"/>
    <m/>
    <m/>
    <s v="5TH PRINCIPAL MERIDIAN"/>
    <s v="T4W,R25W"/>
    <s v="PORTIONS OF SEC 4,8,9"/>
    <m/>
    <m/>
  </r>
  <r>
    <s v="ARES50949"/>
    <x v="0"/>
    <x v="0"/>
    <d v="2001-03-23T00:00:00"/>
    <m/>
    <x v="1"/>
    <m/>
    <x v="1"/>
    <x v="1"/>
    <n v="0.5"/>
    <m/>
    <m/>
    <m/>
    <n v="2626.5"/>
    <n v="-2551.5"/>
    <n v="75"/>
    <m/>
    <m/>
    <m/>
    <m/>
    <x v="20"/>
    <x v="1"/>
    <m/>
    <m/>
    <m/>
    <m/>
    <m/>
    <m/>
    <m/>
  </r>
  <r>
    <s v="ARES50951"/>
    <x v="0"/>
    <x v="0"/>
    <d v="2001-03-23T00:00:00"/>
    <d v="2001-04-01T00:00:00"/>
    <x v="14"/>
    <n v="1480"/>
    <x v="27"/>
    <x v="2"/>
    <n v="0.5"/>
    <m/>
    <m/>
    <s v="ES-03/01 09"/>
    <n v="2295"/>
    <m/>
    <n v="2295"/>
    <n v="2960"/>
    <m/>
    <m/>
    <m/>
    <x v="18"/>
    <x v="5"/>
    <m/>
    <m/>
    <s v="5TH PRINCIPAL MERIDIAN"/>
    <s v="T2N,R32W"/>
    <s v="PORTIONS OF SEC 22,23,24,25,26"/>
    <m/>
    <m/>
  </r>
  <r>
    <s v="ARES50952"/>
    <x v="0"/>
    <x v="0"/>
    <d v="2001-03-23T00:00:00"/>
    <d v="2001-04-01T00:00:00"/>
    <x v="14"/>
    <n v="1596.18"/>
    <x v="27"/>
    <x v="2"/>
    <n v="0.5"/>
    <m/>
    <m/>
    <s v="ES-03/01 10"/>
    <n v="2470.5"/>
    <m/>
    <n v="2470.5"/>
    <n v="3194"/>
    <m/>
    <m/>
    <m/>
    <x v="18"/>
    <x v="5"/>
    <m/>
    <m/>
    <s v="5TH PRINCIPAL MERIDIAN"/>
    <s v="T2N,R32W"/>
    <s v="PORTIONS OF SEC 27,28,29,30,33,34,35,36"/>
    <m/>
    <m/>
  </r>
  <r>
    <s v="ARES50953"/>
    <x v="0"/>
    <x v="0"/>
    <d v="2001-03-23T00:00:00"/>
    <d v="2001-04-01T00:00:00"/>
    <x v="14"/>
    <n v="1720"/>
    <x v="27"/>
    <x v="2"/>
    <n v="0.5"/>
    <m/>
    <m/>
    <s v="ES-03/01 11"/>
    <n v="2655"/>
    <m/>
    <n v="2655"/>
    <n v="3440"/>
    <m/>
    <m/>
    <m/>
    <x v="18"/>
    <x v="5"/>
    <m/>
    <m/>
    <s v="5TH PRINCIPAL MERIDIAN"/>
    <s v="T2N,R32W"/>
    <s v="PORTIONS OF SEC 22,23,24,25,26,27"/>
    <m/>
    <m/>
  </r>
  <r>
    <s v="ARES50954"/>
    <x v="0"/>
    <x v="0"/>
    <d v="2001-03-23T00:00:00"/>
    <m/>
    <x v="1"/>
    <m/>
    <x v="1"/>
    <x v="1"/>
    <n v="0.5"/>
    <m/>
    <m/>
    <m/>
    <n v="3028.5"/>
    <n v="-2953.5"/>
    <n v="75"/>
    <m/>
    <m/>
    <m/>
    <m/>
    <x v="21"/>
    <x v="1"/>
    <m/>
    <m/>
    <m/>
    <m/>
    <m/>
    <m/>
    <m/>
  </r>
  <r>
    <s v="ARES50955"/>
    <x v="0"/>
    <x v="0"/>
    <d v="2001-03-23T00:00:00"/>
    <d v="2001-04-01T00:00:00"/>
    <x v="14"/>
    <n v="100"/>
    <x v="27"/>
    <x v="2"/>
    <n v="0.5"/>
    <m/>
    <m/>
    <s v="ES-03/01 13"/>
    <n v="225"/>
    <m/>
    <n v="225"/>
    <n v="200"/>
    <m/>
    <m/>
    <m/>
    <x v="18"/>
    <x v="5"/>
    <m/>
    <m/>
    <s v="5TH PRINCIPAL MERIDIAN"/>
    <s v="T2N,R32W"/>
    <s v="PORTIONS OF SEC 27,35"/>
    <m/>
    <m/>
  </r>
  <r>
    <s v="LAES51089"/>
    <x v="0"/>
    <x v="0"/>
    <d v="2001-06-28T00:00:00"/>
    <d v="2001-08-01T00:00:00"/>
    <x v="15"/>
    <n v="40"/>
    <x v="28"/>
    <x v="3"/>
    <n v="0.5"/>
    <m/>
    <m/>
    <s v="ES-06/01 81"/>
    <n v="16135"/>
    <n v="0"/>
    <n v="16135"/>
    <n v="80"/>
    <m/>
    <m/>
    <m/>
    <x v="18"/>
    <x v="5"/>
    <m/>
    <m/>
    <m/>
    <s v="T7S,R9W, LOUISIANA MERIDIAN"/>
    <s v="SEC 33, SENW"/>
    <m/>
    <m/>
  </r>
  <r>
    <m/>
    <x v="1"/>
    <x v="1"/>
    <m/>
    <m/>
    <x v="1"/>
    <m/>
    <x v="1"/>
    <x v="1"/>
    <m/>
    <m/>
    <m/>
    <m/>
    <n v="-450"/>
    <m/>
    <n v="-450"/>
    <m/>
    <m/>
    <m/>
    <m/>
    <x v="22"/>
    <x v="1"/>
    <m/>
    <m/>
    <m/>
    <m/>
    <m/>
    <m/>
    <m/>
  </r>
  <r>
    <m/>
    <x v="1"/>
    <x v="1"/>
    <m/>
    <m/>
    <x v="1"/>
    <m/>
    <x v="1"/>
    <x v="1"/>
    <m/>
    <m/>
    <m/>
    <m/>
    <m/>
    <n v="-877.51"/>
    <n v="-877.51"/>
    <m/>
    <m/>
    <m/>
    <m/>
    <x v="23"/>
    <x v="1"/>
    <m/>
    <m/>
    <m/>
    <m/>
    <m/>
    <m/>
    <m/>
  </r>
  <r>
    <m/>
    <x v="1"/>
    <x v="1"/>
    <m/>
    <m/>
    <x v="1"/>
    <m/>
    <x v="1"/>
    <x v="1"/>
    <m/>
    <m/>
    <m/>
    <m/>
    <m/>
    <m/>
    <m/>
    <m/>
    <m/>
    <m/>
    <m/>
    <x v="1"/>
    <x v="1"/>
    <m/>
    <m/>
    <m/>
    <m/>
    <m/>
    <m/>
    <m/>
  </r>
  <r>
    <m/>
    <x v="1"/>
    <x v="1"/>
    <m/>
    <m/>
    <x v="1"/>
    <m/>
    <x v="1"/>
    <x v="1"/>
    <m/>
    <m/>
    <m/>
    <s v="BALANCE 12-31-01"/>
    <n v="256663"/>
    <n v="282274.5"/>
    <n v="538937.5"/>
    <m/>
    <m/>
    <m/>
    <m/>
    <x v="1"/>
    <x v="1"/>
    <m/>
    <m/>
    <m/>
    <m/>
    <m/>
    <m/>
    <m/>
  </r>
  <r>
    <m/>
    <x v="1"/>
    <x v="1"/>
    <m/>
    <m/>
    <x v="1"/>
    <m/>
    <x v="1"/>
    <x v="1"/>
    <m/>
    <m/>
    <m/>
    <m/>
    <m/>
    <m/>
    <m/>
    <m/>
    <m/>
    <m/>
    <m/>
    <x v="1"/>
    <x v="1"/>
    <m/>
    <m/>
    <m/>
    <m/>
    <m/>
    <m/>
    <m/>
  </r>
  <r>
    <m/>
    <x v="1"/>
    <x v="1"/>
    <m/>
    <m/>
    <x v="1"/>
    <m/>
    <x v="1"/>
    <x v="1"/>
    <m/>
    <m/>
    <m/>
    <m/>
    <m/>
    <m/>
    <m/>
    <m/>
    <m/>
    <m/>
    <m/>
    <x v="1"/>
    <x v="1"/>
    <m/>
    <m/>
    <m/>
    <m/>
    <m/>
    <m/>
    <m/>
  </r>
  <r>
    <s v="ALES51293"/>
    <x v="0"/>
    <x v="0"/>
    <d v="2002-03-28T00:00:00"/>
    <d v="2002-05-01T00:00:00"/>
    <x v="16"/>
    <n v="80.25"/>
    <x v="29"/>
    <x v="6"/>
    <n v="0.5"/>
    <m/>
    <m/>
    <s v="ES-03/02   8"/>
    <n v="358.5"/>
    <n v="648"/>
    <n v="1006.5"/>
    <n v="162"/>
    <m/>
    <m/>
    <m/>
    <x v="24"/>
    <x v="6"/>
    <m/>
    <m/>
    <s v="SEE STIPULATIONS &amp; LSE NOTICE"/>
    <s v="T16S,R16W HUNTSVILLE MERIDIAN"/>
    <s v="SEC 5, N2NE"/>
    <m/>
    <m/>
  </r>
  <r>
    <s v="ALES51294"/>
    <x v="0"/>
    <x v="0"/>
    <d v="2002-03-28T00:00:00"/>
    <d v="2002-05-01T00:00:00"/>
    <x v="16"/>
    <n v="80.7"/>
    <x v="29"/>
    <x v="6"/>
    <n v="0.5"/>
    <m/>
    <m/>
    <s v="ES-03/02   9"/>
    <n v="358.5"/>
    <n v="2268"/>
    <n v="2626.5"/>
    <n v="162"/>
    <m/>
    <m/>
    <m/>
    <x v="24"/>
    <x v="6"/>
    <m/>
    <m/>
    <s v="SEE STIPULATIONS &amp; LSE NOTICE"/>
    <s v="T16S,R16W HUNTSVILLE MERIDIAN"/>
    <s v="SEC 11, NESW; SEC 20, NWNE"/>
    <m/>
    <m/>
  </r>
  <r>
    <s v="LAES51350"/>
    <x v="0"/>
    <x v="0"/>
    <d v="2002-03-28T00:00:00"/>
    <d v="2002-05-01T00:00:00"/>
    <x v="16"/>
    <m/>
    <x v="30"/>
    <x v="3"/>
    <n v="0.5"/>
    <m/>
    <m/>
    <s v="ES-03/02  65"/>
    <n v="355"/>
    <n v="-355"/>
    <n v="0"/>
    <m/>
    <m/>
    <m/>
    <m/>
    <x v="1"/>
    <x v="6"/>
    <m/>
    <m/>
    <m/>
    <m/>
    <m/>
    <m/>
    <m/>
  </r>
  <r>
    <s v="LAES51351"/>
    <x v="0"/>
    <x v="0"/>
    <d v="2002-03-28T00:00:00"/>
    <d v="2002-05-01T00:00:00"/>
    <x v="16"/>
    <n v="273.20999999999998"/>
    <x v="31"/>
    <x v="3"/>
    <n v="0.5"/>
    <m/>
    <m/>
    <s v="ES-03/02  66"/>
    <n v="1034"/>
    <n v="15892"/>
    <n v="16926"/>
    <n v="548"/>
    <m/>
    <m/>
    <m/>
    <x v="25"/>
    <x v="6"/>
    <m/>
    <m/>
    <s v="WALLACE LAKE"/>
    <s v="SEE NOTICE"/>
    <s v="SIX (6) TRACTS, SEE NOTICE"/>
    <m/>
    <m/>
  </r>
  <r>
    <s v="LAES51356"/>
    <x v="0"/>
    <x v="0"/>
    <d v="2002-03-28T00:00:00"/>
    <d v="2002-05-01T00:00:00"/>
    <x v="16"/>
    <m/>
    <x v="32"/>
    <x v="3"/>
    <n v="0.5"/>
    <m/>
    <m/>
    <s v="ES-03/02  71"/>
    <n v="358.5"/>
    <n v="0"/>
    <n v="358.5"/>
    <m/>
    <m/>
    <m/>
    <m/>
    <x v="26"/>
    <x v="6"/>
    <m/>
    <m/>
    <m/>
    <s v="T1N, R3W LOUISIANA MERIDIAN"/>
    <s v="SEC 36, E2SE (TRACT E-10)"/>
    <m/>
    <m/>
  </r>
  <r>
    <s v="LAES51357"/>
    <x v="0"/>
    <x v="0"/>
    <d v="2002-03-28T00:00:00"/>
    <d v="2002-05-01T00:00:00"/>
    <x v="16"/>
    <m/>
    <x v="32"/>
    <x v="3"/>
    <n v="0.5"/>
    <m/>
    <m/>
    <s v="ES-03/02  72"/>
    <n v="365.5"/>
    <n v="0"/>
    <n v="365.5"/>
    <m/>
    <m/>
    <m/>
    <m/>
    <x v="26"/>
    <x v="6"/>
    <m/>
    <m/>
    <m/>
    <s v="T1N, R3W LOUISIANA MERIDIAN"/>
    <s v="SEC 1, W2NW"/>
    <m/>
    <m/>
  </r>
  <r>
    <s v="MSES51358"/>
    <x v="0"/>
    <x v="0"/>
    <d v="2002-03-28T00:00:00"/>
    <d v="2002-05-01T00:00:00"/>
    <x v="16"/>
    <n v="483.34"/>
    <x v="33"/>
    <x v="4"/>
    <n v="0.5"/>
    <m/>
    <m/>
    <s v="ES-03/02  73"/>
    <n v="1769"/>
    <n v="1452"/>
    <n v="3221"/>
    <n v="968"/>
    <m/>
    <m/>
    <m/>
    <x v="24"/>
    <x v="6"/>
    <m/>
    <m/>
    <m/>
    <s v="T1N, R4E, WASHINGTON MERIDIAN"/>
    <s v="SEC 26, E2NW; SEC 39 ALL"/>
    <m/>
    <m/>
  </r>
  <r>
    <s v="MSES51360"/>
    <x v="0"/>
    <x v="0"/>
    <d v="2002-03-28T00:00:00"/>
    <d v="2002-05-01T00:00:00"/>
    <x v="16"/>
    <n v="405.81"/>
    <x v="13"/>
    <x v="4"/>
    <n v="0.5"/>
    <m/>
    <m/>
    <s v="ES-03/02  75"/>
    <n v="1496"/>
    <n v="5684"/>
    <n v="7180"/>
    <n v="812"/>
    <m/>
    <m/>
    <m/>
    <x v="24"/>
    <x v="6"/>
    <m/>
    <m/>
    <s v="DE SOTO NATIONAL FOREST"/>
    <s v="T6N, R7W ST STEPHENS MERIDIAN"/>
    <s v="SEC 1, W2NW, NWSW; SEC 2, W2NE, W2"/>
    <m/>
    <m/>
  </r>
  <r>
    <s v="MSES51361"/>
    <x v="0"/>
    <x v="0"/>
    <d v="2002-03-28T00:00:00"/>
    <d v="2002-05-01T00:00:00"/>
    <x v="16"/>
    <n v="586.22"/>
    <x v="13"/>
    <x v="4"/>
    <n v="0.5"/>
    <m/>
    <m/>
    <s v="ES-03/02  76"/>
    <n v="2129.5"/>
    <n v="7044"/>
    <n v="9173.5"/>
    <n v="1174"/>
    <m/>
    <m/>
    <m/>
    <x v="24"/>
    <x v="6"/>
    <m/>
    <m/>
    <s v="DE SOTO NATIONAL FOREST"/>
    <s v="T6N, R7W ST STEPHENS MERIDIAN"/>
    <s v="SEC 6, NE, W2NW, S2; SEC 8 NWNE"/>
    <m/>
    <m/>
  </r>
  <r>
    <s v="MSES51362"/>
    <x v="0"/>
    <x v="0"/>
    <d v="2002-03-28T00:00:00"/>
    <d v="2002-05-01T00:00:00"/>
    <x v="16"/>
    <n v="298.29000000000002"/>
    <x v="13"/>
    <x v="4"/>
    <n v="0.5"/>
    <m/>
    <m/>
    <s v="ES-03/02  77"/>
    <n v="1121.5"/>
    <n v="3588"/>
    <n v="4709.5"/>
    <n v="598"/>
    <m/>
    <m/>
    <m/>
    <x v="24"/>
    <x v="6"/>
    <m/>
    <m/>
    <s v="DE SOTO NATIONAL FOREST"/>
    <s v="T6N, R7W ST STEPHENS MERIDIAN"/>
    <s v="SEC 13, NWNW, S2NW, NWSW, S2SW"/>
    <m/>
    <m/>
  </r>
  <r>
    <s v="MSES51363"/>
    <x v="0"/>
    <x v="0"/>
    <d v="2002-03-28T00:00:00"/>
    <d v="2002-05-01T00:00:00"/>
    <x v="16"/>
    <n v="280.05"/>
    <x v="13"/>
    <x v="4"/>
    <n v="0.5"/>
    <m/>
    <m/>
    <s v="ES-03/02  78"/>
    <n v="1058.5"/>
    <n v="30348"/>
    <n v="31406.5"/>
    <n v="562"/>
    <m/>
    <m/>
    <m/>
    <x v="24"/>
    <x v="6"/>
    <m/>
    <m/>
    <s v="DE SOTO NATIONAL FOREST"/>
    <s v="T6N, R7W ST STEPHENS MERIDIAN"/>
    <s v="SEC 14 SENE, NENW, S2NW, N2SW, SESW"/>
    <m/>
    <m/>
  </r>
  <r>
    <s v="MSES51364"/>
    <x v="0"/>
    <x v="0"/>
    <d v="2002-03-28T00:00:00"/>
    <m/>
    <x v="1"/>
    <m/>
    <x v="13"/>
    <x v="4"/>
    <m/>
    <m/>
    <m/>
    <s v="ES-03/02  79"/>
    <n v="2675.5"/>
    <n v="-27194.5"/>
    <n v="27194.5"/>
    <m/>
    <m/>
    <m/>
    <m/>
    <x v="27"/>
    <x v="1"/>
    <m/>
    <m/>
    <m/>
    <m/>
    <m/>
    <m/>
    <m/>
  </r>
  <r>
    <s v="MSES51365"/>
    <x v="0"/>
    <x v="0"/>
    <d v="2002-03-28T00:00:00"/>
    <d v="2002-05-01T00:00:00"/>
    <x v="16"/>
    <n v="80.099999999999994"/>
    <x v="13"/>
    <x v="4"/>
    <n v="0.5"/>
    <m/>
    <m/>
    <s v="ES-03/02  80"/>
    <n v="358.5"/>
    <n v="2268"/>
    <n v="2626.5"/>
    <n v="162"/>
    <m/>
    <m/>
    <m/>
    <x v="24"/>
    <x v="6"/>
    <m/>
    <m/>
    <s v="DE SOTO NATIONAL FOREST"/>
    <s v="T6N, R7W ST STEPHENS MERIDIAN"/>
    <s v="SEC 33, W2SW"/>
    <m/>
    <m/>
  </r>
  <r>
    <s v="MSES51366"/>
    <x v="0"/>
    <x v="0"/>
    <d v="2002-03-28T00:00:00"/>
    <d v="2002-05-01T00:00:00"/>
    <x v="16"/>
    <n v="79.88"/>
    <x v="13"/>
    <x v="4"/>
    <n v="0.5"/>
    <m/>
    <m/>
    <s v="ES-03/02  81"/>
    <n v="355"/>
    <n v="9840"/>
    <n v="10195"/>
    <n v="160"/>
    <m/>
    <m/>
    <m/>
    <x v="24"/>
    <x v="6"/>
    <m/>
    <m/>
    <s v="DE SOTO NATIONAL FOREST"/>
    <s v="T6N, R8W ST STEPHENS MERIDIAN"/>
    <s v="SEC 4, W2SE"/>
    <m/>
    <m/>
  </r>
  <r>
    <s v="MSES51367"/>
    <x v="0"/>
    <x v="0"/>
    <d v="2002-03-28T00:00:00"/>
    <d v="2002-05-01T00:00:00"/>
    <x v="16"/>
    <n v="400"/>
    <x v="13"/>
    <x v="4"/>
    <n v="0.5"/>
    <m/>
    <m/>
    <s v="ES-03/02  82"/>
    <n v="1475"/>
    <n v="13200"/>
    <n v="14675"/>
    <n v="800"/>
    <m/>
    <m/>
    <m/>
    <x v="24"/>
    <x v="6"/>
    <m/>
    <m/>
    <s v="DE SOTO NATIONAL FOREST"/>
    <s v="T6N, R8W ST STEPHENS MERIDIAN"/>
    <s v="SEC 9, NE, SENW, SW, NWSE"/>
    <m/>
    <m/>
  </r>
  <r>
    <s v="MSES51368"/>
    <x v="0"/>
    <x v="0"/>
    <d v="2002-03-28T00:00:00"/>
    <d v="2002-05-01T00:00:00"/>
    <x v="16"/>
    <n v="640.5"/>
    <x v="13"/>
    <x v="4"/>
    <n v="0.5"/>
    <m/>
    <m/>
    <s v="ES-03/02  83"/>
    <n v="2318.5"/>
    <n v="16025"/>
    <n v="18343.5"/>
    <n v="1282"/>
    <m/>
    <m/>
    <m/>
    <x v="24"/>
    <x v="6"/>
    <m/>
    <m/>
    <s v="DE SOTO NATIONAL FOREST"/>
    <s v="T6N, R8W ST STEPHENS MERIDIAN"/>
    <s v="SEC 14, ALL"/>
    <m/>
    <m/>
  </r>
  <r>
    <s v="MSES51370"/>
    <x v="0"/>
    <x v="0"/>
    <d v="2002-03-28T00:00:00"/>
    <d v="2002-05-01T00:00:00"/>
    <x v="16"/>
    <n v="79.75"/>
    <x v="13"/>
    <x v="4"/>
    <n v="0.5"/>
    <m/>
    <m/>
    <s v="ES-03/02  85"/>
    <n v="355"/>
    <n v="1440"/>
    <n v="1795"/>
    <n v="160"/>
    <m/>
    <m/>
    <m/>
    <x v="24"/>
    <x v="6"/>
    <m/>
    <m/>
    <s v="DE SOTO NATIONAL FOREST"/>
    <s v="T6N, R8W ST STEPHENS MERIDIAN"/>
    <s v="SEC 17, E2SE"/>
    <m/>
    <m/>
  </r>
  <r>
    <s v="MSES51371"/>
    <x v="0"/>
    <x v="0"/>
    <d v="2002-03-28T00:00:00"/>
    <d v="2002-05-01T00:00:00"/>
    <x v="16"/>
    <n v="519.6"/>
    <x v="13"/>
    <x v="4"/>
    <n v="0.5"/>
    <m/>
    <m/>
    <s v="ES-03/02  86"/>
    <n v="1895"/>
    <n v="7280"/>
    <n v="9175"/>
    <n v="1040"/>
    <m/>
    <m/>
    <m/>
    <x v="24"/>
    <x v="6"/>
    <m/>
    <m/>
    <s v="DE SOTO NATIONAL FOREST"/>
    <s v="T6N, R8W ST STEPHENS MERIDIAN"/>
    <s v="SEC 21, N2, N2S2, SWSW"/>
    <m/>
    <m/>
  </r>
  <r>
    <s v="MSES51391"/>
    <x v="0"/>
    <x v="0"/>
    <d v="2002-03-28T00:00:00"/>
    <d v="2002-05-01T00:00:00"/>
    <x v="16"/>
    <n v="81"/>
    <x v="13"/>
    <x v="4"/>
    <n v="0.5"/>
    <m/>
    <m/>
    <s v="ES-03/02 106"/>
    <n v="358.5"/>
    <n v="405"/>
    <n v="763.5"/>
    <n v="162"/>
    <m/>
    <m/>
    <m/>
    <x v="24"/>
    <x v="6"/>
    <m/>
    <m/>
    <s v="DE SOTO NATIONAL FOREST"/>
    <s v="T7N, R9W ST STEPHENS MERIDIAN"/>
    <s v="SEC 3, SWNW, SWSW"/>
    <m/>
    <m/>
  </r>
  <r>
    <s v="MSES51434"/>
    <x v="0"/>
    <x v="0"/>
    <d v="2002-03-28T00:00:00"/>
    <d v="2002-05-01T00:00:00"/>
    <x v="16"/>
    <n v="656.68"/>
    <x v="34"/>
    <x v="4"/>
    <n v="0.5"/>
    <m/>
    <m/>
    <s v="ES-03/02 136"/>
    <n v="2374.5"/>
    <n v="1971"/>
    <n v="4345.5"/>
    <n v="1314"/>
    <m/>
    <m/>
    <m/>
    <x v="24"/>
    <x v="6"/>
    <m/>
    <m/>
    <s v="DE SOTO NATIONAL FOREST"/>
    <s v="T5S, R10W ST STEPHENS MERIDIAN"/>
    <s v="SEC 34 ALL"/>
    <m/>
    <m/>
  </r>
  <r>
    <s v="MSES51461"/>
    <x v="0"/>
    <x v="0"/>
    <d v="2002-03-28T00:00:00"/>
    <d v="2002-05-01T00:00:00"/>
    <x v="16"/>
    <n v="440.83"/>
    <x v="35"/>
    <x v="4"/>
    <n v="0.5"/>
    <m/>
    <m/>
    <s v="ES-03/02 163"/>
    <n v="1618.5"/>
    <n v="882"/>
    <n v="2500.5"/>
    <n v="882"/>
    <m/>
    <m/>
    <m/>
    <x v="24"/>
    <x v="6"/>
    <m/>
    <m/>
    <s v="DE SOTO NATIONAL FOREST"/>
    <s v="T6S, R11W ST STEPHENS MERIDIAN"/>
    <s v="SEC 5, E2, N2NW, SENW"/>
    <m/>
    <m/>
  </r>
  <r>
    <s v="MSES51462"/>
    <x v="0"/>
    <x v="0"/>
    <d v="2002-03-28T00:00:00"/>
    <d v="2002-05-01T00:00:00"/>
    <x v="16"/>
    <n v="314.76"/>
    <x v="35"/>
    <x v="4"/>
    <n v="0.5"/>
    <m/>
    <m/>
    <s v="ES-03/02 164"/>
    <n v="1177.5"/>
    <n v="1260"/>
    <n v="2437.5"/>
    <n v="630"/>
    <m/>
    <m/>
    <m/>
    <x v="24"/>
    <x v="6"/>
    <m/>
    <m/>
    <s v="DE SOTO NATIONAL FOREST"/>
    <s v="T6S, R11W ST STEPHENS MERIDIAN"/>
    <s v="SEC 8, E2, NENE, NESW, S2SW, LESS 6.64 ACRES SE"/>
    <m/>
    <m/>
  </r>
  <r>
    <m/>
    <x v="1"/>
    <x v="1"/>
    <m/>
    <m/>
    <x v="1"/>
    <m/>
    <x v="1"/>
    <x v="1"/>
    <m/>
    <m/>
    <m/>
    <m/>
    <m/>
    <m/>
    <m/>
    <m/>
    <m/>
    <m/>
    <m/>
    <x v="1"/>
    <x v="1"/>
    <m/>
    <m/>
    <m/>
    <m/>
    <m/>
    <m/>
    <m/>
  </r>
  <r>
    <s v="MSES51571"/>
    <x v="0"/>
    <x v="0"/>
    <d v="2002-07-11T00:00:00"/>
    <d v="2002-08-01T00:00:00"/>
    <x v="17"/>
    <n v="192.81"/>
    <x v="13"/>
    <x v="4"/>
    <n v="0.5"/>
    <m/>
    <m/>
    <s v="ES-07/02 056"/>
    <n v="364.5"/>
    <n v="0"/>
    <n v="364.5"/>
    <n v="386"/>
    <m/>
    <m/>
    <m/>
    <x v="24"/>
    <x v="6"/>
    <m/>
    <m/>
    <s v="SEE LSE NOTICE &amp; STIPULATIONS"/>
    <s v="T7N, R8W ST STEPHENS MERIDIAN"/>
    <s v="SEC 6, SESW, SE; SEC 7, N2, E2SW"/>
    <m/>
    <m/>
  </r>
  <r>
    <s v="MSES51572"/>
    <x v="0"/>
    <x v="0"/>
    <d v="2002-07-11T00:00:00"/>
    <d v="2002-08-01T00:00:00"/>
    <x v="17"/>
    <n v="440.45"/>
    <x v="13"/>
    <x v="4"/>
    <n v="0.5"/>
    <m/>
    <m/>
    <s v="ES-07/02 057"/>
    <n v="736.5"/>
    <n v="0"/>
    <n v="736.5"/>
    <n v="882"/>
    <m/>
    <m/>
    <m/>
    <x v="24"/>
    <x v="6"/>
    <m/>
    <m/>
    <s v="SEE LSE NOTICE &amp; STIPULATIONS"/>
    <s v="T7N, R8W ST STEPHENS MERIDIAN"/>
    <s v="SEC 12, S2NE, SE; SEC 13, NENW, SW"/>
    <m/>
    <m/>
  </r>
  <r>
    <s v="MSES51573"/>
    <x v="0"/>
    <x v="0"/>
    <d v="2002-07-11T00:00:00"/>
    <d v="2002-08-01T00:00:00"/>
    <x v="17"/>
    <n v="800"/>
    <x v="13"/>
    <x v="4"/>
    <n v="0.5"/>
    <m/>
    <m/>
    <s v="ES-07/02 058"/>
    <n v="1275"/>
    <n v="0"/>
    <n v="1275"/>
    <n v="1600"/>
    <m/>
    <m/>
    <m/>
    <x v="24"/>
    <x v="6"/>
    <m/>
    <m/>
    <s v="SEE LSE NOTICE &amp; STIPULATIONS"/>
    <s v="T7N, R8W ST STEPHENS MERIDIAN"/>
    <s v="SEC 20, ALL; SEC 21, NE"/>
    <m/>
    <m/>
  </r>
  <r>
    <s v="MSES51574"/>
    <x v="0"/>
    <x v="0"/>
    <d v="2002-07-11T00:00:00"/>
    <d v="2002-08-01T00:00:00"/>
    <x v="17"/>
    <n v="520.20000000000005"/>
    <x v="13"/>
    <x v="4"/>
    <n v="0.5"/>
    <m/>
    <m/>
    <s v="ES-07/02 059"/>
    <n v="856.5"/>
    <n v="0"/>
    <n v="856.5"/>
    <n v="1042"/>
    <m/>
    <m/>
    <m/>
    <x v="24"/>
    <x v="6"/>
    <m/>
    <m/>
    <s v="SEE LSE NOTICE &amp; STIPULATIONS"/>
    <s v="T7N, R8W ST STEPHENS MERIDIAN"/>
    <s v="SEC 25, E2NE, E2SW, SWSW, SE; SEC 26 S2NW, N2SW"/>
    <m/>
    <m/>
  </r>
  <r>
    <s v="MSES51575"/>
    <x v="0"/>
    <x v="0"/>
    <d v="2002-07-11T00:00:00"/>
    <d v="2002-08-01T00:00:00"/>
    <x v="17"/>
    <n v="556"/>
    <x v="13"/>
    <x v="4"/>
    <n v="0.5"/>
    <m/>
    <m/>
    <s v="ES-07/02 060"/>
    <n v="909"/>
    <n v="0"/>
    <n v="909"/>
    <n v="1112"/>
    <m/>
    <m/>
    <m/>
    <x v="24"/>
    <x v="6"/>
    <m/>
    <m/>
    <s v="SEE LSE NOTICE &amp; STIPULATIONS"/>
    <s v="T7N, R8W ST STEPHENS MERIDIAN"/>
    <s v="SEC 29, NW, S2; SEC 30, S2NE"/>
    <m/>
    <m/>
  </r>
  <r>
    <s v="MSES51576"/>
    <x v="0"/>
    <x v="0"/>
    <d v="2002-07-11T00:00:00"/>
    <d v="2002-08-01T00:00:00"/>
    <x v="17"/>
    <n v="634.29999999999995"/>
    <x v="13"/>
    <x v="4"/>
    <n v="0.5"/>
    <m/>
    <m/>
    <s v="ES-07/02 061"/>
    <n v="1027.5"/>
    <n v="0"/>
    <n v="1027.5"/>
    <n v="1270"/>
    <m/>
    <m/>
    <m/>
    <x v="24"/>
    <x v="6"/>
    <m/>
    <m/>
    <s v="SEE LSE NOTICE &amp; STIPULATIONS"/>
    <s v="T7N, R8W ST STEPHENS MERIDIAN"/>
    <s v="SEC 31, NESE, S2SE; SEC 32, N2, N2S2, SWSE"/>
    <m/>
    <m/>
  </r>
  <r>
    <s v="MSES51577"/>
    <x v="0"/>
    <x v="0"/>
    <d v="2002-07-11T00:00:00"/>
    <d v="2002-08-01T00:00:00"/>
    <x v="17"/>
    <n v="980"/>
    <x v="13"/>
    <x v="4"/>
    <n v="0.5"/>
    <m/>
    <m/>
    <s v="ES-07/02 062"/>
    <n v="1545"/>
    <n v="0"/>
    <n v="1545"/>
    <n v="1960"/>
    <m/>
    <m/>
    <m/>
    <x v="24"/>
    <x v="6"/>
    <m/>
    <m/>
    <s v="SEE LSE NOTICE &amp; STIPULATIONS"/>
    <s v="T7N, R8W ST STEPHENS MERIDIAN"/>
    <s v="SEC 33, ALL; SEC 34, W2NE, NW, W2SW, S2SESW"/>
    <m/>
    <m/>
  </r>
  <r>
    <s v="MSES51579"/>
    <x v="0"/>
    <x v="0"/>
    <d v="2002-07-11T00:00:00"/>
    <d v="2002-08-01T00:00:00"/>
    <x v="17"/>
    <n v="600.95000000000005"/>
    <x v="36"/>
    <x v="4"/>
    <n v="0.5"/>
    <m/>
    <m/>
    <s v="ES-07/02 064"/>
    <n v="976.5"/>
    <n v="0"/>
    <n v="976.5"/>
    <n v="1202"/>
    <m/>
    <m/>
    <m/>
    <x v="24"/>
    <x v="6"/>
    <m/>
    <m/>
    <s v="SEE LSE NOTICE &amp; STIPULATIONS"/>
    <s v="T7N, R10W ST STEPHENS MERIDIAN"/>
    <s v="SEC 26, NENE, S2NE, NW, S2"/>
    <m/>
    <m/>
  </r>
  <r>
    <s v="MSES51580"/>
    <x v="0"/>
    <x v="0"/>
    <d v="2002-07-11T00:00:00"/>
    <d v="2002-08-01T00:00:00"/>
    <x v="17"/>
    <n v="423.3"/>
    <x v="36"/>
    <x v="4"/>
    <n v="0.5"/>
    <m/>
    <m/>
    <s v="ES-07/02 065"/>
    <n v="711"/>
    <n v="0"/>
    <n v="711"/>
    <n v="848"/>
    <m/>
    <m/>
    <m/>
    <x v="24"/>
    <x v="6"/>
    <m/>
    <m/>
    <s v="SEE LSE NOTICE &amp; STIPULATIONS"/>
    <s v="T7N, R10W ST STEPHENS MERIDIAN"/>
    <s v="SEC 29, ALL; SEC 30, N2, NESESW, N2SWSE, NWSE, SESE"/>
    <m/>
    <m/>
  </r>
  <r>
    <s v="MSES51581"/>
    <x v="0"/>
    <x v="0"/>
    <d v="2002-07-11T00:00:00"/>
    <m/>
    <x v="1"/>
    <m/>
    <x v="1"/>
    <x v="1"/>
    <n v="0.5"/>
    <m/>
    <m/>
    <m/>
    <n v="495"/>
    <n v="-420"/>
    <n v="75"/>
    <m/>
    <m/>
    <m/>
    <m/>
    <x v="27"/>
    <x v="1"/>
    <m/>
    <m/>
    <m/>
    <s v=" "/>
    <m/>
    <m/>
    <m/>
  </r>
  <r>
    <m/>
    <x v="1"/>
    <x v="1"/>
    <m/>
    <m/>
    <x v="1"/>
    <m/>
    <x v="1"/>
    <x v="1"/>
    <m/>
    <m/>
    <m/>
    <m/>
    <m/>
    <m/>
    <m/>
    <m/>
    <m/>
    <m/>
    <m/>
    <x v="1"/>
    <x v="1"/>
    <m/>
    <m/>
    <m/>
    <m/>
    <m/>
    <m/>
    <m/>
  </r>
  <r>
    <s v="TXNM108849"/>
    <x v="0"/>
    <x v="0"/>
    <d v="2002-07-17T00:00:00"/>
    <d v="2002-09-01T00:00:00"/>
    <x v="18"/>
    <n v="167"/>
    <x v="37"/>
    <x v="0"/>
    <n v="0.5"/>
    <m/>
    <m/>
    <n v="200207008"/>
    <n v="1828.5"/>
    <n v="0"/>
    <n v="1828.5"/>
    <n v="334"/>
    <m/>
    <m/>
    <m/>
    <x v="24"/>
    <x v="6"/>
    <m/>
    <m/>
    <s v="SAM HOUSTON NAT'L FOREST"/>
    <s v="TRACT J-16"/>
    <s v="SEE STIPULATIONS IN LEASE"/>
    <m/>
    <m/>
  </r>
  <r>
    <s v="TXNM108855"/>
    <x v="0"/>
    <x v="0"/>
    <d v="2002-07-17T00:00:00"/>
    <d v="2002-09-01T00:00:00"/>
    <x v="18"/>
    <n v="641"/>
    <x v="19"/>
    <x v="0"/>
    <n v="0.5"/>
    <m/>
    <m/>
    <n v="200207014"/>
    <n v="10651.5"/>
    <n v="0"/>
    <n v="10651.5"/>
    <n v="1282"/>
    <m/>
    <m/>
    <m/>
    <x v="24"/>
    <x v="6"/>
    <m/>
    <m/>
    <s v="SAM HOUSTON NAT'L FOREST"/>
    <s v="TRACT J-2c"/>
    <s v="SEE STIPULATIONS IN LEASE"/>
    <m/>
    <m/>
  </r>
  <r>
    <s v="TXNM108857"/>
    <x v="0"/>
    <x v="0"/>
    <d v="2002-07-17T00:00:00"/>
    <d v="2002-09-01T00:00:00"/>
    <x v="18"/>
    <n v="975"/>
    <x v="19"/>
    <x v="0"/>
    <n v="0.5"/>
    <m/>
    <m/>
    <n v="200207016"/>
    <n v="27862.5"/>
    <n v="0"/>
    <n v="27862.5"/>
    <n v="1950"/>
    <m/>
    <m/>
    <m/>
    <x v="24"/>
    <x v="6"/>
    <m/>
    <m/>
    <s v="SAM HOUSTON NAT'L FOREST"/>
    <s v="TRACT J-5a"/>
    <s v="SEE STIPULATIONS IN LEASE"/>
    <m/>
    <m/>
  </r>
  <r>
    <s v="TXNM108858"/>
    <x v="0"/>
    <x v="0"/>
    <d v="2002-07-17T00:00:00"/>
    <d v="2002-09-01T00:00:00"/>
    <x v="18"/>
    <n v="49"/>
    <x v="19"/>
    <x v="0"/>
    <n v="0.5"/>
    <m/>
    <m/>
    <n v="200207017"/>
    <n v="491.5"/>
    <n v="0"/>
    <n v="491.5"/>
    <n v="98"/>
    <m/>
    <m/>
    <m/>
    <x v="24"/>
    <x v="6"/>
    <m/>
    <m/>
    <s v="SAM HOUSTON NAT'L FOREST"/>
    <s v="TRACT J-6a"/>
    <s v="SEE STIPULATIONS IN LEASE"/>
    <m/>
    <m/>
  </r>
  <r>
    <s v="TXNM108869"/>
    <x v="0"/>
    <x v="0"/>
    <d v="2002-07-17T00:00:00"/>
    <d v="2002-09-01T00:00:00"/>
    <x v="18"/>
    <n v="40"/>
    <x v="21"/>
    <x v="0"/>
    <n v="0.5"/>
    <m/>
    <m/>
    <n v="200207028"/>
    <n v="2335"/>
    <n v="0"/>
    <n v="2335"/>
    <n v="80"/>
    <m/>
    <m/>
    <m/>
    <x v="24"/>
    <x v="6"/>
    <m/>
    <m/>
    <s v="SAM HOUSTON NAT'L FOREST"/>
    <s v="TRACT J-77"/>
    <s v="SEE STIPULATIONS IN LEASE"/>
    <m/>
    <m/>
  </r>
  <r>
    <m/>
    <x v="1"/>
    <x v="1"/>
    <m/>
    <m/>
    <x v="1"/>
    <m/>
    <x v="1"/>
    <x v="1"/>
    <m/>
    <m/>
    <m/>
    <m/>
    <n v="-3689"/>
    <m/>
    <n v="-3689"/>
    <m/>
    <m/>
    <m/>
    <m/>
    <x v="28"/>
    <x v="1"/>
    <m/>
    <m/>
    <m/>
    <m/>
    <m/>
    <m/>
    <m/>
  </r>
  <r>
    <m/>
    <x v="1"/>
    <x v="1"/>
    <m/>
    <m/>
    <x v="1"/>
    <m/>
    <x v="1"/>
    <x v="1"/>
    <m/>
    <m/>
    <m/>
    <m/>
    <n v="-75"/>
    <m/>
    <n v="-75"/>
    <m/>
    <m/>
    <m/>
    <m/>
    <x v="22"/>
    <x v="1"/>
    <m/>
    <m/>
    <m/>
    <m/>
    <m/>
    <m/>
    <m/>
  </r>
  <r>
    <m/>
    <x v="1"/>
    <x v="1"/>
    <m/>
    <m/>
    <x v="1"/>
    <m/>
    <x v="1"/>
    <x v="1"/>
    <m/>
    <m/>
    <m/>
    <m/>
    <m/>
    <m/>
    <m/>
    <m/>
    <m/>
    <m/>
    <m/>
    <x v="1"/>
    <x v="1"/>
    <m/>
    <m/>
    <m/>
    <m/>
    <m/>
    <m/>
    <m/>
  </r>
  <r>
    <m/>
    <x v="1"/>
    <x v="1"/>
    <m/>
    <m/>
    <x v="1"/>
    <m/>
    <x v="1"/>
    <x v="1"/>
    <m/>
    <m/>
    <m/>
    <m/>
    <n v="73667.5"/>
    <n v="118044.5"/>
    <n v="191712"/>
    <m/>
    <m/>
    <m/>
    <m/>
    <x v="1"/>
    <x v="1"/>
    <m/>
    <m/>
    <m/>
    <m/>
    <m/>
    <m/>
    <m/>
  </r>
  <r>
    <m/>
    <x v="1"/>
    <x v="1"/>
    <m/>
    <m/>
    <x v="1"/>
    <m/>
    <x v="1"/>
    <x v="1"/>
    <m/>
    <m/>
    <m/>
    <m/>
    <m/>
    <m/>
    <m/>
    <m/>
    <m/>
    <m/>
    <m/>
    <x v="1"/>
    <x v="1"/>
    <m/>
    <m/>
    <m/>
    <m/>
    <m/>
    <m/>
    <m/>
  </r>
  <r>
    <m/>
    <x v="1"/>
    <x v="1"/>
    <m/>
    <m/>
    <x v="1"/>
    <m/>
    <x v="1"/>
    <x v="1"/>
    <m/>
    <m/>
    <m/>
    <s v="BALANCE 12-31-02"/>
    <n v="330330.5"/>
    <n v="400319"/>
    <n v="730649.5"/>
    <m/>
    <m/>
    <m/>
    <m/>
    <x v="1"/>
    <x v="1"/>
    <m/>
    <m/>
    <m/>
    <m/>
    <m/>
    <m/>
    <m/>
  </r>
  <r>
    <m/>
    <x v="1"/>
    <x v="1"/>
    <m/>
    <m/>
    <x v="1"/>
    <m/>
    <x v="1"/>
    <x v="1"/>
    <m/>
    <m/>
    <m/>
    <m/>
    <m/>
    <m/>
    <m/>
    <m/>
    <m/>
    <m/>
    <m/>
    <x v="1"/>
    <x v="1"/>
    <m/>
    <m/>
    <m/>
    <m/>
    <m/>
    <m/>
    <m/>
  </r>
  <r>
    <s v="TXNM110866"/>
    <x v="0"/>
    <x v="0"/>
    <d v="2003-07-16T00:00:00"/>
    <d v="2003-09-01T00:00:00"/>
    <x v="19"/>
    <n v="2523.6799999999998"/>
    <x v="21"/>
    <x v="0"/>
    <n v="0.5"/>
    <m/>
    <m/>
    <s v="NM200307116"/>
    <n v="3861"/>
    <m/>
    <n v="3861"/>
    <n v="5048"/>
    <m/>
    <m/>
    <m/>
    <x v="29"/>
    <x v="7"/>
    <m/>
    <m/>
    <s v="SAM HOUSTON NAT'L FOREST"/>
    <s v="TRACT J-1-I PARCEL #2"/>
    <s v="SEE LEASE FOR METES AND BOUNDS"/>
    <s v="YES"/>
    <m/>
  </r>
  <r>
    <s v="TXNM110867"/>
    <x v="0"/>
    <x v="0"/>
    <d v="2003-07-16T00:00:00"/>
    <d v="2003-09-01T00:00:00"/>
    <x v="19"/>
    <n v="1600.66"/>
    <x v="21"/>
    <x v="0"/>
    <n v="0.5"/>
    <m/>
    <m/>
    <s v="NM200307117"/>
    <n v="2476.5"/>
    <m/>
    <n v="2476.5"/>
    <n v="3202"/>
    <m/>
    <m/>
    <m/>
    <x v="29"/>
    <x v="7"/>
    <m/>
    <m/>
    <s v="SAM HOUSTON NAT'L FOREST"/>
    <s v="TRACT J-1-I PARCEL #3"/>
    <s v="SEE LEASE FOR METES AND BOUNDS"/>
    <s v="YES"/>
    <m/>
  </r>
  <r>
    <s v="TXNM110868"/>
    <x v="0"/>
    <x v="0"/>
    <d v="2003-07-16T00:00:00"/>
    <d v="2003-09-01T00:00:00"/>
    <x v="19"/>
    <n v="2298.16"/>
    <x v="21"/>
    <x v="0"/>
    <n v="0.5"/>
    <m/>
    <m/>
    <s v="NM200307119"/>
    <n v="3523.5"/>
    <m/>
    <n v="3523.5"/>
    <n v="4598"/>
    <m/>
    <m/>
    <m/>
    <x v="29"/>
    <x v="7"/>
    <m/>
    <m/>
    <s v="SAM HOUSTON NAT'L FOREST"/>
    <s v="TRACT J-1-I PARCEL #5"/>
    <s v="SEE LEASE FOR METES AND BOUNDS"/>
    <s v="YES"/>
    <m/>
  </r>
  <r>
    <s v="TXNM110869"/>
    <x v="0"/>
    <x v="0"/>
    <d v="2003-07-16T00:00:00"/>
    <d v="2003-09-01T00:00:00"/>
    <x v="19"/>
    <n v="1332.06"/>
    <x v="21"/>
    <x v="0"/>
    <n v="0.5"/>
    <m/>
    <m/>
    <s v="NM200307120"/>
    <n v="2074.5"/>
    <m/>
    <n v="2074.5"/>
    <n v="2666"/>
    <m/>
    <m/>
    <m/>
    <x v="29"/>
    <x v="7"/>
    <m/>
    <m/>
    <s v="SAM HOUSTON NAT'L FOREST"/>
    <s v="TRACT J 1-I PARCEL #6"/>
    <s v="SEE LEASE FOR METES AND BOUNDS"/>
    <s v="YES"/>
    <m/>
  </r>
  <r>
    <m/>
    <x v="1"/>
    <x v="1"/>
    <m/>
    <m/>
    <x v="1"/>
    <m/>
    <x v="1"/>
    <x v="1"/>
    <m/>
    <m/>
    <m/>
    <m/>
    <m/>
    <m/>
    <m/>
    <m/>
    <m/>
    <m/>
    <m/>
    <x v="1"/>
    <x v="1"/>
    <m/>
    <m/>
    <m/>
    <m/>
    <m/>
    <m/>
    <m/>
  </r>
  <r>
    <s v="TXNM091527"/>
    <x v="0"/>
    <x v="0"/>
    <d v="1993-07-21T00:00:00"/>
    <m/>
    <x v="1"/>
    <n v="0"/>
    <x v="1"/>
    <x v="1"/>
    <m/>
    <m/>
    <m/>
    <m/>
    <m/>
    <n v="-4200"/>
    <n v="-4200"/>
    <m/>
    <m/>
    <m/>
    <m/>
    <x v="27"/>
    <x v="1"/>
    <m/>
    <m/>
    <m/>
    <m/>
    <m/>
    <m/>
    <m/>
  </r>
  <r>
    <m/>
    <x v="1"/>
    <x v="1"/>
    <m/>
    <m/>
    <x v="1"/>
    <m/>
    <x v="1"/>
    <x v="1"/>
    <m/>
    <m/>
    <m/>
    <m/>
    <m/>
    <m/>
    <m/>
    <m/>
    <m/>
    <m/>
    <m/>
    <x v="1"/>
    <x v="1"/>
    <m/>
    <m/>
    <m/>
    <m/>
    <m/>
    <m/>
    <m/>
  </r>
  <r>
    <m/>
    <x v="1"/>
    <x v="1"/>
    <m/>
    <m/>
    <x v="1"/>
    <m/>
    <x v="1"/>
    <x v="1"/>
    <m/>
    <m/>
    <m/>
    <s v="BALANCE 12-31-03"/>
    <n v="342266"/>
    <n v="396119"/>
    <n v="738385"/>
    <m/>
    <m/>
    <m/>
    <m/>
    <x v="1"/>
    <x v="1"/>
    <m/>
    <m/>
    <m/>
    <m/>
    <m/>
    <m/>
    <m/>
  </r>
  <r>
    <m/>
    <x v="1"/>
    <x v="1"/>
    <m/>
    <m/>
    <x v="1"/>
    <m/>
    <x v="1"/>
    <x v="1"/>
    <m/>
    <m/>
    <m/>
    <m/>
    <m/>
    <m/>
    <m/>
    <m/>
    <m/>
    <m/>
    <m/>
    <x v="1"/>
    <x v="1"/>
    <m/>
    <m/>
    <m/>
    <m/>
    <m/>
    <m/>
    <m/>
  </r>
  <r>
    <s v="MSES52218"/>
    <x v="0"/>
    <x v="0"/>
    <d v="2004-06-18T00:00:00"/>
    <d v="2004-09-01T00:00:00"/>
    <x v="20"/>
    <n v="379"/>
    <x v="15"/>
    <x v="4"/>
    <n v="0.5"/>
    <m/>
    <m/>
    <s v="ES-057-06/04"/>
    <n v="1780.5"/>
    <m/>
    <n v="1780.5"/>
    <n v="758"/>
    <m/>
    <m/>
    <m/>
    <x v="30"/>
    <x v="8"/>
    <m/>
    <m/>
    <s v="HOMOCHITO NATIONAL FOREST"/>
    <s v="T5N, R1W, WASHINGTON MERIDIAN"/>
    <s v="SEC 2, TRACT H-82"/>
    <m/>
    <m/>
  </r>
  <r>
    <s v="MSES52219"/>
    <x v="0"/>
    <x v="0"/>
    <d v="2004-06-18T00:00:00"/>
    <d v="2004-09-01T00:00:00"/>
    <x v="20"/>
    <n v="262.76"/>
    <x v="38"/>
    <x v="4"/>
    <n v="0.5"/>
    <m/>
    <m/>
    <s v="ES-058-06/04"/>
    <n v="9674.5"/>
    <m/>
    <n v="9674.5"/>
    <n v="526"/>
    <m/>
    <m/>
    <m/>
    <x v="30"/>
    <x v="8"/>
    <m/>
    <m/>
    <s v="HOMOCHITO NATIONAL FOREST"/>
    <s v="T5N, R2E, WASHINGTON MERIDIAN"/>
    <s v="SEC 6, E2, NENW, SENW, E2SW;  SEC 7, S2N2, E2SW, W2NWSE "/>
    <m/>
    <m/>
  </r>
  <r>
    <m/>
    <x v="1"/>
    <x v="1"/>
    <m/>
    <m/>
    <x v="1"/>
    <m/>
    <x v="1"/>
    <x v="1"/>
    <m/>
    <m/>
    <m/>
    <m/>
    <m/>
    <m/>
    <m/>
    <m/>
    <m/>
    <m/>
    <m/>
    <x v="1"/>
    <x v="1"/>
    <m/>
    <m/>
    <m/>
    <m/>
    <m/>
    <m/>
    <m/>
  </r>
  <r>
    <s v="MSES52405"/>
    <x v="0"/>
    <x v="0"/>
    <d v="2004-09-23T00:00:00"/>
    <d v="2004-12-01T00:00:00"/>
    <x v="21"/>
    <n v="640"/>
    <x v="39"/>
    <x v="4"/>
    <n v="0.5"/>
    <m/>
    <m/>
    <s v="ES-072-09/04"/>
    <n v="2315"/>
    <n v="1920"/>
    <n v="4235"/>
    <n v="1280"/>
    <m/>
    <m/>
    <m/>
    <x v="30"/>
    <x v="8"/>
    <m/>
    <m/>
    <s v="DESOTO NATIONAL FOREST"/>
    <s v="T1S,R11W, ST. STEPHENS MERIDIAN"/>
    <s v="SEC 4, SESW, NWSE; SEC 5, NENE, NWNE, SWNE, S2NW, S2"/>
    <m/>
    <m/>
  </r>
  <r>
    <s v="MSES52406"/>
    <x v="0"/>
    <x v="0"/>
    <d v="2004-09-23T00:00:00"/>
    <d v="2004-12-01T00:00:00"/>
    <x v="21"/>
    <n v="660"/>
    <x v="39"/>
    <x v="4"/>
    <n v="0.5"/>
    <m/>
    <m/>
    <s v="ES-073-09/04"/>
    <n v="2385"/>
    <n v="0"/>
    <n v="2385"/>
    <n v="1320"/>
    <m/>
    <m/>
    <m/>
    <x v="30"/>
    <x v="8"/>
    <m/>
    <m/>
    <s v="DESOTO NATIONAL FOREST"/>
    <s v="T1S,R11W, ST. STEPHENS MERIDIAN"/>
    <s v="SEC. 6, W2NE, NW, N2S2, SWSE; SEC 7, SENE, NENW, NESE, NWSW"/>
    <m/>
    <m/>
  </r>
  <r>
    <s v="MSES52407"/>
    <x v="0"/>
    <x v="0"/>
    <d v="2004-09-23T00:00:00"/>
    <d v="2004-12-01T00:00:00"/>
    <x v="21"/>
    <n v="520"/>
    <x v="39"/>
    <x v="4"/>
    <n v="0.5"/>
    <m/>
    <m/>
    <s v="ES-074-09/04"/>
    <n v="1895"/>
    <n v="0"/>
    <n v="1895"/>
    <n v="1040"/>
    <m/>
    <m/>
    <m/>
    <x v="30"/>
    <x v="8"/>
    <m/>
    <m/>
    <s v="DESOTO NATIONAL FOREST"/>
    <s v="T1S,R11W, ST. STEPHENS MERIDIAN"/>
    <s v="SEC 8, N2, N2S2, SWSW"/>
    <m/>
    <m/>
  </r>
  <r>
    <s v="MSES52408"/>
    <x v="0"/>
    <x v="0"/>
    <d v="2004-09-23T00:00:00"/>
    <d v="2004-12-01T00:00:00"/>
    <x v="21"/>
    <n v="920"/>
    <x v="39"/>
    <x v="4"/>
    <n v="0.5"/>
    <m/>
    <m/>
    <s v="ES-075-09/04"/>
    <n v="3295"/>
    <n v="3680"/>
    <n v="6975"/>
    <n v="1840"/>
    <m/>
    <m/>
    <m/>
    <x v="30"/>
    <x v="8"/>
    <m/>
    <m/>
    <s v="DESOTO NATIONAL FOREST"/>
    <s v="T1S,R11W, ST. STEPHENS MERIDIAN"/>
    <s v="SEC 17, NWNW, SENW, NESW; SEC 18, NE, S2NW, SWSE, SW; SEC 20,NE, N2NW, SENW, E2SE"/>
    <m/>
    <m/>
  </r>
  <r>
    <s v="MSES52409"/>
    <x v="0"/>
    <x v="0"/>
    <d v="2004-09-23T00:00:00"/>
    <d v="2004-12-01T00:00:00"/>
    <x v="21"/>
    <n v="1115"/>
    <x v="11"/>
    <x v="4"/>
    <n v="0.5"/>
    <m/>
    <m/>
    <s v="ES-076-09/04"/>
    <n v="3977.5"/>
    <n v="6690"/>
    <n v="10667.5"/>
    <n v="2230"/>
    <m/>
    <m/>
    <m/>
    <x v="30"/>
    <x v="8"/>
    <m/>
    <m/>
    <s v="DESOTO NATIONAL FOREST"/>
    <s v="T1S,R12W, ST. STEPHENS MERIDIAN"/>
    <s v="SEC 1, S2SE, NWSE, N2SW, SWSW; SEC 2, N2, N2N2; SEC 3, S2S2, PT. NENE (LESS SWNENE)"/>
    <m/>
    <m/>
  </r>
  <r>
    <s v="MSES52410"/>
    <x v="0"/>
    <x v="0"/>
    <d v="2004-09-23T00:00:00"/>
    <d v="2004-12-01T00:00:00"/>
    <x v="21"/>
    <n v="1200"/>
    <x v="11"/>
    <x v="4"/>
    <n v="0.5"/>
    <m/>
    <m/>
    <s v="ES-077-09/04"/>
    <n v="4275"/>
    <n v="7200"/>
    <n v="11475"/>
    <n v="2400"/>
    <m/>
    <m/>
    <m/>
    <x v="30"/>
    <x v="8"/>
    <m/>
    <m/>
    <s v="DESOTO NATIONAL FOREST"/>
    <s v="T1S,R12W, ST. STEPHENS MERIDIAN"/>
    <s v="SEC 11, W2NE, E2NW, SWNW, SE, E2SW; SEC 12, SESE; SEC 13, E2, E2W2, NWNW; SEC 14, N2NE,SENW, NESW, SWSW"/>
    <m/>
    <m/>
  </r>
  <r>
    <s v="MSES52411"/>
    <x v="0"/>
    <x v="0"/>
    <d v="2004-09-23T00:00:00"/>
    <d v="2004-12-01T00:00:00"/>
    <x v="21"/>
    <n v="360"/>
    <x v="11"/>
    <x v="4"/>
    <n v="0.5"/>
    <m/>
    <m/>
    <s v="ES-078-09/04"/>
    <n v="1335"/>
    <n v="0"/>
    <n v="1335"/>
    <n v="720"/>
    <m/>
    <m/>
    <m/>
    <x v="30"/>
    <x v="8"/>
    <m/>
    <m/>
    <s v="DESOTO NATIONAL FOREST"/>
    <s v="T1S,R12W, ST. STEPHENS MERIDIAN"/>
    <s v="SEC 23, SESW, W2SW; SEC 24, N2NE, E2NW, N2SE"/>
    <m/>
    <m/>
  </r>
  <r>
    <s v="MSES52412"/>
    <x v="0"/>
    <x v="0"/>
    <d v="2004-09-23T00:00:00"/>
    <d v="2004-12-01T00:00:00"/>
    <x v="21"/>
    <n v="1320"/>
    <x v="11"/>
    <x v="4"/>
    <n v="0.5"/>
    <m/>
    <m/>
    <s v="ES-079-09/04"/>
    <n v="4695"/>
    <n v="7920"/>
    <n v="12615"/>
    <n v="2640"/>
    <m/>
    <m/>
    <m/>
    <x v="30"/>
    <x v="8"/>
    <m/>
    <m/>
    <s v="DESOTO NATIONAL FOREST"/>
    <s v="T1S,R12W, ST. STEPHENS MERIDIAN"/>
    <s v="SEC 26, NWNE, NWNW, S2N2, S2; SEC 27, NWSE, SWNW, SW; SEC 28, S2, S2NE, N2NW, SWNW "/>
    <m/>
    <m/>
  </r>
  <r>
    <s v="MSES52413"/>
    <x v="0"/>
    <x v="0"/>
    <d v="2004-09-23T00:00:00"/>
    <m/>
    <x v="1"/>
    <m/>
    <x v="1"/>
    <x v="1"/>
    <m/>
    <m/>
    <m/>
    <s v="ES-080-09/04"/>
    <n v="1685"/>
    <n v="56120"/>
    <n v="57805"/>
    <m/>
    <m/>
    <m/>
    <m/>
    <x v="31"/>
    <x v="1"/>
    <m/>
    <m/>
    <m/>
    <m/>
    <m/>
    <m/>
    <m/>
  </r>
  <r>
    <s v="MSES52414"/>
    <x v="0"/>
    <x v="0"/>
    <d v="2004-09-23T00:00:00"/>
    <d v="2004-12-01T00:00:00"/>
    <x v="21"/>
    <n v="360"/>
    <x v="11"/>
    <x v="4"/>
    <n v="0.5"/>
    <m/>
    <m/>
    <s v="ES-081-09/04"/>
    <n v="1335"/>
    <n v="1440"/>
    <n v="2775"/>
    <n v="720"/>
    <m/>
    <m/>
    <m/>
    <x v="30"/>
    <x v="8"/>
    <m/>
    <m/>
    <s v="DESOTO NATIONAL FOREST"/>
    <s v="T1S,R12W, ST. STEPHENS MERIDIAN"/>
    <s v="SEC11, SE; SEC 12, SW, SWSE"/>
    <m/>
    <m/>
  </r>
  <r>
    <s v="MSES52415"/>
    <x v="0"/>
    <x v="0"/>
    <d v="2004-09-23T00:00:00"/>
    <d v="2004-12-01T00:00:00"/>
    <x v="21"/>
    <n v="480"/>
    <x v="11"/>
    <x v="4"/>
    <n v="0.5"/>
    <m/>
    <m/>
    <s v="ES-082-09/04"/>
    <n v="1755"/>
    <n v="1920"/>
    <n v="3675"/>
    <n v="960"/>
    <m/>
    <m/>
    <m/>
    <x v="30"/>
    <x v="8"/>
    <m/>
    <m/>
    <s v="DESOTO NATIONAL FOREST"/>
    <s v="T1S,R12W, ST. STEPHENS MERIDIAN"/>
    <s v="SEC 25, NE, W2NW, E2SW, E2SE; SEC 26, N2NE"/>
    <m/>
    <m/>
  </r>
  <r>
    <s v="MSES52416"/>
    <x v="0"/>
    <x v="0"/>
    <d v="2004-09-23T00:00:00"/>
    <d v="2004-11-01T00:00:00"/>
    <x v="22"/>
    <n v="887.77"/>
    <x v="11"/>
    <x v="4"/>
    <n v="0.5"/>
    <m/>
    <m/>
    <s v="ES-083-09/04"/>
    <n v="3995"/>
    <n v="6720"/>
    <n v="10715"/>
    <n v="1776"/>
    <m/>
    <m/>
    <m/>
    <x v="32"/>
    <x v="8"/>
    <m/>
    <m/>
    <s v="DESOTO NATIONAL FOREST"/>
    <s v="T1S,R12W, ST. STEPHENS MERIDIAN"/>
    <s v="SEC 35, ALL; SEC 36, W2, NE "/>
    <m/>
    <m/>
  </r>
  <r>
    <s v="MSES52418"/>
    <x v="0"/>
    <x v="0"/>
    <d v="2004-09-23T00:00:00"/>
    <d v="2004-11-01T00:00:00"/>
    <x v="22"/>
    <n v="480"/>
    <x v="13"/>
    <x v="4"/>
    <n v="0.5"/>
    <m/>
    <m/>
    <s v="ES-085-09/04"/>
    <n v="1755"/>
    <n v="1920"/>
    <n v="3675"/>
    <n v="960"/>
    <m/>
    <m/>
    <m/>
    <x v="30"/>
    <x v="8"/>
    <m/>
    <m/>
    <s v="BLM"/>
    <s v="T6N, R7W, ST. STEPHENS MERIDIAN"/>
    <s v="SEC 1, E2, E2W2"/>
    <m/>
    <m/>
  </r>
  <r>
    <s v="MSES52419"/>
    <x v="0"/>
    <x v="0"/>
    <d v="2004-09-23T00:00:00"/>
    <d v="2004-11-01T00:00:00"/>
    <x v="22"/>
    <n v="59.49"/>
    <x v="13"/>
    <x v="4"/>
    <n v="0.5"/>
    <m/>
    <m/>
    <s v="ES-086-09/04"/>
    <n v="285"/>
    <n v="240"/>
    <n v="525"/>
    <n v="120"/>
    <m/>
    <m/>
    <m/>
    <x v="30"/>
    <x v="8"/>
    <m/>
    <m/>
    <s v="BLM"/>
    <s v="T7N, R7W, ST. STEPHENS MERIDIAN"/>
    <s v="SEC 2, W2NWNW; SEC 3, E2NENE, SENE"/>
    <m/>
    <m/>
  </r>
  <r>
    <s v="MSES52420"/>
    <x v="0"/>
    <x v="0"/>
    <d v="2004-09-23T00:00:00"/>
    <d v="2004-11-01T00:00:00"/>
    <x v="22"/>
    <n v="80"/>
    <x v="13"/>
    <x v="4"/>
    <n v="0.5"/>
    <m/>
    <m/>
    <s v="ES-087-09/04"/>
    <n v="355"/>
    <n v="640"/>
    <n v="995"/>
    <n v="160"/>
    <m/>
    <m/>
    <m/>
    <x v="30"/>
    <x v="8"/>
    <m/>
    <m/>
    <s v="BLM"/>
    <s v="T8N, R9W, ST. STEPHENS MERIDIAN"/>
    <s v="SEC 4, NWSW; SEC 19, SWNE -50% U.S. MINERALS OWNERSHIP"/>
    <m/>
    <m/>
  </r>
  <r>
    <m/>
    <x v="1"/>
    <x v="1"/>
    <m/>
    <m/>
    <x v="1"/>
    <m/>
    <x v="1"/>
    <x v="1"/>
    <m/>
    <m/>
    <m/>
    <s v="GROUP TOTAL"/>
    <n v="46792.5"/>
    <n v="38605"/>
    <n v="85397.5"/>
    <m/>
    <m/>
    <m/>
    <m/>
    <x v="1"/>
    <x v="1"/>
    <m/>
    <m/>
    <m/>
    <m/>
    <m/>
    <m/>
    <m/>
  </r>
  <r>
    <m/>
    <x v="1"/>
    <x v="1"/>
    <m/>
    <m/>
    <x v="1"/>
    <m/>
    <x v="1"/>
    <x v="1"/>
    <m/>
    <m/>
    <m/>
    <m/>
    <m/>
    <m/>
    <m/>
    <m/>
    <m/>
    <m/>
    <m/>
    <x v="1"/>
    <x v="1"/>
    <m/>
    <m/>
    <m/>
    <m/>
    <m/>
    <m/>
    <m/>
  </r>
  <r>
    <s v="NMNM112924"/>
    <x v="0"/>
    <x v="0"/>
    <d v="2004-10-20T00:00:00"/>
    <d v="2005-01-01T00:00:00"/>
    <x v="23"/>
    <n v="160"/>
    <x v="40"/>
    <x v="7"/>
    <n v="0.5"/>
    <m/>
    <m/>
    <s v="NM-200410-052"/>
    <n v="635"/>
    <n v="31680"/>
    <n v="32315"/>
    <n v="320"/>
    <m/>
    <m/>
    <m/>
    <x v="30"/>
    <x v="9"/>
    <m/>
    <m/>
    <m/>
    <s v="T210S, R300E, NMPM MERIDIAN"/>
    <s v="Sec 34 SE"/>
    <m/>
    <m/>
  </r>
  <r>
    <s v="NMNM112946"/>
    <x v="0"/>
    <x v="0"/>
    <d v="2004-10-20T00:00:00"/>
    <d v="2005-01-01T00:00:00"/>
    <x v="23"/>
    <n v="152.43"/>
    <x v="41"/>
    <x v="7"/>
    <n v="0.5"/>
    <m/>
    <m/>
    <s v="NM-200410-075"/>
    <n v="610.5"/>
    <n v="0"/>
    <n v="610.5"/>
    <n v="306"/>
    <m/>
    <m/>
    <m/>
    <x v="30"/>
    <x v="9"/>
    <m/>
    <m/>
    <m/>
    <s v="T60N, R370E, NMPM MERIDIAN"/>
    <s v="SEC 5, LOTS 5, 6;  SEC 8, LOTS 1, 2"/>
    <m/>
    <m/>
  </r>
  <r>
    <s v="NMNM112963"/>
    <x v="0"/>
    <x v="0"/>
    <d v="2004-10-20T00:00:00"/>
    <d v="2005-01-01T00:00:00"/>
    <x v="23"/>
    <n v="40"/>
    <x v="42"/>
    <x v="7"/>
    <n v="0.5"/>
    <m/>
    <m/>
    <s v="NM-200410-092"/>
    <n v="215"/>
    <n v="8320"/>
    <n v="8535"/>
    <n v="80"/>
    <m/>
    <m/>
    <m/>
    <x v="30"/>
    <x v="9"/>
    <m/>
    <m/>
    <s v="BUREAU OF INDIAN AFFAIRS IS SURF. MGR."/>
    <s v="T300N, R160W, NMPM MERIDIAN"/>
    <s v="SEC 11 NWNE"/>
    <m/>
    <m/>
  </r>
  <r>
    <s v="OKNM112972"/>
    <x v="0"/>
    <x v="0"/>
    <d v="2004-10-20T00:00:00"/>
    <d v="2005-01-01T00:00:00"/>
    <x v="23"/>
    <n v="400"/>
    <x v="43"/>
    <x v="5"/>
    <n v="0.5"/>
    <m/>
    <m/>
    <s v="NM-200410-101"/>
    <n v="1475"/>
    <n v="43200"/>
    <n v="44675"/>
    <n v="800"/>
    <m/>
    <m/>
    <m/>
    <x v="30"/>
    <x v="9"/>
    <m/>
    <m/>
    <s v="USDA FOREST SVC IS SURF. MGR."/>
    <s v="T150N, R240W, IM MERIDIAN"/>
    <s v="SEC 26 E2,S2SW"/>
    <m/>
    <m/>
  </r>
  <r>
    <s v="TXNM112975"/>
    <x v="0"/>
    <x v="0"/>
    <d v="2004-10-20T00:00:00"/>
    <d v="2005-01-01T00:00:00"/>
    <x v="23"/>
    <n v="596.74"/>
    <x v="44"/>
    <x v="0"/>
    <n v="0.5"/>
    <m/>
    <m/>
    <s v="NM-200410-104"/>
    <n v="2164.5"/>
    <n v="213726"/>
    <n v="215890.5"/>
    <n v="1194"/>
    <m/>
    <m/>
    <m/>
    <x v="30"/>
    <x v="9"/>
    <m/>
    <m/>
    <s v="INT'L BOUNDARY &amp; WATER COMM IS SURF. MGR."/>
    <s v="TRACT Z-279-A, Z-280-A"/>
    <s v="SEE EXHIBIT FOR METES &amp; BOUNDS"/>
    <s v="YES"/>
    <m/>
  </r>
  <r>
    <m/>
    <x v="1"/>
    <x v="1"/>
    <m/>
    <m/>
    <x v="1"/>
    <m/>
    <x v="1"/>
    <x v="1"/>
    <m/>
    <m/>
    <m/>
    <s v="GROUP TOTAL"/>
    <n v="5100"/>
    <n v="296926"/>
    <n v="302026"/>
    <m/>
    <m/>
    <m/>
    <m/>
    <x v="1"/>
    <x v="1"/>
    <m/>
    <m/>
    <m/>
    <m/>
    <m/>
    <m/>
    <m/>
  </r>
  <r>
    <m/>
    <x v="1"/>
    <x v="1"/>
    <m/>
    <m/>
    <x v="1"/>
    <m/>
    <x v="1"/>
    <x v="1"/>
    <m/>
    <m/>
    <m/>
    <m/>
    <m/>
    <m/>
    <m/>
    <m/>
    <m/>
    <m/>
    <m/>
    <x v="1"/>
    <x v="1"/>
    <m/>
    <m/>
    <m/>
    <m/>
    <m/>
    <m/>
    <m/>
  </r>
  <r>
    <m/>
    <x v="1"/>
    <x v="1"/>
    <m/>
    <m/>
    <x v="1"/>
    <n v="0"/>
    <x v="1"/>
    <x v="1"/>
    <m/>
    <m/>
    <m/>
    <s v="BALANCE 12-31-2004"/>
    <n v="394158.5"/>
    <n v="731650"/>
    <n v="1125808.5"/>
    <m/>
    <m/>
    <m/>
    <m/>
    <x v="1"/>
    <x v="1"/>
    <m/>
    <m/>
    <m/>
    <m/>
    <m/>
    <m/>
    <m/>
  </r>
  <r>
    <m/>
    <x v="1"/>
    <x v="1"/>
    <m/>
    <m/>
    <x v="1"/>
    <m/>
    <x v="1"/>
    <x v="1"/>
    <m/>
    <m/>
    <m/>
    <m/>
    <m/>
    <m/>
    <m/>
    <m/>
    <m/>
    <m/>
    <m/>
    <x v="1"/>
    <x v="1"/>
    <m/>
    <m/>
    <m/>
    <m/>
    <m/>
    <m/>
    <m/>
  </r>
  <r>
    <s v="TXNM096140"/>
    <x v="0"/>
    <x v="0"/>
    <d v="1995-10-19T00:00:00"/>
    <d v="1995-12-01T00:00:00"/>
    <x v="0"/>
    <m/>
    <x v="1"/>
    <x v="1"/>
    <m/>
    <m/>
    <m/>
    <m/>
    <m/>
    <n v="-790.5"/>
    <n v="-790.5"/>
    <m/>
    <m/>
    <m/>
    <m/>
    <x v="0"/>
    <x v="0"/>
    <m/>
    <m/>
    <m/>
    <m/>
    <m/>
    <m/>
    <m/>
  </r>
  <r>
    <m/>
    <x v="1"/>
    <x v="1"/>
    <m/>
    <m/>
    <x v="1"/>
    <m/>
    <x v="1"/>
    <x v="1"/>
    <m/>
    <m/>
    <m/>
    <m/>
    <m/>
    <m/>
    <m/>
    <m/>
    <m/>
    <m/>
    <m/>
    <x v="1"/>
    <x v="1"/>
    <m/>
    <m/>
    <m/>
    <m/>
    <m/>
    <m/>
    <m/>
  </r>
  <r>
    <m/>
    <x v="1"/>
    <x v="1"/>
    <m/>
    <m/>
    <x v="1"/>
    <m/>
    <x v="1"/>
    <x v="1"/>
    <m/>
    <m/>
    <m/>
    <s v="BALANCE 12-31-2005"/>
    <n v="394158.5"/>
    <n v="730859.5"/>
    <n v="1125018"/>
    <m/>
    <m/>
    <m/>
    <m/>
    <x v="1"/>
    <x v="1"/>
    <m/>
    <m/>
    <m/>
    <m/>
    <m/>
    <m/>
    <m/>
  </r>
  <r>
    <m/>
    <x v="1"/>
    <x v="1"/>
    <m/>
    <m/>
    <x v="1"/>
    <m/>
    <x v="1"/>
    <x v="1"/>
    <m/>
    <m/>
    <m/>
    <m/>
    <m/>
    <m/>
    <m/>
    <m/>
    <m/>
    <m/>
    <m/>
    <x v="1"/>
    <x v="1"/>
    <m/>
    <m/>
    <m/>
    <m/>
    <m/>
    <m/>
    <m/>
  </r>
  <r>
    <s v="TXNM116082"/>
    <x v="0"/>
    <x v="0"/>
    <d v="2006-04-19T00:00:00"/>
    <d v="2006-06-01T00:00:00"/>
    <x v="24"/>
    <n v="199.5"/>
    <x v="19"/>
    <x v="0"/>
    <n v="0.5"/>
    <m/>
    <m/>
    <s v="NM-200604093"/>
    <n v="32430"/>
    <n v="0"/>
    <n v="32430"/>
    <n v="400"/>
    <m/>
    <m/>
    <m/>
    <x v="1"/>
    <x v="10"/>
    <m/>
    <m/>
    <s v="SAM HOUSTON NATIONAL FOREST"/>
    <s v="TR J-38A PARCEL #1 (SEE LEASE)"/>
    <s v="SEE LEASE"/>
    <m/>
    <m/>
  </r>
  <r>
    <m/>
    <x v="1"/>
    <x v="1"/>
    <m/>
    <m/>
    <x v="1"/>
    <m/>
    <x v="1"/>
    <x v="1"/>
    <m/>
    <m/>
    <m/>
    <m/>
    <m/>
    <m/>
    <m/>
    <m/>
    <m/>
    <m/>
    <m/>
    <x v="1"/>
    <x v="1"/>
    <m/>
    <m/>
    <m/>
    <m/>
    <m/>
    <m/>
    <m/>
  </r>
  <r>
    <s v="KSNM117097"/>
    <x v="0"/>
    <x v="0"/>
    <d v="2006-10-18T00:00:00"/>
    <d v="2006-12-01T00:00:00"/>
    <x v="25"/>
    <n v="160"/>
    <x v="45"/>
    <x v="8"/>
    <n v="0.5"/>
    <m/>
    <m/>
    <s v="NM200610-001"/>
    <n v="690"/>
    <m/>
    <n v="690"/>
    <n v="320"/>
    <m/>
    <m/>
    <m/>
    <x v="33"/>
    <x v="10"/>
    <m/>
    <m/>
    <s v="WILSON LAKE"/>
    <s v="T130S,R120W,6TH MERIDIAN"/>
    <s v="SEC 006,SE"/>
    <m/>
    <m/>
  </r>
  <r>
    <s v="NMNM117106"/>
    <x v="0"/>
    <x v="0"/>
    <d v="2006-10-18T00:00:00"/>
    <d v="2006-12-01T00:00:00"/>
    <x v="25"/>
    <n v="1280"/>
    <x v="40"/>
    <x v="7"/>
    <n v="0.5"/>
    <m/>
    <m/>
    <s v="NM200610-011"/>
    <n v="4610"/>
    <n v="10240"/>
    <n v="14850"/>
    <n v="2560"/>
    <m/>
    <m/>
    <m/>
    <x v="33"/>
    <x v="10"/>
    <m/>
    <m/>
    <s v="LINCOLN NATIONAL FOREST"/>
    <s v="T220S,R210E,NMPM MERIDIAN"/>
    <s v="SEC 033 ALL, SEC 034 ALL"/>
    <m/>
    <m/>
  </r>
  <r>
    <s v="NMNM117136"/>
    <x v="0"/>
    <x v="0"/>
    <d v="2006-10-18T00:00:00"/>
    <d v="2006-12-01T00:00:00"/>
    <x v="25"/>
    <n v="634.85"/>
    <x v="46"/>
    <x v="7"/>
    <n v="0.5"/>
    <m/>
    <m/>
    <s v="NM200610-042"/>
    <n v="2352.5"/>
    <n v="2540"/>
    <n v="4892.5"/>
    <n v="1270"/>
    <m/>
    <m/>
    <m/>
    <x v="33"/>
    <x v="10"/>
    <m/>
    <m/>
    <m/>
    <s v="T160N,R30W,NMPM MERIDIAN"/>
    <s v="SEC 15,LOT1; SEC 15,NWNE,S2NE,W2SE"/>
    <m/>
    <m/>
  </r>
  <r>
    <s v="NMNM117141"/>
    <x v="0"/>
    <x v="0"/>
    <d v="2006-10-18T00:00:00"/>
    <d v="2006-12-01T00:00:00"/>
    <x v="25"/>
    <n v="1349.92"/>
    <x v="47"/>
    <x v="7"/>
    <n v="0.5"/>
    <m/>
    <m/>
    <s v="NM200610-049"/>
    <n v="4855"/>
    <n v="2700"/>
    <n v="7555"/>
    <n v="2700"/>
    <m/>
    <m/>
    <m/>
    <x v="33"/>
    <x v="10"/>
    <m/>
    <m/>
    <m/>
    <s v="T160N,R70W,NMPM MERIDIAN"/>
    <s v="SEC 26,LOTS1-8; SEC 26,N2,N2S2; SEC 34,LOTS1-8; SEC 34,E2,E2W2"/>
    <m/>
    <m/>
  </r>
  <r>
    <s v="NMNM117144"/>
    <x v="0"/>
    <x v="0"/>
    <d v="2006-10-18T00:00:00"/>
    <d v="2006-12-01T00:00:00"/>
    <x v="25"/>
    <n v="1279.28"/>
    <x v="47"/>
    <x v="7"/>
    <n v="0.5"/>
    <m/>
    <m/>
    <s v="NM200610-054"/>
    <n v="4610"/>
    <n v="2560"/>
    <n v="7170"/>
    <n v="2560"/>
    <m/>
    <m/>
    <m/>
    <x v="33"/>
    <x v="10"/>
    <m/>
    <m/>
    <m/>
    <s v="T170N,R90W,NMPM MERIDIAN"/>
    <s v="SEC 30,LOTS1-4; SEC 30 E2.E2W2; SEC 34 ALL"/>
    <m/>
    <m/>
  </r>
  <r>
    <s v="NMNM117145"/>
    <x v="0"/>
    <x v="0"/>
    <d v="2006-10-18T00:00:00"/>
    <d v="2006-12-01T00:00:00"/>
    <x v="25"/>
    <n v="621.33000000000004"/>
    <x v="48"/>
    <x v="7"/>
    <n v="0.5"/>
    <m/>
    <m/>
    <s v="NM200610-055"/>
    <n v="2307"/>
    <n v="4976"/>
    <n v="7283"/>
    <n v="1244"/>
    <m/>
    <m/>
    <m/>
    <x v="33"/>
    <x v="10"/>
    <m/>
    <m/>
    <m/>
    <s v="T180S,R130W,NMPM MERIDIAN"/>
    <s v="SEC 6,LOT3; SEC 6,NESW; SEC20,LOTS1-9; SEC20 NWNW,SWSW,NESE"/>
    <m/>
    <m/>
  </r>
  <r>
    <s v="NMNM117151"/>
    <x v="0"/>
    <x v="0"/>
    <d v="2006-10-18T00:00:00"/>
    <d v="2006-12-01T00:00:00"/>
    <x v="25"/>
    <n v="360"/>
    <x v="48"/>
    <x v="7"/>
    <n v="0.5"/>
    <m/>
    <m/>
    <s v="NM200610-064"/>
    <n v="1390"/>
    <n v="2880"/>
    <n v="4270"/>
    <n v="720"/>
    <m/>
    <m/>
    <m/>
    <x v="33"/>
    <x v="10"/>
    <m/>
    <m/>
    <m/>
    <s v="T180S,R140W,NMPM MERIDIAN"/>
    <s v="SEC 23,S2SW,W2SE; SEC 26,SENW,SE"/>
    <m/>
    <m/>
  </r>
  <r>
    <s v="TXNM117165"/>
    <x v="0"/>
    <x v="0"/>
    <d v="2006-10-18T00:00:00"/>
    <d v="2006-12-01T00:00:00"/>
    <x v="25"/>
    <n v="2135.08"/>
    <x v="49"/>
    <x v="0"/>
    <n v="0.5"/>
    <m/>
    <m/>
    <s v="NM200610-078"/>
    <n v="7606"/>
    <n v="8544"/>
    <n v="16150"/>
    <n v="4272"/>
    <m/>
    <m/>
    <m/>
    <x v="33"/>
    <x v="10"/>
    <m/>
    <m/>
    <s v="SAM HOUSTON NATIONAL FOREST"/>
    <s v="TR J-1-II PARCEL #1;TR SEE EXHIBIT C W/MAP"/>
    <m/>
    <s v="YES"/>
    <m/>
  </r>
  <r>
    <s v="TXNM117166"/>
    <x v="0"/>
    <x v="0"/>
    <d v="2006-10-18T00:00:00"/>
    <d v="2006-12-01T00:00:00"/>
    <x v="25"/>
    <n v="1417.94"/>
    <x v="49"/>
    <x v="0"/>
    <n v="0.5"/>
    <m/>
    <m/>
    <s v="NM200610-079"/>
    <n v="5093"/>
    <n v="5672"/>
    <n v="10765"/>
    <n v="2836"/>
    <m/>
    <m/>
    <m/>
    <x v="33"/>
    <x v="10"/>
    <m/>
    <m/>
    <s v="SAM HOUSTON NATIONAL FOREST"/>
    <s v="TR J-1-II PARCEL #3;TR SEE EXHIBIT D W/MAP"/>
    <m/>
    <s v="YES"/>
    <m/>
  </r>
  <r>
    <s v="TXNM117167"/>
    <x v="0"/>
    <x v="0"/>
    <d v="2006-10-18T00:00:00"/>
    <d v="2006-12-01T00:00:00"/>
    <x v="25"/>
    <n v="196.2"/>
    <x v="49"/>
    <x v="0"/>
    <n v="0.5"/>
    <m/>
    <m/>
    <s v="NM200610-080"/>
    <n v="819.5"/>
    <n v="2758"/>
    <n v="3577.5"/>
    <n v="394"/>
    <m/>
    <m/>
    <m/>
    <x v="33"/>
    <x v="10"/>
    <m/>
    <m/>
    <s v="SAM HOUSTON NATIONAL FOREST-50% INT."/>
    <s v="TR J-1-II PARCEL #4;TR SEE EXHIBIT E W/MAP"/>
    <m/>
    <s v="YES"/>
    <m/>
  </r>
  <r>
    <s v="TXNM117168"/>
    <x v="0"/>
    <x v="0"/>
    <d v="2006-10-18T00:00:00"/>
    <d v="2006-12-01T00:00:00"/>
    <x v="25"/>
    <n v="2315.89"/>
    <x v="49"/>
    <x v="0"/>
    <n v="0.5"/>
    <m/>
    <m/>
    <s v="NM200610-081"/>
    <n v="8236"/>
    <n v="55584"/>
    <n v="63820"/>
    <n v="4632"/>
    <m/>
    <m/>
    <m/>
    <x v="33"/>
    <x v="10"/>
    <m/>
    <m/>
    <s v="SAM HOUSTON NATIONAL FOREST"/>
    <s v="TR J-1-II PARCEL#5"/>
    <s v="TR SEE EXHIBIT F W/MAP"/>
    <s v="YES"/>
    <m/>
  </r>
  <r>
    <s v="TXNM117169"/>
    <x v="0"/>
    <x v="0"/>
    <d v="2006-10-18T00:00:00"/>
    <d v="2006-12-01T00:00:00"/>
    <x v="25"/>
    <n v="1777.19"/>
    <x v="49"/>
    <x v="0"/>
    <n v="0.5"/>
    <m/>
    <m/>
    <s v="NM200610-082"/>
    <n v="6353"/>
    <n v="7112"/>
    <n v="13465"/>
    <n v="3556"/>
    <m/>
    <m/>
    <m/>
    <x v="33"/>
    <x v="10"/>
    <m/>
    <m/>
    <s v="SAM HOUSTON NATIONAL FOREST"/>
    <s v="TR J-1-II PARCEL#6"/>
    <s v="TR SEE EXHIBIT G W/MAP"/>
    <s v="YES"/>
    <m/>
  </r>
  <r>
    <s v="TXNM117170"/>
    <x v="0"/>
    <x v="0"/>
    <d v="2006-10-18T00:00:00"/>
    <d v="2006-12-01T00:00:00"/>
    <x v="25"/>
    <n v="249.5"/>
    <x v="21"/>
    <x v="0"/>
    <n v="0.5"/>
    <m/>
    <m/>
    <s v="NM200610-083"/>
    <n v="1005"/>
    <n v="3500"/>
    <n v="4505"/>
    <n v="500"/>
    <m/>
    <m/>
    <m/>
    <x v="33"/>
    <x v="10"/>
    <m/>
    <m/>
    <s v="SAM HOUSTON NATIONAL FOREST"/>
    <s v="TR J-1-V"/>
    <s v="TR SEE EXHIBIT H W/MAP"/>
    <s v="YES"/>
    <m/>
  </r>
  <r>
    <s v="TXNM117171"/>
    <x v="0"/>
    <x v="0"/>
    <d v="2006-10-18T00:00:00"/>
    <d v="2006-12-01T00:00:00"/>
    <x v="25"/>
    <n v="261"/>
    <x v="21"/>
    <x v="0"/>
    <n v="0.5"/>
    <m/>
    <m/>
    <s v="NM200610-084"/>
    <n v="1043.5"/>
    <n v="3654"/>
    <n v="4697.5"/>
    <n v="522"/>
    <m/>
    <m/>
    <m/>
    <x v="33"/>
    <x v="10"/>
    <m/>
    <m/>
    <s v="SAM HOUSTON NATIONAL FOREST"/>
    <s v="TR J-72"/>
    <s v="TR SEE EXHIBIT I W/MAP"/>
    <s v="YES"/>
    <m/>
  </r>
  <r>
    <s v="TXNM117173"/>
    <x v="0"/>
    <x v="0"/>
    <d v="2006-10-18T00:00:00"/>
    <d v="2006-12-01T00:00:00"/>
    <x v="25"/>
    <n v="115.126"/>
    <x v="50"/>
    <x v="0"/>
    <n v="0.5"/>
    <m/>
    <m/>
    <s v="NM200610-086"/>
    <n v="536"/>
    <n v="11368"/>
    <n v="11904"/>
    <n v="232"/>
    <m/>
    <m/>
    <m/>
    <x v="33"/>
    <x v="10"/>
    <m/>
    <m/>
    <s v="LBJ NATIONAL GRASSLANDS"/>
    <s v="TR 689"/>
    <s v="TR SEE EXHIBIT I W/MAP"/>
    <s v="YES"/>
    <m/>
  </r>
  <r>
    <s v="TXNM117174"/>
    <x v="0"/>
    <x v="0"/>
    <d v="2006-10-18T00:00:00"/>
    <d v="2006-12-01T00:00:00"/>
    <x v="25"/>
    <n v="177.292"/>
    <x v="50"/>
    <x v="0"/>
    <n v="0.5"/>
    <m/>
    <m/>
    <s v="NM200610-087"/>
    <n v="753"/>
    <n v="17444"/>
    <n v="18197"/>
    <n v="356"/>
    <m/>
    <m/>
    <m/>
    <x v="33"/>
    <x v="10"/>
    <m/>
    <m/>
    <s v="LBJ NATIONAL GRASSLANDS"/>
    <s v="TR 751"/>
    <s v="TR SEE EXHIBIT L W/MAP"/>
    <s v="YES"/>
    <m/>
  </r>
  <r>
    <m/>
    <x v="1"/>
    <x v="1"/>
    <m/>
    <m/>
    <x v="1"/>
    <m/>
    <x v="1"/>
    <x v="1"/>
    <m/>
    <m/>
    <m/>
    <s v="GROUP TOTAL "/>
    <n v="84689.5"/>
    <n v="141532"/>
    <n v="226221.5"/>
    <m/>
    <m/>
    <m/>
    <m/>
    <x v="1"/>
    <x v="1"/>
    <m/>
    <m/>
    <m/>
    <m/>
    <m/>
    <m/>
    <m/>
  </r>
  <r>
    <m/>
    <x v="1"/>
    <x v="1"/>
    <m/>
    <m/>
    <x v="1"/>
    <m/>
    <x v="1"/>
    <x v="1"/>
    <m/>
    <m/>
    <m/>
    <m/>
    <m/>
    <m/>
    <m/>
    <m/>
    <m/>
    <m/>
    <m/>
    <x v="1"/>
    <x v="1"/>
    <m/>
    <m/>
    <m/>
    <m/>
    <m/>
    <m/>
    <m/>
  </r>
  <r>
    <s v="ARES54409"/>
    <x v="0"/>
    <x v="0"/>
    <d v="2006-12-20T00:00:00"/>
    <d v="2007-03-01T00:00:00"/>
    <x v="26"/>
    <n v="200.84"/>
    <x v="27"/>
    <x v="2"/>
    <n v="0.5"/>
    <m/>
    <m/>
    <s v="ES016-12/06"/>
    <n v="833.5"/>
    <n v="603"/>
    <n v="1436.5"/>
    <n v="402"/>
    <m/>
    <m/>
    <m/>
    <x v="1"/>
    <x v="11"/>
    <m/>
    <m/>
    <s v="OUACHITA NATL FOREST"/>
    <s v="5TH PRINCIPAL MERIDIAN, T1N, R30W"/>
    <s v="SEC 3, NENW,SW"/>
    <m/>
    <m/>
  </r>
  <r>
    <s v="ARES54410"/>
    <x v="0"/>
    <x v="0"/>
    <d v="2006-12-20T00:00:00"/>
    <d v="2007-03-01T00:00:00"/>
    <x v="26"/>
    <n v="71.36"/>
    <x v="27"/>
    <x v="2"/>
    <n v="0.5"/>
    <m/>
    <m/>
    <s v="ES016-12/06"/>
    <n v="382"/>
    <n v="288"/>
    <n v="670"/>
    <n v="144"/>
    <m/>
    <m/>
    <m/>
    <x v="1"/>
    <x v="11"/>
    <m/>
    <m/>
    <s v="OUACHITA NATL FOREST"/>
    <s v="5TH PRINCIPAL MERIDIAN, T1N, R30W"/>
    <s v="SEC 3, TRACT A5481 LYING IN THE NE"/>
    <m/>
    <m/>
  </r>
  <r>
    <s v="ARES54411"/>
    <x v="0"/>
    <x v="0"/>
    <d v="2006-12-20T00:00:00"/>
    <d v="2007-03-01T00:00:00"/>
    <x v="26"/>
    <n v="253.67"/>
    <x v="27"/>
    <x v="2"/>
    <n v="0.5"/>
    <m/>
    <m/>
    <s v="ES018-12/06"/>
    <n v="1019"/>
    <n v="1016"/>
    <n v="2035"/>
    <n v="381"/>
    <m/>
    <m/>
    <m/>
    <x v="34"/>
    <x v="11"/>
    <m/>
    <m/>
    <s v="OUACHITA NATL FOREST"/>
    <s v="5TH PRINCIPAL MERIDIAN, T1N, R30W"/>
    <s v="TRACT A-3089b IN THE W2NW, TRACT A-531 IN E2NW, TRACT A-531a IN SWNE, TRACT A-3064b in SW"/>
    <m/>
    <m/>
  </r>
  <r>
    <s v="ARES54412"/>
    <x v="0"/>
    <x v="0"/>
    <d v="2006-12-20T00:00:00"/>
    <d v="2007-03-01T00:00:00"/>
    <x v="26"/>
    <n v="316.8"/>
    <x v="27"/>
    <x v="2"/>
    <n v="0.5"/>
    <m/>
    <m/>
    <s v="ES019-12/06"/>
    <n v="1239.5"/>
    <n v="1268"/>
    <n v="2507.5"/>
    <n v="634"/>
    <m/>
    <m/>
    <m/>
    <x v="1"/>
    <x v="11"/>
    <m/>
    <m/>
    <s v="OUACHITA NATL FOREST"/>
    <s v="5TH PRINCIPAL MERIDIAN, T1N, R30W"/>
    <s v="SEC 17 SWSW; SEC 18 SENW, E2SW, Fr. NWSW, W2SE, SESE"/>
    <m/>
    <m/>
  </r>
  <r>
    <s v="ARES54445"/>
    <x v="0"/>
    <x v="0"/>
    <d v="2006-12-14T00:00:00"/>
    <d v="2007-03-01T00:00:00"/>
    <x v="26"/>
    <n v="205.01"/>
    <x v="51"/>
    <x v="2"/>
    <n v="0.5"/>
    <m/>
    <m/>
    <s v="ES052-12/06"/>
    <n v="851"/>
    <n v="1442"/>
    <n v="2293"/>
    <n v="412"/>
    <m/>
    <m/>
    <m/>
    <x v="1"/>
    <x v="11"/>
    <m/>
    <m/>
    <s v="OZARK NATL FOREST"/>
    <s v="5TH PRINCIPAL MERIDIAN, T11N,R32W"/>
    <s v="SEC 4 NENE, SEC 6 NWNW,SWSW, SEC 8 SWNE, SEC 12 SWSW"/>
    <m/>
    <m/>
  </r>
  <r>
    <s v="ARES54446"/>
    <x v="0"/>
    <x v="0"/>
    <d v="2006-12-14T00:00:00"/>
    <d v="2007-03-01T00:00:00"/>
    <x v="26"/>
    <n v="279.95"/>
    <x v="51"/>
    <x v="2"/>
    <n v="0.5"/>
    <m/>
    <m/>
    <s v="ES053-12/06"/>
    <n v="1110"/>
    <n v="2240"/>
    <n v="3350"/>
    <n v="560"/>
    <m/>
    <m/>
    <m/>
    <x v="1"/>
    <x v="11"/>
    <m/>
    <m/>
    <s v="OZARK NATL FOREST"/>
    <s v="5TH PRINCIPAL MERIDIAN, T11N,R32W"/>
    <s v="SEC 14 S2SE; SEC 20 SWNW; SEC 24 W2NWNW, W2E2NWNW, S2NW, E2E2NWNW"/>
    <m/>
    <m/>
  </r>
  <r>
    <s v="ARES54499"/>
    <x v="0"/>
    <x v="0"/>
    <d v="2006-12-14T00:00:00"/>
    <d v="2007-03-01T00:00:00"/>
    <x v="26"/>
    <n v="616.38"/>
    <x v="52"/>
    <x v="2"/>
    <n v="0.5"/>
    <m/>
    <m/>
    <s v="ES106-12/06"/>
    <n v="2289.5"/>
    <n v="6170"/>
    <n v="8459.5"/>
    <n v="1234"/>
    <m/>
    <m/>
    <m/>
    <x v="1"/>
    <x v="11"/>
    <m/>
    <m/>
    <s v="OZARK NATL FOREST"/>
    <s v="5TH PRINCIPAL MERIDIAN, T6N,R24W"/>
    <s v="SEC 30 ALL"/>
    <m/>
    <m/>
  </r>
  <r>
    <s v="ARES54508"/>
    <x v="0"/>
    <x v="0"/>
    <d v="2006-12-14T00:00:00"/>
    <d v="2007-03-01T00:00:00"/>
    <x v="26"/>
    <n v="80"/>
    <x v="38"/>
    <x v="2"/>
    <n v="0.5"/>
    <m/>
    <m/>
    <s v="ES115-12/06"/>
    <n v="410"/>
    <n v="480"/>
    <n v="890"/>
    <m/>
    <m/>
    <m/>
    <m/>
    <x v="35"/>
    <x v="11"/>
    <m/>
    <m/>
    <s v="OZARK NATL FOREST"/>
    <s v="5TH PRINCIPAL MERIDIAN, T11N,R26W"/>
    <s v="SEC 2 S2SW  "/>
    <m/>
    <m/>
  </r>
  <r>
    <s v="ARES54509"/>
    <x v="0"/>
    <x v="0"/>
    <d v="2006-12-14T00:00:00"/>
    <d v="2007-03-01T00:00:00"/>
    <x v="26"/>
    <n v="925.03"/>
    <x v="51"/>
    <x v="2"/>
    <n v="0.5"/>
    <m/>
    <m/>
    <s v="ES116-12/06"/>
    <n v="3371"/>
    <n v="0"/>
    <n v="3371"/>
    <n v="1852"/>
    <m/>
    <m/>
    <m/>
    <x v="1"/>
    <x v="11"/>
    <m/>
    <m/>
    <s v="OZARK NATL FOREST"/>
    <s v="5TH PRINCIPAL MERIDIAN, T11N,R32W"/>
    <s v="SEC 2 S2 SWNW LESS 2.5A, SEC 3 NE E2NW NWSW, SEC 4 NWNE SENE NENW PART SWNE CONT. +/-34.69A"/>
    <m/>
    <m/>
  </r>
  <r>
    <s v="ARES54510"/>
    <x v="0"/>
    <x v="0"/>
    <d v="2006-12-14T00:00:00"/>
    <d v="2007-03-01T00:00:00"/>
    <x v="26"/>
    <n v="728.37"/>
    <x v="51"/>
    <x v="2"/>
    <n v="0.5"/>
    <m/>
    <m/>
    <s v="ES117-12/06"/>
    <n v="2681.5"/>
    <n v="0"/>
    <n v="2681.5"/>
    <n v="1458"/>
    <m/>
    <m/>
    <m/>
    <x v="1"/>
    <x v="11"/>
    <m/>
    <m/>
    <s v="OZARK NATL FOREST"/>
    <s v="5TH PRINCIPAL MERIDIAN, T11N,R32W"/>
    <s v="SEC 5 NW; SEC 6 E2, E2W2, SWNW, NWSW"/>
    <m/>
    <m/>
  </r>
  <r>
    <s v="ARES54511"/>
    <x v="0"/>
    <x v="0"/>
    <d v="2006-12-14T00:00:00"/>
    <d v="2007-03-01T00:00:00"/>
    <x v="26"/>
    <n v="176.79"/>
    <x v="51"/>
    <x v="2"/>
    <n v="0.5"/>
    <m/>
    <m/>
    <s v="ES118-12/06"/>
    <n v="749.5"/>
    <n v="1416"/>
    <n v="2165.5"/>
    <n v="354"/>
    <m/>
    <m/>
    <m/>
    <x v="1"/>
    <x v="11"/>
    <m/>
    <m/>
    <s v="OZARK NATL FOREST"/>
    <s v="5TH PRINCIPAL MERIDIAN, T11N,R32W"/>
    <s v="SEC 9 TR B-3184 SENW OF NE +/-141.74A; 3 OTHER SMALL TRACTS; SEC.10 0.31 A IN 2 TRACTS"/>
    <m/>
    <m/>
  </r>
  <r>
    <s v="ARES54512"/>
    <x v="0"/>
    <x v="0"/>
    <d v="2006-12-14T00:00:00"/>
    <d v="2007-03-01T00:00:00"/>
    <x v="26"/>
    <n v="1670.37"/>
    <x v="51"/>
    <x v="2"/>
    <n v="0.5"/>
    <m/>
    <m/>
    <s v="ES119-12/06"/>
    <n v="5978.5"/>
    <n v="0"/>
    <n v="5978.5"/>
    <n v="3342"/>
    <m/>
    <m/>
    <m/>
    <x v="1"/>
    <x v="11"/>
    <m/>
    <m/>
    <s v="OZARK NATL FOREST"/>
    <s v="5TH PRINCIPAL MERIDIAN, T11N,R32W"/>
    <s v="TRACTS IN SEC 13, 14, 19, 20, 21 22, 23, 24, 25; SEE LSE; TOTAL 1670.37 A"/>
    <m/>
    <m/>
  </r>
  <r>
    <s v="ARES54513"/>
    <x v="0"/>
    <x v="0"/>
    <d v="2006-12-14T00:00:00"/>
    <d v="2007-03-01T00:00:00"/>
    <x v="26"/>
    <n v="2139.91"/>
    <x v="51"/>
    <x v="2"/>
    <n v="0.5"/>
    <m/>
    <m/>
    <s v="ES120-12/06"/>
    <n v="7620"/>
    <n v="0"/>
    <n v="7620"/>
    <n v="4280"/>
    <m/>
    <m/>
    <m/>
    <x v="1"/>
    <x v="11"/>
    <m/>
    <m/>
    <s v="OZARK NATL FOREST"/>
    <s v="5TH PRINCIPAL MERIDIAN, T11N,R32W"/>
    <s v="SEC 29 ALL, SEC 30 E2 E2NW SWNW S2NESW, SEC 32 E2, SEC 33 W2NE N2NW SWNW W2SW, SEC 34 W2NE W2 NWSE"/>
    <m/>
    <m/>
  </r>
  <r>
    <s v="ARES54514"/>
    <x v="0"/>
    <x v="0"/>
    <d v="2006-12-14T00:00:00"/>
    <d v="2007-03-01T00:00:00"/>
    <x v="26"/>
    <n v="380"/>
    <x v="53"/>
    <x v="2"/>
    <n v="0.5"/>
    <m/>
    <m/>
    <s v="ES121-12/06"/>
    <n v="1460"/>
    <n v="10640"/>
    <n v="12100"/>
    <n v="760"/>
    <m/>
    <m/>
    <m/>
    <x v="1"/>
    <x v="11"/>
    <m/>
    <m/>
    <s v="OZARK NATL FOREST"/>
    <s v="5TH PRINCIPAL MERIDIAN, T12N,R26W"/>
    <s v="SEC 9 E2NE NWNE N2SWNE E2SW SE"/>
    <m/>
    <m/>
  </r>
  <r>
    <s v="ARES54515"/>
    <x v="0"/>
    <x v="0"/>
    <d v="2006-12-14T00:00:00"/>
    <d v="2007-03-01T00:00:00"/>
    <x v="26"/>
    <n v="320"/>
    <x v="53"/>
    <x v="2"/>
    <n v="0.5"/>
    <m/>
    <m/>
    <s v="ES122-12/06"/>
    <n v="1250"/>
    <n v="8960"/>
    <n v="10210"/>
    <n v="640"/>
    <m/>
    <m/>
    <m/>
    <x v="1"/>
    <x v="11"/>
    <m/>
    <m/>
    <s v="OZARK NATL FOREST"/>
    <s v="5TH PRINCIPAL MERIDIAN, T12N,R26W"/>
    <s v="SEC 16 S2"/>
    <m/>
    <m/>
  </r>
  <r>
    <s v="LAES54518"/>
    <x v="0"/>
    <x v="0"/>
    <d v="2006-12-14T00:00:00"/>
    <d v="2007-03-01T00:00:00"/>
    <x v="26"/>
    <n v="643.97"/>
    <x v="54"/>
    <x v="3"/>
    <n v="0.5"/>
    <m/>
    <m/>
    <s v="ES125-12/06"/>
    <n v="2384"/>
    <n v="0"/>
    <n v="2384"/>
    <n v="1288"/>
    <m/>
    <m/>
    <m/>
    <x v="1"/>
    <x v="11"/>
    <m/>
    <m/>
    <s v="KISATCHIE NATL FOREST"/>
    <s v="LOUISIANA MERIDIAN, T22N,R6W"/>
    <s v="SEC 28 ALL"/>
    <m/>
    <m/>
  </r>
  <r>
    <s v="LAES54519"/>
    <x v="0"/>
    <x v="0"/>
    <d v="2006-12-14T00:00:00"/>
    <d v="2007-03-01T00:00:00"/>
    <x v="26"/>
    <n v="644.96"/>
    <x v="54"/>
    <x v="3"/>
    <n v="0.5"/>
    <m/>
    <m/>
    <s v="ES129-12/06"/>
    <n v="2387.5"/>
    <n v="0"/>
    <n v="2387.5"/>
    <n v="1290"/>
    <m/>
    <m/>
    <m/>
    <x v="1"/>
    <x v="11"/>
    <m/>
    <m/>
    <s v="KISATCHIE NATL FOREST"/>
    <s v="LOUISIANA MERIDIAN, T22N,R6W"/>
    <s v="SEC 29 ALL"/>
    <m/>
    <m/>
  </r>
  <r>
    <s v="LAES54520"/>
    <x v="0"/>
    <x v="0"/>
    <d v="2006-12-14T00:00:00"/>
    <d v="2007-03-01T00:00:00"/>
    <x v="26"/>
    <n v="151.24"/>
    <x v="54"/>
    <x v="3"/>
    <n v="0.5"/>
    <m/>
    <m/>
    <s v="ES127-12/06"/>
    <n v="662"/>
    <n v="0"/>
    <n v="662"/>
    <n v="304"/>
    <m/>
    <m/>
    <m/>
    <x v="1"/>
    <x v="11"/>
    <m/>
    <m/>
    <s v="KISATCHIE NATL FOREST"/>
    <s v="LOUISIANA MERIDIAN, T22N,R6W"/>
    <s v="SEC 3 , S2N2SENE, S2SENE, NESE, S2S2NWSE, S2SE"/>
    <m/>
    <m/>
  </r>
  <r>
    <s v="MSES54527"/>
    <x v="0"/>
    <x v="0"/>
    <d v="2006-12-14T00:00:00"/>
    <d v="2007-03-01T00:00:00"/>
    <x v="26"/>
    <n v="242.4"/>
    <x v="55"/>
    <x v="4"/>
    <n v="0.5"/>
    <m/>
    <m/>
    <s v="ES134-12/06"/>
    <n v="980.5"/>
    <n v="52974"/>
    <n v="53954.5"/>
    <n v="486"/>
    <m/>
    <m/>
    <m/>
    <x v="1"/>
    <x v="11"/>
    <m/>
    <m/>
    <s v="BIENVILLE NATL FOREST"/>
    <s v="CHOCTAW MERIDIAN, T3N,R7E"/>
    <s v="SEC 22, S2SW,SE"/>
    <m/>
    <m/>
  </r>
  <r>
    <s v="MSES54528"/>
    <x v="0"/>
    <x v="0"/>
    <d v="2006-12-14T00:00:00"/>
    <d v="2007-03-01T00:00:00"/>
    <x v="26"/>
    <n v="120"/>
    <x v="55"/>
    <x v="4"/>
    <n v="0.5"/>
    <m/>
    <m/>
    <s v="ES135-12/06"/>
    <n v="550"/>
    <n v="44160"/>
    <n v="44710"/>
    <n v="240"/>
    <m/>
    <m/>
    <m/>
    <x v="1"/>
    <x v="11"/>
    <m/>
    <m/>
    <s v="BIENVILLE NATL FOREST"/>
    <s v="CHOCTAW MERIDIAN, T4N,R6E"/>
    <s v="SEC 1, N2NE, SEC 2, SWNE"/>
    <m/>
    <m/>
  </r>
  <r>
    <s v="MSES54529"/>
    <x v="0"/>
    <x v="0"/>
    <d v="2006-12-14T00:00:00"/>
    <d v="2007-03-01T00:00:00"/>
    <x v="26"/>
    <n v="443.3"/>
    <x v="55"/>
    <x v="4"/>
    <n v="0.5"/>
    <m/>
    <m/>
    <s v="ES136-12/06"/>
    <n v="1684"/>
    <n v="181152"/>
    <n v="182836"/>
    <n v="888"/>
    <m/>
    <m/>
    <m/>
    <x v="1"/>
    <x v="11"/>
    <m/>
    <m/>
    <s v="BIENVILLE NATL FOREST"/>
    <s v="CHOCTAW MERIDIAN, T4N,R7E"/>
    <s v="SEC 6, W2E2, NW, N2SW, SESW"/>
    <m/>
    <m/>
  </r>
  <r>
    <s v="MSES54530"/>
    <x v="0"/>
    <x v="0"/>
    <d v="2006-12-14T00:00:00"/>
    <d v="2007-03-01T00:00:00"/>
    <x v="26"/>
    <n v="701.58"/>
    <x v="55"/>
    <x v="4"/>
    <n v="0.5"/>
    <m/>
    <m/>
    <s v="ES137-12/06"/>
    <n v="2587"/>
    <n v="4914"/>
    <n v="7501"/>
    <n v="1404"/>
    <m/>
    <m/>
    <m/>
    <x v="1"/>
    <x v="11"/>
    <m/>
    <m/>
    <s v="BIENVILLE NATL FOREST"/>
    <s v="CHOCTAW MERIDIAN, T4N,R8E"/>
    <s v="SEC 1, PART, SEC 3, PART, SEC 5, E2E2 (SEE LEASE ATTACHMENT  FOR SEC 1 &amp; 3 DETAILS)"/>
    <m/>
    <m/>
  </r>
  <r>
    <s v="MSES54531"/>
    <x v="0"/>
    <x v="0"/>
    <d v="2006-12-14T00:00:00"/>
    <d v="2007-03-01T00:00:00"/>
    <x v="26"/>
    <n v="604.98"/>
    <x v="55"/>
    <x v="4"/>
    <n v="0.5"/>
    <m/>
    <m/>
    <s v="ES138-12/06"/>
    <n v="2247.5"/>
    <n v="4235"/>
    <n v="6482.5"/>
    <n v="1210"/>
    <m/>
    <m/>
    <m/>
    <x v="1"/>
    <x v="11"/>
    <m/>
    <m/>
    <s v="BIENVILLE NATL FOREST"/>
    <s v="CHOCTAW MERIDIAN, T4N,R8E"/>
    <s v="SEC 2, W2W2,SESW,S2SE; SEC 4, NWNE,NENW,N2SENW,W2W2,SESW "/>
    <m/>
    <m/>
  </r>
  <r>
    <s v="MSES54532"/>
    <x v="0"/>
    <x v="0"/>
    <d v="2006-12-14T00:00:00"/>
    <d v="2007-03-01T00:00:00"/>
    <x v="26"/>
    <n v="473.62"/>
    <x v="55"/>
    <x v="4"/>
    <n v="0.5"/>
    <m/>
    <m/>
    <s v="ES139-12/06"/>
    <n v="1789"/>
    <n v="3792"/>
    <n v="5581"/>
    <n v="948"/>
    <m/>
    <m/>
    <m/>
    <x v="1"/>
    <x v="11"/>
    <m/>
    <m/>
    <s v="BIENVILLE NATL FOREST"/>
    <s v="CHOCTAW MERIDIAN, T4N,R8E"/>
    <s v="SEC 9, W2NW,E2SW,N2NWSW,E2SWSW,S2SE; SEC 10 SEE LEASE ATTACHMENT"/>
    <m/>
    <m/>
  </r>
  <r>
    <s v="MSES54533"/>
    <x v="0"/>
    <x v="0"/>
    <d v="2006-12-14T00:00:00"/>
    <d v="2007-03-01T00:00:00"/>
    <x v="26"/>
    <n v="713.18"/>
    <x v="55"/>
    <x v="4"/>
    <n v="0.5"/>
    <m/>
    <m/>
    <s v="ES140-12/06"/>
    <n v="2629"/>
    <n v="7140"/>
    <n v="9769"/>
    <n v="1428"/>
    <m/>
    <m/>
    <m/>
    <x v="1"/>
    <x v="11"/>
    <m/>
    <m/>
    <s v="BIENVILLE NATL FOREST"/>
    <s v="CHOCTAW MERIDIAN, T4N,R8E"/>
    <s v="SEC 11, NENE,N2SENE,W2NE,W2,NWSE,E2SWSE; SEC12 SWNE, W2NW,S2SE"/>
    <m/>
    <m/>
  </r>
  <r>
    <s v="MSES54534"/>
    <x v="0"/>
    <x v="0"/>
    <d v="2006-12-14T00:00:00"/>
    <d v="2007-03-01T00:00:00"/>
    <x v="26"/>
    <n v="1138.28"/>
    <x v="55"/>
    <x v="4"/>
    <n v="0.5"/>
    <m/>
    <m/>
    <s v="ES141-12/06"/>
    <n v="4116.5"/>
    <n v="14807"/>
    <n v="18923.5"/>
    <n v="2278"/>
    <m/>
    <m/>
    <m/>
    <x v="1"/>
    <x v="11"/>
    <m/>
    <m/>
    <s v="BIENVILLE NATL FOREST"/>
    <s v="CHOCTAW MERIDIAN, T4N,R8E"/>
    <s v="SEC 13, W2NE,S2NW,W2SW,SESW,N2SE; SEC 14 W2,NESE,S2SE; SEC 15 SEE LEASE ATTCHMENT"/>
    <m/>
    <m/>
  </r>
  <r>
    <s v="MSES54535"/>
    <x v="0"/>
    <x v="0"/>
    <d v="2006-12-14T00:00:00"/>
    <d v="2007-03-01T00:00:00"/>
    <x v="26"/>
    <n v="57.55"/>
    <x v="55"/>
    <x v="4"/>
    <n v="0.5"/>
    <m/>
    <m/>
    <s v="ES142-12/06"/>
    <n v="333"/>
    <n v="928"/>
    <n v="1261"/>
    <n v="116"/>
    <m/>
    <m/>
    <m/>
    <x v="1"/>
    <x v="11"/>
    <m/>
    <m/>
    <s v="BIENVILLE NATL FOREST"/>
    <s v="CHOCTAW MERIDIAN, T4N,R8E"/>
    <s v="SEC 22, SEE LEASE ATTACHMENT; SEC 23, W2NESE"/>
    <m/>
    <m/>
  </r>
  <r>
    <s v="MSES54536"/>
    <x v="0"/>
    <x v="0"/>
    <d v="2006-12-14T00:00:00"/>
    <d v="2007-03-01T00:00:00"/>
    <x v="26"/>
    <n v="331.55"/>
    <x v="55"/>
    <x v="4"/>
    <n v="0.5"/>
    <m/>
    <m/>
    <s v="ES143-12/06"/>
    <n v="1292"/>
    <n v="5644"/>
    <n v="6936"/>
    <n v="664"/>
    <m/>
    <m/>
    <m/>
    <x v="1"/>
    <x v="11"/>
    <m/>
    <m/>
    <s v="BIENVILLE NATL FOREST"/>
    <s v="CHOCTAW MERIDIAN, T4N,R8E"/>
    <s v="SEC 25, W2E2(?),EAST 10 AC OF NENW,NWNW,S2NW.NENSW,E2NWSW"/>
    <m/>
    <m/>
  </r>
  <r>
    <s v="MSES54537"/>
    <x v="0"/>
    <x v="0"/>
    <d v="2006-12-14T00:00:00"/>
    <d v="2007-03-01T00:00:00"/>
    <x v="26"/>
    <n v="190"/>
    <x v="55"/>
    <x v="4"/>
    <n v="0.5"/>
    <m/>
    <m/>
    <s v="ES144-12/06"/>
    <n v="795"/>
    <n v="3420"/>
    <n v="4215"/>
    <n v="380"/>
    <m/>
    <m/>
    <m/>
    <x v="1"/>
    <x v="11"/>
    <m/>
    <m/>
    <s v="BIENVILLE NATL FOREST"/>
    <s v="CHOCTAW MERIDIAN, T4N,R8E"/>
    <s v="SEC 27, SENE, NWNW, E2SE, EAST 30 A OF NWSE"/>
    <m/>
    <m/>
  </r>
  <r>
    <s v="MSES54538"/>
    <x v="0"/>
    <x v="0"/>
    <d v="2006-12-14T00:00:00"/>
    <d v="2007-03-01T00:00:00"/>
    <x v="26"/>
    <n v="40"/>
    <x v="13"/>
    <x v="4"/>
    <n v="0.5"/>
    <m/>
    <m/>
    <s v="ES145-12/06"/>
    <n v="270"/>
    <n v="160"/>
    <n v="430"/>
    <n v="80"/>
    <m/>
    <m/>
    <m/>
    <x v="1"/>
    <x v="11"/>
    <m/>
    <m/>
    <s v="DESOTO NATL FOREST"/>
    <s v="ST STEPHENS MERIDIAN, T6N,R7W"/>
    <s v="SEC 12, SWNW"/>
    <m/>
    <m/>
  </r>
  <r>
    <s v="MSES54539"/>
    <x v="0"/>
    <x v="0"/>
    <d v="2006-12-14T00:00:00"/>
    <d v="2007-03-01T00:00:00"/>
    <x v="26"/>
    <n v="649.5"/>
    <x v="13"/>
    <x v="4"/>
    <n v="0.5"/>
    <m/>
    <m/>
    <s v="ES146-12/06"/>
    <n v="2405"/>
    <n v="2600"/>
    <n v="5005"/>
    <n v="1300"/>
    <m/>
    <m/>
    <m/>
    <x v="1"/>
    <x v="11"/>
    <m/>
    <m/>
    <s v="DESOTO NATL FOREST"/>
    <s v="ST STEPHENS MERIDIAN, T6N,R7W"/>
    <s v="SEC 5, ALL"/>
    <m/>
    <m/>
  </r>
  <r>
    <s v="MSES54540"/>
    <x v="0"/>
    <x v="0"/>
    <d v="2006-12-14T00:00:00"/>
    <d v="2007-03-01T00:00:00"/>
    <x v="26"/>
    <n v="587.44000000000005"/>
    <x v="13"/>
    <x v="4"/>
    <n v="0.5"/>
    <m/>
    <m/>
    <s v="ES147-12/06"/>
    <n v="2188"/>
    <n v="2352"/>
    <n v="4540"/>
    <n v="1176"/>
    <m/>
    <m/>
    <m/>
    <x v="1"/>
    <x v="11"/>
    <m/>
    <m/>
    <s v="DESOTO NATL FOREST"/>
    <s v="ST STEPHENS MERIDIAN, T6N,R7W"/>
    <s v="SEC 7, N2,N2SW,SWSW,SE"/>
    <m/>
    <m/>
  </r>
  <r>
    <s v="MSES54541"/>
    <x v="0"/>
    <x v="0"/>
    <d v="2006-12-14T00:00:00"/>
    <d v="2007-03-01T00:00:00"/>
    <x v="26"/>
    <n v="561.49"/>
    <x v="13"/>
    <x v="4"/>
    <n v="0.5"/>
    <m/>
    <m/>
    <s v="ES148-12/06"/>
    <n v="2097"/>
    <n v="60696"/>
    <n v="62793"/>
    <n v="1124"/>
    <m/>
    <m/>
    <m/>
    <x v="1"/>
    <x v="11"/>
    <m/>
    <m/>
    <s v="DESOTO NATL FOREST"/>
    <s v="ST STEPHENS MERIDIAN, T6N,R7W"/>
    <s v="SEC 9, E2,N2NW,SW"/>
    <m/>
    <m/>
  </r>
  <r>
    <s v="MSES54542"/>
    <x v="0"/>
    <x v="0"/>
    <d v="2006-12-14T00:00:00"/>
    <d v="2007-03-01T00:00:00"/>
    <x v="26"/>
    <n v="643.29999999999995"/>
    <x v="13"/>
    <x v="4"/>
    <n v="0.5"/>
    <m/>
    <m/>
    <s v="ES149-12/06"/>
    <n v="2384"/>
    <n v="0"/>
    <n v="2384"/>
    <n v="1288"/>
    <m/>
    <m/>
    <m/>
    <x v="1"/>
    <x v="11"/>
    <m/>
    <m/>
    <s v="DESOTO NATL FOREST"/>
    <s v="ST STEPHENS MERIDIAN, T6N,R7W"/>
    <s v="SEC 10, ALL"/>
    <m/>
    <m/>
  </r>
  <r>
    <s v="MSES54543"/>
    <x v="0"/>
    <x v="0"/>
    <d v="2006-12-14T00:00:00"/>
    <d v="2007-03-01T00:00:00"/>
    <x v="26"/>
    <n v="280"/>
    <x v="13"/>
    <x v="4"/>
    <n v="0.5"/>
    <m/>
    <m/>
    <s v="ES150-12/06"/>
    <n v="1110"/>
    <n v="0"/>
    <n v="1110"/>
    <n v="560"/>
    <m/>
    <m/>
    <m/>
    <x v="1"/>
    <x v="11"/>
    <m/>
    <m/>
    <s v="DESOTO NATL FOREST"/>
    <s v="ST STEPHENS MERIDIAN, T6N,R7W"/>
    <s v="SEC 12, SW,W2SE,SESE"/>
    <m/>
    <m/>
  </r>
  <r>
    <s v="MSES54544"/>
    <x v="0"/>
    <x v="0"/>
    <d v="2006-12-14T00:00:00"/>
    <d v="2007-03-01T00:00:00"/>
    <x v="26"/>
    <n v="642.5"/>
    <x v="13"/>
    <x v="4"/>
    <n v="0.5"/>
    <m/>
    <m/>
    <s v="ES151-12/06"/>
    <n v="2380.5"/>
    <n v="0"/>
    <n v="2380.5"/>
    <n v="1286"/>
    <m/>
    <m/>
    <m/>
    <x v="1"/>
    <x v="11"/>
    <m/>
    <m/>
    <s v="DESOTO NATL FOREST"/>
    <s v="ST STEPHENS MERIDIAN, T6N,R7W"/>
    <s v="SEC 21, ALL"/>
    <m/>
    <m/>
  </r>
  <r>
    <s v="MSES54545"/>
    <x v="0"/>
    <x v="0"/>
    <d v="2006-12-14T00:00:00"/>
    <d v="2007-03-01T00:00:00"/>
    <x v="26"/>
    <n v="321.58"/>
    <x v="13"/>
    <x v="4"/>
    <n v="0.5"/>
    <m/>
    <m/>
    <s v="ES152-12/06"/>
    <n v="1257"/>
    <n v="0"/>
    <n v="1257"/>
    <n v="644"/>
    <m/>
    <m/>
    <m/>
    <x v="1"/>
    <x v="11"/>
    <m/>
    <m/>
    <s v="DESOTO NATL FOREST"/>
    <s v="ST STEPHENS MERIDIAN, T6N,R7W"/>
    <s v="SEC 23, NWNE,N2NW,SWNW,NESW,S2SE,SWSW"/>
    <m/>
    <m/>
  </r>
  <r>
    <s v="MSES54546"/>
    <x v="0"/>
    <x v="0"/>
    <d v="2006-12-14T00:00:00"/>
    <d v="2007-03-01T00:00:00"/>
    <x v="26"/>
    <n v="602.80999999999995"/>
    <x v="13"/>
    <x v="4"/>
    <n v="0.5"/>
    <m/>
    <m/>
    <s v="ES153-12/06"/>
    <n v="2240.5"/>
    <n v="0"/>
    <n v="2240.5"/>
    <n v="1206"/>
    <m/>
    <m/>
    <m/>
    <x v="1"/>
    <x v="11"/>
    <m/>
    <m/>
    <s v="DESOTO NATL FOREST"/>
    <s v="ST STEPHENS MERIDIAN, T6N,R7W"/>
    <s v="SEC 26, N2,N2S2,S2SW,SWSE"/>
    <m/>
    <m/>
  </r>
  <r>
    <s v="MSES54547"/>
    <x v="0"/>
    <x v="0"/>
    <d v="2006-12-14T00:00:00"/>
    <d v="2007-03-01T00:00:00"/>
    <x v="26"/>
    <n v="39.68"/>
    <x v="13"/>
    <x v="4"/>
    <n v="0.5"/>
    <m/>
    <m/>
    <s v="ES154-12/06"/>
    <n v="270"/>
    <n v="4320"/>
    <n v="4590"/>
    <n v="80"/>
    <m/>
    <m/>
    <m/>
    <x v="1"/>
    <x v="11"/>
    <m/>
    <m/>
    <s v="DESOTO NATL FOREST"/>
    <s v="ST STEPHENS MERIDIAN, T6N,R7W"/>
    <s v="SEC 31, NENE"/>
    <m/>
    <m/>
  </r>
  <r>
    <s v="MSES54548"/>
    <x v="0"/>
    <x v="0"/>
    <d v="2006-12-14T00:00:00"/>
    <d v="2007-03-01T00:00:00"/>
    <x v="26"/>
    <n v="57.05"/>
    <x v="13"/>
    <x v="4"/>
    <n v="0.5"/>
    <m/>
    <m/>
    <s v="ES155-12/06"/>
    <n v="333"/>
    <n v="0"/>
    <n v="333"/>
    <n v="116"/>
    <m/>
    <m/>
    <m/>
    <x v="1"/>
    <x v="11"/>
    <m/>
    <m/>
    <s v="DESOTO NATL FOREST"/>
    <s v="ST STEPHENS MERIDIAN, T6N,R7W"/>
    <s v="SEC 32, N 17A OF NWNW, SWNE"/>
    <m/>
    <m/>
  </r>
  <r>
    <s v="MSES54549"/>
    <x v="0"/>
    <x v="0"/>
    <d v="2006-12-14T00:00:00"/>
    <d v="2007-03-01T00:00:00"/>
    <x v="26"/>
    <n v="640"/>
    <x v="13"/>
    <x v="4"/>
    <n v="0.5"/>
    <m/>
    <m/>
    <s v="ES156-12/06"/>
    <n v="2370"/>
    <n v="0"/>
    <n v="2370"/>
    <n v="1280"/>
    <m/>
    <m/>
    <m/>
    <x v="1"/>
    <x v="11"/>
    <m/>
    <m/>
    <s v="DESOTO NATL FOREST"/>
    <s v="ST STEPHENS MERIDIAN, T6N,R7W"/>
    <s v="SEC 36, ALL"/>
    <m/>
    <m/>
  </r>
  <r>
    <s v="MSES54550"/>
    <x v="0"/>
    <x v="0"/>
    <d v="2006-12-14T00:00:00"/>
    <d v="2007-03-01T00:00:00"/>
    <x v="26"/>
    <n v="40"/>
    <x v="36"/>
    <x v="4"/>
    <n v="0.5"/>
    <m/>
    <m/>
    <s v="ES157-12/06"/>
    <n v="270"/>
    <n v="160"/>
    <n v="430"/>
    <n v="80"/>
    <m/>
    <m/>
    <m/>
    <x v="1"/>
    <x v="11"/>
    <m/>
    <m/>
    <s v="DESOTO NATL FOREST"/>
    <s v="ST STEPHENS MERIDIAN, T6N,R10W"/>
    <s v="SEC 1, SENE"/>
    <m/>
    <m/>
  </r>
  <r>
    <s v="MSES54551"/>
    <x v="0"/>
    <x v="0"/>
    <d v="2006-12-14T00:00:00"/>
    <d v="2007-03-01T00:00:00"/>
    <x v="26"/>
    <n v="478.73"/>
    <x v="36"/>
    <x v="4"/>
    <n v="0.5"/>
    <m/>
    <m/>
    <s v="ES158-12/06"/>
    <n v="1806.5"/>
    <n v="0"/>
    <n v="1806.5"/>
    <n v="958"/>
    <m/>
    <m/>
    <m/>
    <x v="1"/>
    <x v="11"/>
    <m/>
    <m/>
    <s v="DESOTO NATL FOREST"/>
    <s v="ST STEPHENS MERIDIAN, T6N,R10W"/>
    <s v="SEC 2, NWNE,S2NE,NENW,W2NW,W2SW,SESW,NESW LESS 60 A (SEE LSE ATTACHMENT FOR M&amp;B), W2SE"/>
    <m/>
    <m/>
  </r>
  <r>
    <s v="MSES54552"/>
    <x v="0"/>
    <x v="0"/>
    <d v="2006-12-14T00:00:00"/>
    <d v="2007-03-01T00:00:00"/>
    <x v="26"/>
    <n v="644"/>
    <x v="36"/>
    <x v="4"/>
    <n v="0.5"/>
    <m/>
    <m/>
    <s v="ES159-12/06"/>
    <n v="2384"/>
    <n v="0"/>
    <n v="2384"/>
    <n v="1288"/>
    <m/>
    <m/>
    <m/>
    <x v="1"/>
    <x v="11"/>
    <m/>
    <m/>
    <s v="DESOTO NATL FOREST"/>
    <s v="ST STEPHENS MERIDIAN, T6N,R10W"/>
    <s v="SEC 4, ALL"/>
    <m/>
    <m/>
  </r>
  <r>
    <s v="MSES54553"/>
    <x v="0"/>
    <x v="0"/>
    <d v="2006-12-14T00:00:00"/>
    <d v="2007-03-01T00:00:00"/>
    <x v="26"/>
    <n v="643.70000000000005"/>
    <x v="36"/>
    <x v="4"/>
    <n v="0.5"/>
    <m/>
    <m/>
    <s v="ES160-12/06"/>
    <n v="2384"/>
    <n v="2576"/>
    <n v="4960"/>
    <n v="1288"/>
    <m/>
    <m/>
    <m/>
    <x v="1"/>
    <x v="11"/>
    <m/>
    <m/>
    <s v="DESOTO NATL FOREST"/>
    <s v="ST STEPHENS MERIDIAN, T6N,R10W"/>
    <s v="SEC 5, ALL"/>
    <m/>
    <m/>
  </r>
  <r>
    <s v="MSES54554"/>
    <x v="0"/>
    <x v="0"/>
    <d v="2006-12-14T00:00:00"/>
    <d v="2007-03-01T00:00:00"/>
    <x v="26"/>
    <n v="79.88"/>
    <x v="36"/>
    <x v="4"/>
    <n v="0.5"/>
    <m/>
    <m/>
    <s v="ES161-12/06"/>
    <n v="410"/>
    <n v="0"/>
    <n v="410"/>
    <n v="160"/>
    <m/>
    <m/>
    <m/>
    <x v="1"/>
    <x v="11"/>
    <m/>
    <m/>
    <s v="DESOTO NATL FOREST"/>
    <s v="ST STEPHENS MERIDIAN, T6N,R10W"/>
    <s v="SEC 23, SENE, NESE"/>
    <m/>
    <m/>
  </r>
  <r>
    <s v="MSES54557"/>
    <x v="0"/>
    <x v="0"/>
    <d v="2006-12-14T00:00:00"/>
    <d v="2007-03-01T00:00:00"/>
    <x v="26"/>
    <n v="200.62"/>
    <x v="34"/>
    <x v="4"/>
    <n v="0.5"/>
    <m/>
    <m/>
    <s v="ES164-12/06"/>
    <n v="833.5"/>
    <n v="35778"/>
    <n v="36611.5"/>
    <n v="402"/>
    <m/>
    <m/>
    <m/>
    <x v="36"/>
    <x v="11"/>
    <m/>
    <m/>
    <s v="DESOTO NATL FOREST"/>
    <s v="ST STEPHENS MERIDIAN, T2S,R10W"/>
    <s v="SEC 3, N2NE,SWNE,E2SW"/>
    <m/>
    <m/>
  </r>
  <r>
    <s v="MSES54558"/>
    <x v="0"/>
    <x v="0"/>
    <d v="2006-12-14T00:00:00"/>
    <d v="2007-03-01T00:00:00"/>
    <x v="26"/>
    <n v="638.52"/>
    <x v="34"/>
    <x v="4"/>
    <n v="0.5"/>
    <m/>
    <m/>
    <s v="ES165-12/06"/>
    <n v="2366.5"/>
    <n v="21087"/>
    <n v="23453.5"/>
    <n v="1278"/>
    <m/>
    <m/>
    <m/>
    <x v="36"/>
    <x v="11"/>
    <m/>
    <m/>
    <s v="DESOTO NATL FOREST"/>
    <s v="ST STEPHENS MERIDIAN, T2S,R10W"/>
    <s v="SEC 17, ALL LESS 0.92 A DESCRIBED IN M&amp;B IN LSE ATTACHMENT"/>
    <m/>
    <m/>
  </r>
  <r>
    <s v="MSES54562"/>
    <x v="0"/>
    <x v="0"/>
    <d v="2006-12-14T00:00:00"/>
    <d v="2007-03-01T00:00:00"/>
    <x v="26"/>
    <n v="640"/>
    <x v="34"/>
    <x v="4"/>
    <n v="0.5"/>
    <m/>
    <m/>
    <s v="ES169-12/06"/>
    <n v="2370"/>
    <n v="1920"/>
    <n v="4290"/>
    <n v="1280"/>
    <m/>
    <m/>
    <m/>
    <x v="36"/>
    <x v="11"/>
    <m/>
    <m/>
    <s v="DESOTO NATL FOREST"/>
    <s v="ST STEPHENS MERIDIAN, T4S,R9W"/>
    <s v="SEC 4, ALL"/>
    <m/>
    <m/>
  </r>
  <r>
    <s v="MSES54563"/>
    <x v="0"/>
    <x v="0"/>
    <d v="2006-12-14T00:00:00"/>
    <d v="2007-03-01T00:00:00"/>
    <x v="26"/>
    <n v="440.28"/>
    <x v="34"/>
    <x v="4"/>
    <n v="0.5"/>
    <m/>
    <m/>
    <s v="ES170-12/06"/>
    <n v="1673.5"/>
    <n v="1323"/>
    <n v="2996.5"/>
    <n v="882"/>
    <m/>
    <m/>
    <m/>
    <x v="36"/>
    <x v="11"/>
    <m/>
    <m/>
    <s v="DESOTO NATL FOREST"/>
    <s v="ST STEPHENS MERIDIAN, T4S,R9W"/>
    <s v="SEC 5, S2,W2NW,NENW"/>
    <m/>
    <m/>
  </r>
  <r>
    <s v="MSES54564"/>
    <x v="0"/>
    <x v="0"/>
    <d v="2006-12-14T00:00:00"/>
    <d v="2007-03-01T00:00:00"/>
    <x v="26"/>
    <n v="588.12"/>
    <x v="34"/>
    <x v="4"/>
    <n v="0.5"/>
    <m/>
    <m/>
    <s v="ES171-12/06"/>
    <n v="2191.5"/>
    <n v="2356"/>
    <n v="4547.5"/>
    <n v="1178"/>
    <m/>
    <m/>
    <m/>
    <x v="36"/>
    <x v="11"/>
    <m/>
    <m/>
    <s v="DESOTO NATL FOREST"/>
    <s v="ST STEPHENS MERIDIAN, T4S,R9W"/>
    <s v="SEC 6, NE LESS 14 A IN SENE; E2NW, SWNW, S2"/>
    <m/>
    <m/>
  </r>
  <r>
    <s v="MSES54565"/>
    <x v="0"/>
    <x v="0"/>
    <d v="2006-12-14T00:00:00"/>
    <d v="2007-03-01T00:00:00"/>
    <x v="26"/>
    <n v="642.96"/>
    <x v="34"/>
    <x v="4"/>
    <n v="0.5"/>
    <m/>
    <m/>
    <s v="ES172-12/06"/>
    <n v="2380.5"/>
    <n v="2572"/>
    <n v="4952.5"/>
    <n v="1286"/>
    <m/>
    <m/>
    <m/>
    <x v="36"/>
    <x v="11"/>
    <m/>
    <m/>
    <s v="DESOTO NATL FOREST"/>
    <s v="ST STEPHENS MERIDIAN, T4S,R9W"/>
    <s v="SEC 7 ALL  (642.40 A ?)"/>
    <m/>
    <m/>
  </r>
  <r>
    <s v="MSES54566"/>
    <x v="0"/>
    <x v="0"/>
    <d v="2006-12-14T00:00:00"/>
    <d v="2007-03-01T00:00:00"/>
    <x v="26"/>
    <n v="640.32000000000005"/>
    <x v="34"/>
    <x v="4"/>
    <n v="0.5"/>
    <m/>
    <m/>
    <s v="ES173-12/06"/>
    <n v="2373.5"/>
    <n v="2564"/>
    <n v="4937.5"/>
    <n v="1282"/>
    <m/>
    <m/>
    <m/>
    <x v="36"/>
    <x v="11"/>
    <m/>
    <m/>
    <s v="DESOTO NATL FOREST"/>
    <s v="ST STEPHENS MERIDIAN, T4S,R9W"/>
    <s v="SEC 8, ALL"/>
    <m/>
    <m/>
  </r>
  <r>
    <s v="MSES54567"/>
    <x v="0"/>
    <x v="0"/>
    <d v="2006-12-14T00:00:00"/>
    <d v="2007-03-01T00:00:00"/>
    <x v="26"/>
    <n v="640"/>
    <x v="34"/>
    <x v="4"/>
    <n v="0.5"/>
    <m/>
    <m/>
    <s v="ES174-12/06"/>
    <n v="2370"/>
    <n v="2560"/>
    <n v="4930"/>
    <n v="1280"/>
    <m/>
    <m/>
    <m/>
    <x v="36"/>
    <x v="11"/>
    <m/>
    <m/>
    <s v="DESOTO NATL FOREST"/>
    <s v="ST STEPHENS MERIDIAN, T4S,R9W"/>
    <s v="SEC 9, ALL"/>
    <m/>
    <m/>
  </r>
  <r>
    <s v="MSES54568"/>
    <x v="0"/>
    <x v="0"/>
    <d v="2006-12-14T00:00:00"/>
    <d v="2007-03-01T00:00:00"/>
    <x v="26"/>
    <n v="640"/>
    <x v="18"/>
    <x v="4"/>
    <n v="0.5"/>
    <m/>
    <m/>
    <s v="ES175-12/06"/>
    <n v="2370"/>
    <n v="0"/>
    <n v="2370"/>
    <n v="1280"/>
    <m/>
    <m/>
    <m/>
    <x v="36"/>
    <x v="11"/>
    <m/>
    <m/>
    <s v="DESOTO NATL FOREST"/>
    <s v="ST STEPHENS MERIDIAN, T4S,R9W"/>
    <s v="SEC 15, ALL"/>
    <m/>
    <m/>
  </r>
  <r>
    <s v="MSES54569"/>
    <x v="0"/>
    <x v="0"/>
    <d v="2006-12-14T00:00:00"/>
    <d v="2007-03-01T00:00:00"/>
    <x v="26"/>
    <n v="360"/>
    <x v="34"/>
    <x v="4"/>
    <n v="0.5"/>
    <m/>
    <m/>
    <s v="ES176-12/06"/>
    <n v="1390"/>
    <n v="1800"/>
    <n v="3190"/>
    <n v="720"/>
    <m/>
    <m/>
    <m/>
    <x v="36"/>
    <x v="11"/>
    <m/>
    <m/>
    <s v="DESOTO NATL FOREST"/>
    <s v="ST STEPHENS MERIDIAN, T4S,R9W"/>
    <s v="SEC 17, W2SW,E2NE,SWNE,N2SE,N2NW"/>
    <m/>
    <m/>
  </r>
  <r>
    <s v="MSES54570"/>
    <x v="0"/>
    <x v="0"/>
    <d v="2006-12-14T00:00:00"/>
    <d v="2007-03-01T00:00:00"/>
    <x v="26"/>
    <n v="643.36"/>
    <x v="34"/>
    <x v="4"/>
    <n v="0.5"/>
    <m/>
    <m/>
    <s v="ES177-12/06"/>
    <n v="2384"/>
    <n v="3864"/>
    <n v="6248"/>
    <n v="1288"/>
    <m/>
    <m/>
    <m/>
    <x v="36"/>
    <x v="11"/>
    <m/>
    <m/>
    <s v="DESOTO NATL FOREST"/>
    <s v="ST STEPHENS MERIDIAN, T4S,R9W"/>
    <s v="SEC 18, ALL"/>
    <m/>
    <m/>
  </r>
  <r>
    <s v="MSES54571"/>
    <x v="0"/>
    <x v="0"/>
    <d v="2006-12-14T00:00:00"/>
    <d v="2007-03-01T00:00:00"/>
    <x v="26"/>
    <n v="642.96"/>
    <x v="34"/>
    <x v="4"/>
    <n v="0.5"/>
    <m/>
    <m/>
    <s v="ES178-12/06"/>
    <n v="2380.5"/>
    <n v="4501"/>
    <n v="6881.5"/>
    <n v="1286"/>
    <m/>
    <m/>
    <m/>
    <x v="36"/>
    <x v="11"/>
    <m/>
    <m/>
    <s v="DESOTO NATL FOREST"/>
    <s v="ST STEPHENS MERIDIAN, T4S,R9W"/>
    <s v="SEC 19, ALL"/>
    <m/>
    <m/>
  </r>
  <r>
    <s v="MSES54572"/>
    <x v="0"/>
    <x v="0"/>
    <d v="2006-12-14T00:00:00"/>
    <d v="2007-03-01T00:00:00"/>
    <x v="26"/>
    <n v="800"/>
    <x v="34"/>
    <x v="4"/>
    <n v="0.5"/>
    <m/>
    <m/>
    <s v="ES179-12/06"/>
    <n v="2930"/>
    <n v="4800"/>
    <n v="7730"/>
    <n v="1600"/>
    <m/>
    <m/>
    <m/>
    <x v="1"/>
    <x v="11"/>
    <m/>
    <m/>
    <s v="DESOTO NATL FOREST"/>
    <s v="ST STEPHENS MERIDIAN, T4S,R9W"/>
    <s v="SEC 20, S2NE,NW,E2SW,SE; SEC21, N2"/>
    <m/>
    <m/>
  </r>
  <r>
    <s v="MSES54573"/>
    <x v="0"/>
    <x v="0"/>
    <d v="2006-12-14T00:00:00"/>
    <d v="2007-03-01T00:00:00"/>
    <x v="26"/>
    <n v="640"/>
    <x v="34"/>
    <x v="4"/>
    <n v="0.5"/>
    <m/>
    <m/>
    <s v="ES180-12/06"/>
    <n v="2370"/>
    <n v="1280"/>
    <n v="3650"/>
    <n v="1280"/>
    <m/>
    <m/>
    <m/>
    <x v="1"/>
    <x v="11"/>
    <m/>
    <m/>
    <s v="DESOTO NATL FOREST"/>
    <s v="ST STEPHENS MERIDIAN, T4S,R9W"/>
    <s v="SEC 22, ALL"/>
    <m/>
    <m/>
  </r>
  <r>
    <s v="MSES54574"/>
    <x v="0"/>
    <x v="0"/>
    <d v="2006-12-14T00:00:00"/>
    <d v="2007-03-01T00:00:00"/>
    <x v="26"/>
    <n v="479.4"/>
    <x v="34"/>
    <x v="4"/>
    <n v="0.5"/>
    <m/>
    <m/>
    <s v="ES181-12/06"/>
    <n v="1810"/>
    <n v="1920"/>
    <n v="3730"/>
    <n v="960"/>
    <m/>
    <m/>
    <m/>
    <x v="1"/>
    <x v="11"/>
    <m/>
    <m/>
    <s v="DESOTO NATL FOREST"/>
    <s v="ST STEPHENS MERIDIAN, T4S,R9W"/>
    <s v="SEC 23, NE, S2"/>
    <m/>
    <m/>
  </r>
  <r>
    <s v="MSES54575"/>
    <x v="0"/>
    <x v="0"/>
    <d v="2006-12-14T00:00:00"/>
    <d v="2007-03-01T00:00:00"/>
    <x v="26"/>
    <n v="638.4"/>
    <x v="18"/>
    <x v="4"/>
    <n v="0.5"/>
    <m/>
    <m/>
    <s v="ES182-12/06"/>
    <n v="2366.5"/>
    <n v="1278"/>
    <n v="3644.5"/>
    <n v="1278"/>
    <m/>
    <m/>
    <m/>
    <x v="1"/>
    <x v="11"/>
    <m/>
    <m/>
    <s v="DESOTO NATL FOREST"/>
    <s v="ST STEPHENS MERIDIAN, T4S,R9W"/>
    <s v="SEC 24, ALL"/>
    <m/>
    <m/>
  </r>
  <r>
    <s v="MSES54576"/>
    <x v="0"/>
    <x v="0"/>
    <d v="2006-12-14T00:00:00"/>
    <d v="2007-03-01T00:00:00"/>
    <x v="26"/>
    <n v="638.79999999999995"/>
    <x v="18"/>
    <x v="4"/>
    <n v="0.5"/>
    <m/>
    <m/>
    <s v="ES183-12/06"/>
    <n v="2366.5"/>
    <m/>
    <n v="2366.5"/>
    <n v="1278"/>
    <m/>
    <m/>
    <m/>
    <x v="1"/>
    <x v="11"/>
    <m/>
    <m/>
    <s v="DESOTO NATL FOREST"/>
    <s v="ST STEPHENS MERIDIAN, T4S,R9W"/>
    <s v="SEC 25, ALL"/>
    <m/>
    <m/>
  </r>
  <r>
    <s v="MSES54577"/>
    <x v="0"/>
    <x v="0"/>
    <d v="2006-12-14T00:00:00"/>
    <d v="2007-03-01T00:00:00"/>
    <x v="26"/>
    <n v="440"/>
    <x v="56"/>
    <x v="4"/>
    <n v="0.5"/>
    <m/>
    <m/>
    <s v="ES184-12/06"/>
    <n v="1670"/>
    <n v="1760"/>
    <n v="3430"/>
    <n v="880"/>
    <m/>
    <m/>
    <m/>
    <x v="1"/>
    <x v="11"/>
    <m/>
    <m/>
    <s v="DESOTO NATL FOREST"/>
    <s v="ST STEPHENS MERIDIAN, T4S,R9W"/>
    <s v="SEC 29, NE,E2NW,SWNW,E2SW,S2SE"/>
    <m/>
    <m/>
  </r>
  <r>
    <s v="MSES54578"/>
    <x v="0"/>
    <x v="0"/>
    <d v="2006-12-14T00:00:00"/>
    <d v="2007-03-01T00:00:00"/>
    <x v="26"/>
    <n v="642"/>
    <x v="56"/>
    <x v="4"/>
    <n v="0.5"/>
    <m/>
    <m/>
    <s v="ES185-12/06"/>
    <n v="2377"/>
    <n v="2568"/>
    <n v="4945"/>
    <n v="1284"/>
    <m/>
    <m/>
    <m/>
    <x v="1"/>
    <x v="11"/>
    <m/>
    <m/>
    <s v="DESOTO NATL FOREST"/>
    <s v="ST STEPHENS MERIDIAN, T4S,R9W"/>
    <s v="SEC 30, ALL"/>
    <m/>
    <m/>
  </r>
  <r>
    <s v="MSES54579"/>
    <x v="0"/>
    <x v="0"/>
    <d v="2006-12-14T00:00:00"/>
    <d v="2007-03-01T00:00:00"/>
    <x v="26"/>
    <n v="346.71"/>
    <x v="56"/>
    <x v="4"/>
    <n v="0.5"/>
    <m/>
    <m/>
    <s v="ES186-12/06"/>
    <n v="1344.5"/>
    <m/>
    <n v="1344.5"/>
    <n v="694"/>
    <m/>
    <m/>
    <m/>
    <x v="1"/>
    <x v="11"/>
    <m/>
    <m/>
    <s v="DESOTO NATL FOREST"/>
    <s v="ST STEPHENS MERIDIAN, T4S,R9W"/>
    <s v="SEC 31, W2NW,SW,W2SE"/>
    <m/>
    <m/>
  </r>
  <r>
    <s v="MSES54580"/>
    <x v="0"/>
    <x v="0"/>
    <d v="2006-12-14T00:00:00"/>
    <d v="2007-03-01T00:00:00"/>
    <x v="26"/>
    <n v="650.78"/>
    <x v="56"/>
    <x v="4"/>
    <n v="0.5"/>
    <m/>
    <m/>
    <s v="ES187-12/06"/>
    <n v="2408.5"/>
    <m/>
    <n v="2408.5"/>
    <n v="1302"/>
    <m/>
    <m/>
    <m/>
    <x v="1"/>
    <x v="11"/>
    <m/>
    <m/>
    <s v="DESOTO NATL FOREST"/>
    <s v="ST STEPHENS MERIDIAN, T4S,R9W"/>
    <s v="SEC 32, N2,SW,N2SE,SESE"/>
    <m/>
    <m/>
  </r>
  <r>
    <s v="MSES54581"/>
    <x v="0"/>
    <x v="0"/>
    <d v="2006-12-14T00:00:00"/>
    <d v="2007-03-01T00:00:00"/>
    <x v="26"/>
    <n v="690.36"/>
    <x v="18"/>
    <x v="4"/>
    <n v="0.5"/>
    <m/>
    <m/>
    <s v="ES188-12/06"/>
    <n v="2548.5"/>
    <m/>
    <n v="2548.5"/>
    <n v="1382"/>
    <m/>
    <m/>
    <m/>
    <x v="1"/>
    <x v="11"/>
    <m/>
    <m/>
    <s v="DESOTO NATL FOREST"/>
    <s v="ST STEPHENS MERIDIAN, T4S,R9W"/>
    <s v="SEC 35, ALL"/>
    <m/>
    <m/>
  </r>
  <r>
    <s v="MSES54582"/>
    <x v="0"/>
    <x v="0"/>
    <d v="2006-12-14T00:00:00"/>
    <d v="2007-03-01T00:00:00"/>
    <x v="26"/>
    <n v="75"/>
    <x v="18"/>
    <x v="4"/>
    <n v="0.5"/>
    <m/>
    <m/>
    <s v="ES189-12/06"/>
    <n v="392.5"/>
    <n v="17850"/>
    <n v="18242.5"/>
    <n v="150"/>
    <m/>
    <m/>
    <m/>
    <x v="1"/>
    <x v="11"/>
    <m/>
    <m/>
    <s v="DESOTO NATL FOREST"/>
    <s v="ST STEPHENS MERIDIAN, T5S,R9W"/>
    <s v="SEC 12, W2SW"/>
    <m/>
    <m/>
  </r>
  <r>
    <s v="MSES54584"/>
    <x v="0"/>
    <x v="0"/>
    <d v="2006-12-14T00:00:00"/>
    <d v="2007-03-01T00:00:00"/>
    <x v="26"/>
    <n v="234.42"/>
    <x v="38"/>
    <x v="4"/>
    <n v="0.5"/>
    <m/>
    <m/>
    <s v="ES191-12-06"/>
    <n v="952.5"/>
    <n v="2350"/>
    <n v="3302.5"/>
    <n v="470"/>
    <m/>
    <m/>
    <m/>
    <x v="1"/>
    <x v="11"/>
    <m/>
    <m/>
    <s v="HOMOCHITTO NATL FOREST"/>
    <s v="WASHINGTON MERIDIAN, T6N,R4E"/>
    <s v="SEC 5, N2NE; SEC 6 SWSW, LESS PART DESCRIBED IN M&amp;B; SEC 7, W2NW,NWSW"/>
    <m/>
    <m/>
  </r>
  <r>
    <s v="MSES54585"/>
    <x v="0"/>
    <x v="0"/>
    <d v="2006-12-14T00:00:00"/>
    <d v="2007-03-01T00:00:00"/>
    <x v="26"/>
    <n v="544.16999999999996"/>
    <x v="38"/>
    <x v="4"/>
    <n v="0.5"/>
    <m/>
    <m/>
    <s v="ES192-12/06"/>
    <n v="2037.5"/>
    <n v="5450"/>
    <n v="7487.5"/>
    <n v="1090"/>
    <m/>
    <m/>
    <m/>
    <x v="1"/>
    <x v="11"/>
    <m/>
    <m/>
    <s v="HOMOCHITTO NATL FOREST"/>
    <s v="WASHINGTON MERIDIAN, T6N,R4E"/>
    <s v="SEC 8, S2NWNE; SEC 9, NE,N2NW,SENW,NESW,N2SE,SESE; SEC 10, W2NW"/>
    <m/>
    <m/>
  </r>
  <r>
    <s v="MSES54586"/>
    <x v="0"/>
    <x v="0"/>
    <d v="2006-12-14T00:00:00"/>
    <d v="2007-03-01T00:00:00"/>
    <x v="26"/>
    <n v="120"/>
    <x v="38"/>
    <x v="4"/>
    <n v="0.5"/>
    <m/>
    <m/>
    <s v="ES193-12/06"/>
    <n v="550"/>
    <n v="1200"/>
    <n v="1750"/>
    <n v="240"/>
    <m/>
    <m/>
    <m/>
    <x v="1"/>
    <x v="11"/>
    <m/>
    <m/>
    <s v="HOMOCHITTO NATL FOREST"/>
    <s v="WASHINGTON MERIDIAN, T6N,R4E"/>
    <s v="SEC 32, SWNE,SESW,S2SE"/>
    <m/>
    <m/>
  </r>
  <r>
    <s v="MSES54587"/>
    <x v="0"/>
    <x v="0"/>
    <d v="2006-12-14T00:00:00"/>
    <d v="2007-03-01T00:00:00"/>
    <x v="26"/>
    <n v="80"/>
    <x v="38"/>
    <x v="4"/>
    <n v="0.5"/>
    <m/>
    <m/>
    <s v="ES194-12/06"/>
    <n v="410"/>
    <n v="880"/>
    <n v="1290"/>
    <n v="160"/>
    <m/>
    <m/>
    <m/>
    <x v="1"/>
    <x v="11"/>
    <m/>
    <m/>
    <s v="HOMOCHITTO NATL FOREST"/>
    <s v="WASHINGTON MERIDIAN, T6N,R4E"/>
    <s v="SEC 33, S2SE"/>
    <m/>
    <m/>
  </r>
  <r>
    <m/>
    <x v="1"/>
    <x v="1"/>
    <m/>
    <m/>
    <x v="1"/>
    <m/>
    <x v="1"/>
    <x v="1"/>
    <m/>
    <m/>
    <m/>
    <s v="GROUP TOTAL"/>
    <n v="133859"/>
    <n v="552214"/>
    <n v="686073"/>
    <m/>
    <m/>
    <m/>
    <m/>
    <x v="1"/>
    <x v="1"/>
    <m/>
    <m/>
    <m/>
    <m/>
    <m/>
    <m/>
    <m/>
  </r>
  <r>
    <m/>
    <x v="1"/>
    <x v="1"/>
    <m/>
    <m/>
    <x v="1"/>
    <m/>
    <x v="1"/>
    <x v="1"/>
    <m/>
    <m/>
    <m/>
    <m/>
    <m/>
    <m/>
    <m/>
    <m/>
    <m/>
    <m/>
    <m/>
    <x v="1"/>
    <x v="1"/>
    <m/>
    <m/>
    <m/>
    <m/>
    <m/>
    <m/>
    <m/>
  </r>
  <r>
    <m/>
    <x v="1"/>
    <x v="1"/>
    <m/>
    <m/>
    <x v="1"/>
    <m/>
    <x v="1"/>
    <x v="1"/>
    <m/>
    <m/>
    <m/>
    <m/>
    <m/>
    <m/>
    <m/>
    <m/>
    <m/>
    <m/>
    <m/>
    <x v="1"/>
    <x v="1"/>
    <m/>
    <m/>
    <m/>
    <m/>
    <m/>
    <m/>
    <m/>
  </r>
  <r>
    <m/>
    <x v="1"/>
    <x v="1"/>
    <m/>
    <m/>
    <x v="1"/>
    <m/>
    <x v="1"/>
    <x v="1"/>
    <m/>
    <m/>
    <m/>
    <m/>
    <n v="-14733"/>
    <n v="0"/>
    <n v="-14733"/>
    <m/>
    <m/>
    <m/>
    <m/>
    <x v="37"/>
    <x v="1"/>
    <m/>
    <m/>
    <m/>
    <m/>
    <m/>
    <m/>
    <m/>
  </r>
  <r>
    <m/>
    <x v="1"/>
    <x v="1"/>
    <m/>
    <m/>
    <x v="1"/>
    <m/>
    <x v="1"/>
    <x v="1"/>
    <m/>
    <m/>
    <m/>
    <m/>
    <m/>
    <m/>
    <m/>
    <m/>
    <m/>
    <m/>
    <m/>
    <x v="1"/>
    <x v="1"/>
    <m/>
    <m/>
    <m/>
    <m/>
    <m/>
    <m/>
    <m/>
  </r>
  <r>
    <m/>
    <x v="1"/>
    <x v="1"/>
    <m/>
    <m/>
    <x v="1"/>
    <m/>
    <x v="1"/>
    <x v="1"/>
    <m/>
    <m/>
    <m/>
    <m/>
    <n v="597974"/>
    <n v="1424605.5"/>
    <n v="2022579.5"/>
    <m/>
    <m/>
    <m/>
    <m/>
    <x v="1"/>
    <x v="1"/>
    <m/>
    <m/>
    <m/>
    <m/>
    <m/>
    <m/>
    <m/>
  </r>
  <r>
    <m/>
    <x v="1"/>
    <x v="1"/>
    <m/>
    <m/>
    <x v="1"/>
    <m/>
    <x v="1"/>
    <x v="1"/>
    <m/>
    <m/>
    <m/>
    <m/>
    <m/>
    <m/>
    <m/>
    <m/>
    <m/>
    <m/>
    <m/>
    <x v="1"/>
    <x v="1"/>
    <m/>
    <m/>
    <m/>
    <m/>
    <m/>
    <m/>
    <m/>
  </r>
  <r>
    <s v="TXNM117613"/>
    <x v="0"/>
    <x v="0"/>
    <d v="2007-01-18T00:00:00"/>
    <d v="2007-03-01T00:00:00"/>
    <x v="26"/>
    <n v="499"/>
    <x v="57"/>
    <x v="0"/>
    <n v="0.5"/>
    <m/>
    <m/>
    <s v="NM200701091"/>
    <n v="1876.5"/>
    <n v="73852"/>
    <n v="75728.5"/>
    <n v="998"/>
    <m/>
    <m/>
    <m/>
    <x v="1"/>
    <x v="11"/>
    <m/>
    <m/>
    <s v="DAVY CROCKETT NATL FOREST"/>
    <s v="TRACT K-2v - &quot;TRINITY CO LUMBER CO TRACT&quot;"/>
    <s v="SEE LEASE FOR M&amp;B &amp; MAP"/>
    <s v="YES"/>
    <m/>
  </r>
  <r>
    <s v="TXNM117620"/>
    <x v="0"/>
    <x v="0"/>
    <d v="2007-01-18T00:00:00"/>
    <d v="2007-03-01T00:00:00"/>
    <x v="26"/>
    <n v="40.770000000000003"/>
    <x v="58"/>
    <x v="0"/>
    <n v="0.5"/>
    <m/>
    <m/>
    <s v="NM200701098"/>
    <n v="273.5"/>
    <n v="2378"/>
    <n v="2651.5"/>
    <n v="82"/>
    <m/>
    <m/>
    <m/>
    <x v="1"/>
    <x v="11"/>
    <m/>
    <m/>
    <s v="SABINE NATL FOREST"/>
    <s v="TR S-17, S-48-50% MI; TR S-2K-IX,25% MI "/>
    <s v="SEE LEASE FOR M&amp;B &amp; MAP"/>
    <s v="YES"/>
    <m/>
  </r>
  <r>
    <s v="TXNM117621"/>
    <x v="0"/>
    <x v="0"/>
    <d v="2007-01-18T00:00:00"/>
    <d v="2007-03-01T00:00:00"/>
    <x v="26"/>
    <n v="325.27"/>
    <x v="59"/>
    <x v="0"/>
    <n v="0.5"/>
    <m/>
    <m/>
    <s v="NM200701099"/>
    <n v="1271"/>
    <n v="9128"/>
    <n v="10399"/>
    <m/>
    <m/>
    <m/>
    <m/>
    <x v="16"/>
    <x v="11"/>
    <m/>
    <m/>
    <s v="SABINE NATL FOREST"/>
    <s v="TR S-1B-I PARCEL #2"/>
    <s v="SEE LEASE FOR M&amp;B "/>
    <m/>
    <m/>
  </r>
  <r>
    <s v="TXNM117622"/>
    <x v="0"/>
    <x v="0"/>
    <d v="2007-01-18T00:00:00"/>
    <d v="2007-03-01T00:00:00"/>
    <x v="26"/>
    <n v="428"/>
    <x v="60"/>
    <x v="0"/>
    <n v="0.5"/>
    <m/>
    <m/>
    <s v="NM200701100"/>
    <n v="1628"/>
    <n v="11984"/>
    <n v="13612"/>
    <n v="856"/>
    <m/>
    <m/>
    <m/>
    <x v="1"/>
    <x v="11"/>
    <m/>
    <m/>
    <s v="DAVY CROCKETT NATL FOREST"/>
    <s v="TR K-2F- &quot;TRINITY CO LUMBER CO TRACTS&quot;"/>
    <s v="SEE LEASE FOR M&amp;B &amp; MAP"/>
    <s v="YES"/>
    <m/>
  </r>
  <r>
    <s v="TXNM117623"/>
    <x v="0"/>
    <x v="0"/>
    <d v="2007-01-18T00:00:00"/>
    <d v="2007-03-01T00:00:00"/>
    <x v="26"/>
    <n v="476.01"/>
    <x v="60"/>
    <x v="0"/>
    <n v="0.5"/>
    <m/>
    <m/>
    <s v="NM200701101"/>
    <n v="1799.5"/>
    <n v="13356"/>
    <n v="15155.5"/>
    <n v="954"/>
    <m/>
    <m/>
    <m/>
    <x v="1"/>
    <x v="11"/>
    <m/>
    <m/>
    <s v="DAVY CROCKETT NATL FOREST"/>
    <s v="TR K-2D- &quot;TRINITY CO LUMBER CO TRACT&quot;"/>
    <s v="SEE LEASE FOR M&amp;B &amp; MAP"/>
    <s v="YES"/>
    <m/>
  </r>
  <r>
    <s v="TXNM117626"/>
    <x v="0"/>
    <x v="0"/>
    <d v="2007-01-18T00:00:00"/>
    <d v="2007-03-01T00:00:00"/>
    <x v="26"/>
    <n v="2164.09"/>
    <x v="60"/>
    <x v="0"/>
    <n v="0.5"/>
    <m/>
    <m/>
    <s v="NM200701104"/>
    <n v="7707.5"/>
    <n v="38970"/>
    <n v="46677.5"/>
    <n v="4330"/>
    <m/>
    <m/>
    <m/>
    <x v="1"/>
    <x v="11"/>
    <m/>
    <m/>
    <s v="DAVY CROCKETT NATL FOREST"/>
    <s v="TR K-2C PARCEL #1"/>
    <s v="SEE LEASE FOR M&amp;B &amp; MAP"/>
    <s v="YES"/>
    <m/>
  </r>
  <r>
    <s v="TXNM117627"/>
    <x v="0"/>
    <x v="0"/>
    <d v="2007-01-18T00:00:00"/>
    <d v="2007-03-01T00:00:00"/>
    <x v="26"/>
    <n v="1780.91"/>
    <x v="60"/>
    <x v="0"/>
    <n v="0.5"/>
    <m/>
    <m/>
    <s v="NM200701105"/>
    <n v="6363.5"/>
    <n v="17810"/>
    <n v="24173.5"/>
    <n v="3562"/>
    <m/>
    <m/>
    <m/>
    <x v="1"/>
    <x v="11"/>
    <m/>
    <m/>
    <s v="DAVY CROCKETT NATL FOREST"/>
    <s v="TR K-2C PARCEL #2"/>
    <s v="SEE LEASE FOR M&amp;B &amp; MAP"/>
    <s v="YES"/>
    <m/>
  </r>
  <r>
    <s v="TXNM117628"/>
    <x v="0"/>
    <x v="0"/>
    <d v="2007-01-18T00:00:00"/>
    <d v="2007-03-01T00:00:00"/>
    <x v="26"/>
    <n v="191.7"/>
    <x v="60"/>
    <x v="0"/>
    <n v="0.5"/>
    <m/>
    <m/>
    <s v="NM200701-106"/>
    <n v="802"/>
    <n v="1920"/>
    <n v="2722"/>
    <n v="384"/>
    <m/>
    <m/>
    <m/>
    <x v="1"/>
    <x v="11"/>
    <m/>
    <m/>
    <s v="DAVY CROCKETT NATL FOREST"/>
    <s v="TR K-2AG,K-2AH,K-2AR,K-2AS,K-2ASI"/>
    <s v="SEE LEASE FOR M&amp;B &amp; MAP"/>
    <s v="YES"/>
    <m/>
  </r>
  <r>
    <s v="TXNM117633"/>
    <x v="0"/>
    <x v="0"/>
    <d v="2007-01-18T00:00:00"/>
    <d v="2007-03-01T00:00:00"/>
    <x v="26"/>
    <n v="929.68"/>
    <x v="61"/>
    <x v="0"/>
    <n v="0.5"/>
    <m/>
    <m/>
    <s v="NM200701111"/>
    <n v="3385"/>
    <n v="797940"/>
    <n v="801325"/>
    <n v="1395"/>
    <m/>
    <m/>
    <m/>
    <x v="38"/>
    <x v="11"/>
    <m/>
    <m/>
    <s v="NUECES RIVER PROJECT - NPRI OUTSTANDING"/>
    <s v="TR NR-68A, NR-68B - 78.125 MI"/>
    <m/>
    <m/>
    <m/>
  </r>
  <r>
    <m/>
    <x v="1"/>
    <x v="1"/>
    <m/>
    <m/>
    <x v="1"/>
    <m/>
    <x v="1"/>
    <x v="1"/>
    <m/>
    <m/>
    <m/>
    <s v="GROUP TOTAL"/>
    <n v="25106.5"/>
    <n v="967338"/>
    <n v="992444.5"/>
    <m/>
    <m/>
    <m/>
    <m/>
    <x v="1"/>
    <x v="1"/>
    <m/>
    <m/>
    <m/>
    <m/>
    <m/>
    <m/>
    <m/>
  </r>
  <r>
    <m/>
    <x v="1"/>
    <x v="1"/>
    <m/>
    <m/>
    <x v="1"/>
    <m/>
    <x v="1"/>
    <x v="1"/>
    <m/>
    <m/>
    <m/>
    <m/>
    <m/>
    <m/>
    <m/>
    <m/>
    <m/>
    <m/>
    <m/>
    <x v="1"/>
    <x v="1"/>
    <m/>
    <m/>
    <m/>
    <m/>
    <m/>
    <m/>
    <m/>
  </r>
  <r>
    <s v="NMNM118115"/>
    <x v="0"/>
    <x v="0"/>
    <d v="2007-04-18T00:00:00"/>
    <d v="2007-06-01T00:00:00"/>
    <x v="27"/>
    <n v="80"/>
    <x v="62"/>
    <x v="7"/>
    <n v="0.5"/>
    <m/>
    <m/>
    <s v="NM200704011"/>
    <n v="410"/>
    <n v="4640"/>
    <n v="5050"/>
    <n v="160"/>
    <m/>
    <m/>
    <m/>
    <x v="1"/>
    <x v="11"/>
    <m/>
    <m/>
    <s v="PUBLIC DOMAIN LANDS"/>
    <s v="NMPM MERIDIAN, T60S,R31E"/>
    <s v="SEC 17, S2SW"/>
    <m/>
    <m/>
  </r>
  <r>
    <s v="NMNM118125"/>
    <x v="0"/>
    <x v="0"/>
    <d v="2007-04-18T00:00:00"/>
    <d v="2007-06-01T00:00:00"/>
    <x v="27"/>
    <n v="160"/>
    <x v="63"/>
    <x v="7"/>
    <n v="0.5"/>
    <m/>
    <m/>
    <s v="NM200704021"/>
    <n v="690"/>
    <n v="14080"/>
    <n v="14770"/>
    <n v="320"/>
    <m/>
    <m/>
    <m/>
    <x v="39"/>
    <x v="11"/>
    <m/>
    <m/>
    <s v="PUBLIC DOMAIN LANDS"/>
    <s v="NMPM MERIDIAN, T100S,R360E"/>
    <s v="SEC 28, S2S2"/>
    <s v="YES "/>
    <s v="Instrument#50522 Book 1806 Page 286"/>
  </r>
  <r>
    <s v="NMNM118129"/>
    <x v="0"/>
    <x v="0"/>
    <d v="2007-04-18T00:00:00"/>
    <d v="2007-06-01T00:00:00"/>
    <x v="27"/>
    <n v="642.88"/>
    <x v="64"/>
    <x v="7"/>
    <n v="0.5"/>
    <m/>
    <m/>
    <s v="NM200704026"/>
    <n v="2380.5"/>
    <n v="50154"/>
    <n v="52534.5"/>
    <n v="1286"/>
    <m/>
    <m/>
    <m/>
    <x v="1"/>
    <x v="11"/>
    <m/>
    <m/>
    <s v="PUBLIC DOMAIN LANDS"/>
    <s v="NMPM MERIDIAN, T230N,R70W"/>
    <s v="SEC 7, LOTS 1-4; SEC 7, E2W2,SE; SEC 8, SW "/>
    <m/>
    <m/>
  </r>
  <r>
    <s v="NMNM118131"/>
    <x v="0"/>
    <x v="0"/>
    <d v="2007-04-18T00:00:00"/>
    <d v="2007-06-01T00:00:00"/>
    <x v="27"/>
    <n v="1812.74"/>
    <x v="47"/>
    <x v="7"/>
    <n v="0.5"/>
    <m/>
    <m/>
    <s v="NM200704028"/>
    <n v="6475.5"/>
    <n v="27195"/>
    <n v="33670.5"/>
    <n v="3626"/>
    <m/>
    <m/>
    <m/>
    <x v="1"/>
    <x v="11"/>
    <m/>
    <m/>
    <s v="PUBLIC DOMAIN LANDS"/>
    <s v="NMPM MERIDIAN, T160N,R80W"/>
    <s v="SEC 2, LOTS1,3,4, S2NW,S2; SEC4, LOTS 1-4, S2N2,S2; SEC 6, LOTS 1-7, S2NE,SENW,E2SW,SE"/>
    <m/>
    <m/>
  </r>
  <r>
    <s v="OKNM118143"/>
    <x v="0"/>
    <x v="0"/>
    <d v="2007-04-18T00:00:00"/>
    <d v="2007-06-01T00:00:00"/>
    <x v="27"/>
    <n v="40"/>
    <x v="65"/>
    <x v="5"/>
    <n v="0.5"/>
    <m/>
    <m/>
    <s v="OK200704041"/>
    <n v="270"/>
    <n v="0"/>
    <n v="270"/>
    <n v="80"/>
    <m/>
    <m/>
    <m/>
    <x v="40"/>
    <x v="11"/>
    <m/>
    <m/>
    <s v="PUBLIC DOMAIN LANDS"/>
    <s v="CM MERIDIAN, T20N,R220E"/>
    <s v="SEC 13, SESW"/>
    <m/>
    <m/>
  </r>
  <r>
    <s v="OKNM118144"/>
    <x v="0"/>
    <x v="0"/>
    <d v="2007-04-18T00:00:00"/>
    <d v="2007-06-01T00:00:00"/>
    <x v="27"/>
    <n v="40"/>
    <x v="65"/>
    <x v="5"/>
    <n v="0.5"/>
    <m/>
    <m/>
    <s v="OK200704042"/>
    <n v="270"/>
    <n v="0"/>
    <n v="270"/>
    <n v="80"/>
    <m/>
    <m/>
    <m/>
    <x v="41"/>
    <x v="11"/>
    <m/>
    <m/>
    <s v="PUBLIC DOMAIN LANDS"/>
    <s v="CM MERIDIAN, T10N,R230E"/>
    <s v="SEC 1, NESW"/>
    <m/>
    <m/>
  </r>
  <r>
    <s v="OKNM118145"/>
    <x v="0"/>
    <x v="0"/>
    <d v="2007-04-18T00:00:00"/>
    <d v="2007-06-01T00:00:00"/>
    <x v="27"/>
    <n v="80"/>
    <x v="65"/>
    <x v="5"/>
    <n v="0.5"/>
    <m/>
    <m/>
    <s v="OK200704043"/>
    <n v="410"/>
    <n v="0"/>
    <n v="410"/>
    <n v="160"/>
    <m/>
    <m/>
    <m/>
    <x v="1"/>
    <x v="11"/>
    <m/>
    <m/>
    <s v="PUBLIC DOMAIN LANDS"/>
    <s v="CM MERIDIAN, T60N,R240E"/>
    <s v="SEC 8, SESW; SEC 28, NWNE"/>
    <m/>
    <m/>
  </r>
  <r>
    <s v="OKNM118146"/>
    <x v="0"/>
    <x v="0"/>
    <d v="2007-04-18T00:00:00"/>
    <d v="2007-06-01T00:00:00"/>
    <x v="27"/>
    <n v="88.98"/>
    <x v="65"/>
    <x v="5"/>
    <n v="0.5"/>
    <m/>
    <m/>
    <s v="OK200704044"/>
    <n v="441.5"/>
    <n v="0"/>
    <n v="441.5"/>
    <n v="178"/>
    <m/>
    <m/>
    <m/>
    <x v="1"/>
    <x v="11"/>
    <m/>
    <m/>
    <s v="PUBLIC DOMAIN LANDS"/>
    <s v="CM MERIDIAN, T60N,R250E"/>
    <s v="SEC 8, LOTS 3,4; SEC 9, LOT3; SEC 15, NWNW; SEC22, SENE "/>
    <m/>
    <m/>
  </r>
  <r>
    <s v="OKNM118149"/>
    <x v="0"/>
    <x v="0"/>
    <d v="2007-04-18T00:00:00"/>
    <d v="2007-06-01T00:00:00"/>
    <x v="27"/>
    <n v="160"/>
    <x v="66"/>
    <x v="5"/>
    <n v="0.5"/>
    <m/>
    <m/>
    <s v="OK200704047"/>
    <n v="690"/>
    <n v="1280"/>
    <n v="1970"/>
    <n v="320"/>
    <m/>
    <m/>
    <m/>
    <x v="1"/>
    <x v="11"/>
    <m/>
    <m/>
    <s v="PUBLIC DOMAIN LANDS"/>
    <s v="IM MERIDIAN, T50N,R120W"/>
    <s v="SEC 32, SE"/>
    <m/>
    <m/>
  </r>
  <r>
    <s v="OKNM118156"/>
    <x v="0"/>
    <x v="0"/>
    <d v="2007-04-18T00:00:00"/>
    <d v="2007-06-01T00:00:00"/>
    <x v="27"/>
    <n v="80.239999999999995"/>
    <x v="67"/>
    <x v="5"/>
    <n v="0.5"/>
    <m/>
    <m/>
    <s v="OK200704054"/>
    <n v="413.5"/>
    <n v="8748"/>
    <n v="9161.5"/>
    <n v="162"/>
    <m/>
    <m/>
    <m/>
    <x v="1"/>
    <x v="11"/>
    <m/>
    <m/>
    <s v="PUBLIC DOMAIN LANDS"/>
    <s v="IM MERIDIAN, T170N,R160W"/>
    <s v="SEC 29 NENW; SEC 30, LOT 2"/>
    <m/>
    <s v="I-2017-002282 Book 1659 Page(s) 0494-0498"/>
  </r>
  <r>
    <s v="OKNM118157"/>
    <x v="0"/>
    <x v="0"/>
    <d v="2007-04-18T00:00:00"/>
    <d v="2007-06-01T00:00:00"/>
    <x v="27"/>
    <n v="80"/>
    <x v="67"/>
    <x v="5"/>
    <n v="0.5"/>
    <m/>
    <m/>
    <s v="OK200704055"/>
    <n v="410"/>
    <n v="8640"/>
    <n v="9050"/>
    <n v="160"/>
    <m/>
    <m/>
    <m/>
    <x v="1"/>
    <x v="11"/>
    <m/>
    <m/>
    <s v="PUBLIC DOMAIN LANDS"/>
    <s v="IM MERIDIAN, T180N,R160W"/>
    <s v="SEC 11, NESE,SWSE"/>
    <m/>
    <m/>
  </r>
  <r>
    <s v="OKNM118161"/>
    <x v="0"/>
    <x v="0"/>
    <d v="2007-04-18T00:00:00"/>
    <d v="2007-06-01T00:00:00"/>
    <x v="27"/>
    <n v="280"/>
    <x v="68"/>
    <x v="5"/>
    <n v="0.5"/>
    <m/>
    <m/>
    <s v="OK200704059"/>
    <n v="1110"/>
    <n v="3640"/>
    <n v="4750"/>
    <n v="560"/>
    <m/>
    <m/>
    <m/>
    <x v="1"/>
    <x v="11"/>
    <m/>
    <m/>
    <s v="PUBLIC DOMAIN LANDS"/>
    <s v="IM MERIDIAN, T40S,R170W"/>
    <s v="SEC 10, LOTS 1A, 1B, 2A, 2B; SEC15, LOTS A, B"/>
    <m/>
    <m/>
  </r>
  <r>
    <s v="OKNM118168"/>
    <x v="0"/>
    <x v="0"/>
    <d v="2007-04-18T00:00:00"/>
    <d v="2007-06-01T00:00:00"/>
    <x v="27"/>
    <n v="99.48"/>
    <x v="68"/>
    <x v="5"/>
    <n v="0.5"/>
    <m/>
    <m/>
    <s v="OK200704066"/>
    <n v="480"/>
    <n v="0"/>
    <n v="480"/>
    <n v="200"/>
    <m/>
    <m/>
    <m/>
    <x v="1"/>
    <x v="11"/>
    <m/>
    <m/>
    <s v="PUBLIC DOMAIN LANDS"/>
    <s v="IM MERIDIAN, T20S,R190W"/>
    <s v="SEC 6, LOTS 3,4; SEC 7, LOTS 9,10; SEC 17, LOT 4; SEC 20, LOT 1"/>
    <m/>
    <m/>
  </r>
  <r>
    <s v="OKNM118175"/>
    <x v="0"/>
    <x v="0"/>
    <d v="2007-04-18T00:00:00"/>
    <d v="2007-06-01T00:00:00"/>
    <x v="27"/>
    <n v="40"/>
    <x v="69"/>
    <x v="5"/>
    <n v="0.5"/>
    <m/>
    <m/>
    <s v="OK200704073"/>
    <n v="270"/>
    <n v="520"/>
    <n v="790"/>
    <n v="80"/>
    <m/>
    <m/>
    <m/>
    <x v="42"/>
    <x v="11"/>
    <m/>
    <m/>
    <s v="PUBLIC DOMAIN LANDS"/>
    <s v="IM MERIDIAN, T170N,R230W"/>
    <s v="SEC 30, NWNE"/>
    <m/>
    <m/>
  </r>
  <r>
    <s v="OKNM118176"/>
    <x v="0"/>
    <x v="0"/>
    <d v="2007-04-18T00:00:00"/>
    <d v="2007-06-01T00:00:00"/>
    <x v="27"/>
    <n v="120"/>
    <x v="69"/>
    <x v="5"/>
    <n v="0.5"/>
    <m/>
    <m/>
    <s v="OK200704074"/>
    <n v="550"/>
    <n v="3360"/>
    <n v="3910"/>
    <n v="240"/>
    <m/>
    <m/>
    <m/>
    <x v="1"/>
    <x v="11"/>
    <m/>
    <m/>
    <s v="PUBLIC DOMAIN LANDS"/>
    <s v="IM MERIDIAN, T190N, R230W"/>
    <s v="SEC 24, W2SW; SEC 25, SWSW"/>
    <m/>
    <m/>
  </r>
  <r>
    <s v="OKNM118181"/>
    <x v="0"/>
    <x v="0"/>
    <d v="2007-04-18T00:00:00"/>
    <d v="2007-06-01T00:00:00"/>
    <x v="27"/>
    <n v="71.599999999999994"/>
    <x v="43"/>
    <x v="5"/>
    <n v="0.5"/>
    <m/>
    <m/>
    <s v="OK200704079"/>
    <n v="382"/>
    <n v="8856"/>
    <n v="9238"/>
    <n v="144"/>
    <m/>
    <m/>
    <m/>
    <x v="43"/>
    <x v="11"/>
    <m/>
    <m/>
    <s v="PUBLIC DOMAIN LANDS"/>
    <s v="IM MERIDIAN, T160N,R250W"/>
    <s v="SEC 1, LOT 1; SEC 9, NWSW"/>
    <m/>
    <m/>
  </r>
  <r>
    <s v="OKNM118182"/>
    <x v="0"/>
    <x v="0"/>
    <d v="2007-04-18T00:00:00"/>
    <d v="2007-06-01T00:00:00"/>
    <x v="27"/>
    <n v="160"/>
    <x v="43"/>
    <x v="5"/>
    <n v="0.5"/>
    <m/>
    <m/>
    <s v="OK200704080"/>
    <n v="690"/>
    <n v="18880"/>
    <n v="19570"/>
    <n v="320"/>
    <m/>
    <m/>
    <m/>
    <x v="44"/>
    <x v="11"/>
    <m/>
    <m/>
    <s v="PUBLIC DOMAIN LANDS"/>
    <s v="IM MERIDIAN, T170N,R250W"/>
    <s v="SEC 34, NENE, SWNE, SENW, NESW"/>
    <m/>
    <m/>
  </r>
  <r>
    <s v="OKNM118185"/>
    <x v="0"/>
    <x v="0"/>
    <d v="2007-04-18T00:00:00"/>
    <d v="2007-06-01T00:00:00"/>
    <x v="27"/>
    <n v="40"/>
    <x v="69"/>
    <x v="5"/>
    <n v="0.5"/>
    <m/>
    <m/>
    <s v="OK200704083"/>
    <n v="270"/>
    <n v="0"/>
    <n v="270"/>
    <n v="80"/>
    <m/>
    <m/>
    <m/>
    <x v="1"/>
    <x v="11"/>
    <m/>
    <m/>
    <s v="PUBLIC DOMAIN LANDS"/>
    <s v="IM MERIDIAN, T220N,R250W"/>
    <s v="SEC 30 SENW"/>
    <m/>
    <m/>
  </r>
  <r>
    <s v="OKNM118186"/>
    <x v="0"/>
    <x v="0"/>
    <d v="2007-04-18T00:00:00"/>
    <d v="2007-06-01T00:00:00"/>
    <x v="27"/>
    <n v="176.55"/>
    <x v="70"/>
    <x v="5"/>
    <n v="0.5"/>
    <m/>
    <m/>
    <s v="OK200704084"/>
    <n v="749.5"/>
    <n v="0"/>
    <n v="749.5"/>
    <n v="354"/>
    <m/>
    <m/>
    <m/>
    <x v="1"/>
    <x v="11"/>
    <m/>
    <m/>
    <s v="PUBLIC DOMAIN LANDS"/>
    <s v="IM MERIDIAN, T290N,R250W"/>
    <s v="SEC 14, LOT 7; SWSW; SEC17, LOT 8; NWSE; SEC 21 LOT 1; SEC 22, LOT 4, SEC 23, LOST 1,5,6"/>
    <m/>
    <m/>
  </r>
  <r>
    <s v="OKNM118190"/>
    <x v="0"/>
    <x v="0"/>
    <d v="2007-04-18T00:00:00"/>
    <d v="2007-06-01T00:00:00"/>
    <x v="27"/>
    <n v="160"/>
    <x v="17"/>
    <x v="5"/>
    <n v="0.5"/>
    <m/>
    <m/>
    <s v="OK200704089"/>
    <n v="690"/>
    <n v="31680"/>
    <n v="32370"/>
    <n v="320"/>
    <m/>
    <m/>
    <m/>
    <x v="1"/>
    <x v="11"/>
    <m/>
    <m/>
    <s v="PUBLIC DOMAIN LANDS"/>
    <s v="IM MERIDIAN, T130N,R190W"/>
    <s v="SEC 23, NW"/>
    <m/>
    <m/>
  </r>
  <r>
    <s v="OKNM118192"/>
    <x v="0"/>
    <x v="0"/>
    <d v="2007-04-18T00:00:00"/>
    <d v="2007-06-01T00:00:00"/>
    <x v="27"/>
    <n v="680"/>
    <x v="71"/>
    <x v="5"/>
    <n v="0.5"/>
    <m/>
    <m/>
    <s v="OK200704091"/>
    <n v="2510"/>
    <n v="22440"/>
    <n v="24950"/>
    <n v="1360"/>
    <m/>
    <m/>
    <m/>
    <x v="1"/>
    <x v="11"/>
    <m/>
    <m/>
    <s v="PUBLIC DOMAIN LANDS"/>
    <s v="IM MERIDIAN, R240N,R220W "/>
    <s v="SEC 31, SESE; SEC 32, ALL"/>
    <m/>
    <m/>
  </r>
  <r>
    <s v="OKNM118195"/>
    <x v="0"/>
    <x v="0"/>
    <d v="2007-04-18T00:00:00"/>
    <d v="2007-06-01T00:00:00"/>
    <x v="27"/>
    <n v="40"/>
    <x v="43"/>
    <x v="5"/>
    <n v="0.5"/>
    <m/>
    <m/>
    <s v="OK200704094"/>
    <n v="270"/>
    <n v="5920"/>
    <n v="6190"/>
    <n v="80"/>
    <m/>
    <m/>
    <m/>
    <x v="1"/>
    <x v="11"/>
    <m/>
    <m/>
    <s v="PUBLIC DOMAIN LANDS"/>
    <s v="IM MERIDIAN, T140N,R250W"/>
    <s v="SEC 12, NWNW"/>
    <m/>
    <m/>
  </r>
  <r>
    <s v="TXNM118196"/>
    <x v="0"/>
    <x v="0"/>
    <d v="2007-04-18T00:00:00"/>
    <d v="2007-06-01T00:00:00"/>
    <x v="27"/>
    <n v="997.8"/>
    <x v="61"/>
    <x v="0"/>
    <n v="0.5"/>
    <m/>
    <m/>
    <s v="TX200704095"/>
    <n v="3623"/>
    <n v="67864"/>
    <n v="71487"/>
    <n v="1996"/>
    <m/>
    <m/>
    <m/>
    <x v="38"/>
    <x v="11"/>
    <m/>
    <m/>
    <s v="NUECES RIVER PROJECT"/>
    <s v="TR 57, (153.8 A) TR65M (844 A)"/>
    <s v="TR 57 - 78.125% MINERAL INTEREST; TR 65M - 100% MI "/>
    <m/>
    <m/>
  </r>
  <r>
    <s v="TXNM118197"/>
    <x v="0"/>
    <x v="0"/>
    <d v="2007-04-18T00:00:00"/>
    <d v="2007-06-01T00:00:00"/>
    <x v="27"/>
    <n v="375"/>
    <x v="60"/>
    <x v="0"/>
    <n v="0.5"/>
    <m/>
    <m/>
    <s v="TX200704096"/>
    <n v="1442.5"/>
    <n v="85500"/>
    <n v="86942.5"/>
    <n v="750"/>
    <m/>
    <m/>
    <m/>
    <x v="1"/>
    <x v="11"/>
    <m/>
    <m/>
    <s v="DAVY CROCKETT NAT'L FOREST"/>
    <s v="TR K-10; TR SEE EXHIBIT A FOR M&amp;B W/MAP"/>
    <m/>
    <s v="YES"/>
    <m/>
  </r>
  <r>
    <s v="TXNM118198"/>
    <x v="0"/>
    <x v="0"/>
    <d v="2007-04-18T00:00:00"/>
    <d v="2007-06-01T00:00:00"/>
    <x v="27"/>
    <n v="78"/>
    <x v="60"/>
    <x v="0"/>
    <n v="0.5"/>
    <m/>
    <m/>
    <s v="TX200704097"/>
    <n v="403"/>
    <n v="19344"/>
    <n v="19747"/>
    <n v="156"/>
    <m/>
    <m/>
    <m/>
    <x v="1"/>
    <x v="11"/>
    <m/>
    <m/>
    <s v="DAVY CROCKETT NAT'L FOREST"/>
    <s v="TR K-10B; TR SEE EXHIBIT B FOR M&amp;B W/MAP"/>
    <m/>
    <s v="YES"/>
    <m/>
  </r>
  <r>
    <s v="TXNM118199"/>
    <x v="0"/>
    <x v="0"/>
    <d v="2007-04-18T00:00:00"/>
    <d v="2007-06-01T00:00:00"/>
    <x v="27"/>
    <n v="104"/>
    <x v="60"/>
    <x v="0"/>
    <n v="0.5"/>
    <m/>
    <m/>
    <s v="TX200704098"/>
    <n v="494"/>
    <n v="23712"/>
    <n v="24206"/>
    <n v="208"/>
    <m/>
    <m/>
    <m/>
    <x v="1"/>
    <x v="11"/>
    <m/>
    <m/>
    <s v="DAVY CROCKETT NAT'L FOREST"/>
    <s v="TR K-10E; TR SEE EXHIBIT C FOR M&amp;B W/MAP"/>
    <m/>
    <s v="YES"/>
    <m/>
  </r>
  <r>
    <s v="TXNM118204"/>
    <x v="0"/>
    <x v="0"/>
    <d v="2007-04-18T00:00:00"/>
    <d v="2007-06-01T00:00:00"/>
    <x v="27"/>
    <n v="16.97"/>
    <x v="5"/>
    <x v="0"/>
    <n v="0.5"/>
    <m/>
    <m/>
    <s v="TX200704103"/>
    <n v="189.5"/>
    <n v="0"/>
    <n v="189.5"/>
    <n v="34"/>
    <m/>
    <m/>
    <m/>
    <x v="1"/>
    <x v="11"/>
    <m/>
    <m/>
    <s v="DAVY CROCKETT NAT'L FOREST"/>
    <s v="TR K-52; TR SEE EXHIBIT H FOR M&amp;B W/MAP"/>
    <m/>
    <s v="YES"/>
    <m/>
  </r>
  <r>
    <s v="TXNM118205"/>
    <x v="0"/>
    <x v="0"/>
    <d v="2007-04-18T00:00:00"/>
    <d v="2007-06-01T00:00:00"/>
    <x v="27"/>
    <n v="80.400000000000006"/>
    <x v="5"/>
    <x v="0"/>
    <n v="0.5"/>
    <m/>
    <m/>
    <s v="TX200704104"/>
    <n v="413.5"/>
    <n v="64638"/>
    <n v="65051.5"/>
    <n v="162"/>
    <m/>
    <m/>
    <m/>
    <x v="1"/>
    <x v="11"/>
    <m/>
    <m/>
    <s v="DAVY CROCKETT NAT'L FOREST"/>
    <s v="TR K-67; TR SEE EXHIBIT I FOR M&amp;B W/MAP"/>
    <s v="50% INTEREST"/>
    <s v="YES"/>
    <m/>
  </r>
  <r>
    <s v="TXNM118206"/>
    <x v="0"/>
    <x v="0"/>
    <d v="2007-04-18T00:00:00"/>
    <d v="2007-06-01T00:00:00"/>
    <x v="27"/>
    <n v="65.290000000000006"/>
    <x v="5"/>
    <x v="0"/>
    <n v="0.5"/>
    <m/>
    <m/>
    <s v="TX200704105"/>
    <n v="361"/>
    <n v="7128"/>
    <n v="7489"/>
    <n v="132"/>
    <m/>
    <m/>
    <m/>
    <x v="1"/>
    <x v="11"/>
    <m/>
    <m/>
    <s v="DAVY CROCKETT NAT'L FOREST"/>
    <s v="TR K-84; TR SEE EXHIBIT J FOR M&amp;B W/MAP"/>
    <s v="50% NPRI RESERVED"/>
    <s v="YES"/>
    <m/>
  </r>
  <r>
    <s v="TXNM118214"/>
    <x v="0"/>
    <x v="0"/>
    <d v="2007-04-18T00:00:00"/>
    <d v="2007-06-01T00:00:00"/>
    <x v="27"/>
    <n v="89"/>
    <x v="5"/>
    <x v="0"/>
    <n v="0.5"/>
    <m/>
    <m/>
    <s v="TX200704113"/>
    <n v="441.5"/>
    <n v="13172"/>
    <n v="13613.5"/>
    <n v="178"/>
    <m/>
    <m/>
    <m/>
    <x v="1"/>
    <x v="11"/>
    <m/>
    <m/>
    <s v="DAVY CROCKETT NAT'L FOREST"/>
    <s v="TR K-1Q; TR SEE EXHIBIT R FOR M&amp;B W/MAP"/>
    <m/>
    <s v="YES"/>
    <m/>
  </r>
  <r>
    <m/>
    <x v="1"/>
    <x v="1"/>
    <m/>
    <m/>
    <x v="1"/>
    <m/>
    <x v="1"/>
    <x v="1"/>
    <m/>
    <m/>
    <m/>
    <s v="GROUP TOTAL"/>
    <n v="28200.5"/>
    <n v="491391"/>
    <n v="519591.5"/>
    <m/>
    <m/>
    <m/>
    <m/>
    <x v="1"/>
    <x v="1"/>
    <m/>
    <m/>
    <m/>
    <m/>
    <m/>
    <m/>
    <m/>
  </r>
  <r>
    <m/>
    <x v="1"/>
    <x v="1"/>
    <m/>
    <m/>
    <x v="1"/>
    <m/>
    <x v="1"/>
    <x v="1"/>
    <m/>
    <m/>
    <m/>
    <m/>
    <m/>
    <m/>
    <m/>
    <m/>
    <m/>
    <m/>
    <m/>
    <x v="1"/>
    <x v="1"/>
    <m/>
    <m/>
    <m/>
    <m/>
    <m/>
    <m/>
    <m/>
  </r>
  <r>
    <s v="ARES54668"/>
    <x v="0"/>
    <x v="0"/>
    <d v="2007-03-15T00:00:00"/>
    <d v="2007-06-01T00:00:00"/>
    <x v="27"/>
    <n v="160"/>
    <x v="39"/>
    <x v="2"/>
    <n v="0.5"/>
    <m/>
    <m/>
    <s v="ES-2007-06-62"/>
    <n v="690"/>
    <n v="0"/>
    <n v="690"/>
    <n v="320"/>
    <m/>
    <m/>
    <m/>
    <x v="1"/>
    <x v="11"/>
    <m/>
    <m/>
    <s v="OUACHITA NATIONAL FOREST"/>
    <s v="T3N 21W SEC 35 S2S2"/>
    <m/>
    <m/>
    <m/>
  </r>
  <r>
    <s v="ARES54670"/>
    <x v="0"/>
    <x v="0"/>
    <d v="2007-03-15T00:00:00"/>
    <d v="2007-06-01T00:00:00"/>
    <x v="27"/>
    <n v="210.19"/>
    <x v="39"/>
    <x v="2"/>
    <n v="0.5"/>
    <m/>
    <m/>
    <s v="ES-2007-06-64"/>
    <n v="868.5"/>
    <n v="0"/>
    <n v="868.5"/>
    <n v="422"/>
    <m/>
    <m/>
    <m/>
    <x v="1"/>
    <x v="11"/>
    <m/>
    <m/>
    <s v="OUACHITA NATIONAL FOREST"/>
    <s v="5TH PRINCIPAL MERIDIAN, T3N,R21W"/>
    <s v="SEC 31, TRACT A-818b IN NWSE (29.08A); SEC 36, TRACT A-3784 (181.11A)"/>
    <m/>
    <m/>
  </r>
  <r>
    <s v="ARES54672"/>
    <x v="0"/>
    <x v="0"/>
    <d v="2007-03-15T00:00:00"/>
    <d v="2007-06-01T00:00:00"/>
    <x v="27"/>
    <n v="400"/>
    <x v="26"/>
    <x v="2"/>
    <n v="0.5"/>
    <m/>
    <m/>
    <s v="ES-2007-06-66"/>
    <n v="1530"/>
    <n v="12800"/>
    <n v="14330"/>
    <n v="800"/>
    <m/>
    <m/>
    <m/>
    <x v="1"/>
    <x v="11"/>
    <m/>
    <m/>
    <s v="OUACHITA NATIONAL FOREST"/>
    <s v="5TH PRINCIPAL MERIDIAN, T5N,R25W"/>
    <s v="SEC 28, NENE, S2NE,SENW,W2SW,SESW,NESE,S2SE"/>
    <m/>
    <m/>
  </r>
  <r>
    <s v="ARES54673"/>
    <x v="0"/>
    <x v="0"/>
    <d v="2007-03-15T00:00:00"/>
    <d v="2007-06-01T00:00:00"/>
    <x v="27"/>
    <n v="120"/>
    <x v="26"/>
    <x v="2"/>
    <n v="0.5"/>
    <m/>
    <m/>
    <s v="ES-2007-06-67"/>
    <n v="550"/>
    <n v="4080"/>
    <n v="4630"/>
    <n v="240"/>
    <m/>
    <m/>
    <m/>
    <x v="1"/>
    <x v="11"/>
    <m/>
    <m/>
    <s v="OUACHITA NATIONAL FOREST"/>
    <s v="5TH PRINCIPAL MERIDIAN, T5N,R25W"/>
    <s v="SEC 28, SWNW,NESW,NWSE"/>
    <m/>
    <m/>
  </r>
  <r>
    <s v="ARES54681"/>
    <x v="0"/>
    <x v="0"/>
    <d v="2007-03-15T00:00:00"/>
    <d v="2007-06-01T00:00:00"/>
    <x v="27"/>
    <n v="1038.52"/>
    <x v="72"/>
    <x v="2"/>
    <n v="0.5"/>
    <m/>
    <m/>
    <s v="ES-2007-06-75"/>
    <n v="3766.5"/>
    <n v="673272"/>
    <n v="677038.5"/>
    <n v="2078"/>
    <m/>
    <m/>
    <m/>
    <x v="1"/>
    <x v="11"/>
    <m/>
    <m/>
    <s v="OZARK NATIONAL FOREST"/>
    <s v="5TH PRINCIPAL MERIDIAN, T11N,R16W"/>
    <s v="SEC 29, N2NE, NENW; SEC 30, E2, NW; SEC 31, NENE, SWNE, N2SE, SESE; SEC 32 W2NW, NWSW, SESE"/>
    <m/>
    <m/>
  </r>
  <r>
    <s v="ARES54683"/>
    <x v="0"/>
    <x v="0"/>
    <d v="2007-03-15T00:00:00"/>
    <d v="2007-06-01T00:00:00"/>
    <x v="27"/>
    <n v="160"/>
    <x v="73"/>
    <x v="2"/>
    <n v="0.5"/>
    <m/>
    <m/>
    <s v="ES-2007-06-77"/>
    <n v="690"/>
    <n v="4480"/>
    <n v="5170"/>
    <n v="320"/>
    <m/>
    <m/>
    <m/>
    <x v="1"/>
    <x v="11"/>
    <m/>
    <m/>
    <s v="OZARK NATIONAL FOREST"/>
    <s v="5TH PRINCIPAL MERIDIAN, T12N,R17W"/>
    <s v="SEC 31, SWNE, NESW, W2SE"/>
    <m/>
    <m/>
  </r>
  <r>
    <s v="LAES54696"/>
    <x v="0"/>
    <x v="0"/>
    <d v="2007-03-15T00:00:00"/>
    <d v="2007-06-01T00:00:00"/>
    <x v="27"/>
    <n v="300"/>
    <x v="54"/>
    <x v="3"/>
    <n v="0.5"/>
    <m/>
    <m/>
    <s v="ES-2007-06-90"/>
    <n v="1180"/>
    <n v="30900"/>
    <n v="32080"/>
    <n v="600"/>
    <m/>
    <m/>
    <m/>
    <x v="1"/>
    <x v="11"/>
    <m/>
    <m/>
    <s v="KISATCHIE NATIONAL FOREST"/>
    <s v="LOUISIANA MERIDIAN, T22N,R6W"/>
    <s v="SEC 12, SENW, E2SW, E2SWNE, SE, S2SW"/>
    <m/>
    <m/>
  </r>
  <r>
    <s v="MIES54700"/>
    <x v="0"/>
    <x v="0"/>
    <d v="2007-03-15T00:00:00"/>
    <d v="2007-06-01T00:00:00"/>
    <x v="27"/>
    <n v="460"/>
    <x v="74"/>
    <x v="9"/>
    <n v="0.5"/>
    <m/>
    <m/>
    <s v="ES-2007-06-94"/>
    <n v="1740"/>
    <n v="0"/>
    <n v="1740"/>
    <n v="920"/>
    <m/>
    <m/>
    <m/>
    <x v="1"/>
    <x v="11"/>
    <m/>
    <m/>
    <s v="MANISTEE NATIONAL FOREST"/>
    <s v="MICHIGAN MERIDIAN, T18N,R14W"/>
    <s v="SEC 13, NW; SEC 14, S2NE, E2SENW, N2SW, SWSW"/>
    <m/>
    <m/>
  </r>
  <r>
    <s v="MIES54701"/>
    <x v="0"/>
    <x v="0"/>
    <d v="2007-03-15T00:00:00"/>
    <d v="2007-06-01T00:00:00"/>
    <x v="27"/>
    <n v="597.73"/>
    <x v="74"/>
    <x v="9"/>
    <n v="0.5"/>
    <m/>
    <m/>
    <s v="ES-2007-06-95"/>
    <n v="2223"/>
    <n v="1196"/>
    <n v="3419"/>
    <n v="1196"/>
    <m/>
    <m/>
    <m/>
    <x v="1"/>
    <x v="11"/>
    <m/>
    <m/>
    <s v="MANISTEE NATIONAL FOREST"/>
    <s v="MICHIGAN MERIDIAN, T18N,R14W"/>
    <s v="SEC 22, SENE; SEC 23, NENW, S2NW, E2SE; SEC 24, PT. W2NW, E2SW, SWSW, SE"/>
    <m/>
    <m/>
  </r>
  <r>
    <s v="MIES54702"/>
    <x v="0"/>
    <x v="0"/>
    <d v="2007-03-15T00:00:00"/>
    <d v="2007-06-01T00:00:00"/>
    <x v="27"/>
    <n v="496.2"/>
    <x v="74"/>
    <x v="9"/>
    <n v="0.5"/>
    <m/>
    <m/>
    <s v="ES-2007-06-96"/>
    <n v="1869.5"/>
    <n v="0"/>
    <n v="1869.5"/>
    <n v="994"/>
    <m/>
    <m/>
    <m/>
    <x v="1"/>
    <x v="11"/>
    <m/>
    <m/>
    <s v="MANISTEE NATIONAL FOREST"/>
    <s v="MICHIGAN MERIDIAN, T18N,R14W"/>
    <s v="SEC 25, SW; SEC 26, N2NE, SE; SEC 27, E2NWSE, PART OF E2SSE EXC 100' PMRR ROW"/>
    <m/>
    <m/>
  </r>
  <r>
    <s v="MSES54711"/>
    <x v="0"/>
    <x v="0"/>
    <d v="2007-03-15T00:00:00"/>
    <d v="2007-06-01T00:00:00"/>
    <x v="27"/>
    <n v="303.31"/>
    <x v="38"/>
    <x v="4"/>
    <n v="0.5"/>
    <m/>
    <m/>
    <s v="ES-2007-06-105"/>
    <n v="1194"/>
    <n v="9728"/>
    <n v="10922"/>
    <n v="608"/>
    <m/>
    <m/>
    <m/>
    <x v="1"/>
    <x v="11"/>
    <m/>
    <m/>
    <s v="HOMOCHITTO NATIONAL FOREST"/>
    <s v="WASHINGTON MERIDIAN, T5N, R1E"/>
    <s v="SEC 19, LOTS 1,2,3,6,7,8 (TRACT H-1)"/>
    <m/>
    <m/>
  </r>
  <r>
    <s v="MSES54712"/>
    <x v="0"/>
    <x v="0"/>
    <d v="2007-03-15T00:00:00"/>
    <d v="2007-06-01T00:00:00"/>
    <x v="27"/>
    <n v="191.77"/>
    <x v="38"/>
    <x v="4"/>
    <n v="0.5"/>
    <m/>
    <m/>
    <s v="ES-2007-06-106"/>
    <n v="942"/>
    <n v="9744"/>
    <n v="10686"/>
    <n v="384"/>
    <m/>
    <m/>
    <m/>
    <x v="45"/>
    <x v="11"/>
    <m/>
    <m/>
    <s v="HOMOCHITTO NATIONAL FOREST"/>
    <s v="WASHINGTON MERIDIAN, T5N, R1E"/>
    <s v="SEC 20, NE, S2SE (TRACT H-1)"/>
    <m/>
    <m/>
  </r>
  <r>
    <s v="MSES54713"/>
    <x v="0"/>
    <x v="0"/>
    <d v="2007-03-15T00:00:00"/>
    <d v="2007-06-01T00:00:00"/>
    <x v="27"/>
    <n v="40"/>
    <x v="38"/>
    <x v="4"/>
    <n v="0.5"/>
    <m/>
    <m/>
    <s v="ES-2007-06-107"/>
    <n v="403"/>
    <n v="4524"/>
    <n v="4927"/>
    <n v="80"/>
    <m/>
    <m/>
    <m/>
    <x v="45"/>
    <x v="11"/>
    <m/>
    <m/>
    <s v="HOMOCHITTO NATIONAL FOREST"/>
    <s v="WASHINGTON MERIDIAN, T5N, R1E"/>
    <s v="SEC 20, S2NW"/>
    <m/>
    <m/>
  </r>
  <r>
    <s v="MSES54714"/>
    <x v="0"/>
    <x v="0"/>
    <d v="2007-03-15T00:00:00"/>
    <d v="2007-06-01T00:00:00"/>
    <x v="27"/>
    <n v="587.42999999999995"/>
    <x v="38"/>
    <x v="4"/>
    <n v="0.5"/>
    <m/>
    <m/>
    <s v="ES-2007-06-108"/>
    <n v="2188"/>
    <n v="37632"/>
    <n v="39820"/>
    <n v="1176"/>
    <m/>
    <m/>
    <m/>
    <x v="1"/>
    <x v="11"/>
    <m/>
    <m/>
    <s v="HOMOCHITTO NATIONAL FOREST"/>
    <s v="WASHINGTON MERIDIAN, T5N, R1E"/>
    <s v="SEC 34, W2NE, SENE, W2, SE (TRACT H-1, H-146)"/>
    <m/>
    <m/>
  </r>
  <r>
    <s v="MSES54715"/>
    <x v="0"/>
    <x v="0"/>
    <d v="2007-03-15T00:00:00"/>
    <d v="2007-06-01T00:00:00"/>
    <x v="27"/>
    <n v="627.17999999999995"/>
    <x v="38"/>
    <x v="4"/>
    <n v="0.5"/>
    <m/>
    <m/>
    <s v="ES-2007-06-109"/>
    <n v="2328"/>
    <n v="45844"/>
    <n v="48172"/>
    <n v="1256"/>
    <m/>
    <m/>
    <m/>
    <x v="1"/>
    <x v="11"/>
    <m/>
    <m/>
    <s v="HOMOCHITTO NATIONAL FOREST"/>
    <s v="WASHINGTON MERIDIAN, T5N, R1E"/>
    <s v="SEC 35, TRACT H-1: ALL"/>
    <m/>
    <m/>
  </r>
  <r>
    <s v="MSES54716"/>
    <x v="0"/>
    <x v="0"/>
    <d v="2007-03-15T00:00:00"/>
    <d v="2007-06-01T00:00:00"/>
    <x v="27"/>
    <n v="207.09"/>
    <x v="38"/>
    <x v="4"/>
    <n v="0.5"/>
    <m/>
    <m/>
    <s v="ES-2007-06-110"/>
    <n v="858"/>
    <n v="16224"/>
    <n v="17082"/>
    <n v="416"/>
    <m/>
    <m/>
    <m/>
    <x v="1"/>
    <x v="11"/>
    <m/>
    <m/>
    <s v="HOMOCHITTO NATIONAL FOREST"/>
    <s v="WASHINGTON MERIDIAN, T5N, R1E"/>
    <s v="SEC 46, TRACT H-13: LOT 1; LOTS 5 &amp; 6 LESS 100 ACRES OFF S END"/>
    <m/>
    <m/>
  </r>
  <r>
    <s v="MSES54719"/>
    <x v="0"/>
    <x v="0"/>
    <d v="2007-03-15T00:00:00"/>
    <d v="2007-06-01T00:00:00"/>
    <x v="27"/>
    <n v="491.11"/>
    <x v="38"/>
    <x v="4"/>
    <n v="0.5"/>
    <m/>
    <m/>
    <s v="ES-2007-06-113"/>
    <n v="1852"/>
    <n v="2952"/>
    <n v="4804"/>
    <n v="984"/>
    <m/>
    <m/>
    <m/>
    <x v="1"/>
    <x v="11"/>
    <m/>
    <m/>
    <s v="HOMOCHITTO NATIONAL FOREST"/>
    <s v="WASHINGTON MERIDIAN, T5N, R2E"/>
    <s v="SEC 17, N2, SW"/>
    <m/>
    <m/>
  </r>
  <r>
    <s v="MSES54720"/>
    <x v="0"/>
    <x v="0"/>
    <d v="2007-03-15T00:00:00"/>
    <d v="2007-06-01T00:00:00"/>
    <x v="27"/>
    <n v="163.69999999999999"/>
    <x v="38"/>
    <x v="4"/>
    <n v="0.5"/>
    <m/>
    <m/>
    <s v="ES-2007-06-114"/>
    <n v="704"/>
    <n v="9512"/>
    <n v="10216"/>
    <n v="328"/>
    <m/>
    <m/>
    <m/>
    <x v="1"/>
    <x v="11"/>
    <m/>
    <m/>
    <s v="HOMOCHITTO NATIONAL FOREST"/>
    <s v="WASHINGTON MERIDIAN, T5N, R2E"/>
    <s v="SEC 17, SE"/>
    <m/>
    <m/>
  </r>
  <r>
    <s v="MSES54721"/>
    <x v="0"/>
    <x v="0"/>
    <d v="2007-03-15T00:00:00"/>
    <d v="2007-06-01T00:00:00"/>
    <x v="27"/>
    <n v="168.49"/>
    <x v="38"/>
    <x v="4"/>
    <n v="0.5"/>
    <m/>
    <m/>
    <s v="ES-2007-06-115"/>
    <n v="721.5"/>
    <n v="8957"/>
    <n v="9678.5"/>
    <n v="338"/>
    <m/>
    <m/>
    <m/>
    <x v="1"/>
    <x v="11"/>
    <m/>
    <m/>
    <s v="HOMOCHITTO NATIONAL FOREST"/>
    <s v="WASHINGTON MERIDIAN, T5N, R2E"/>
    <s v="SEC 19, SE"/>
    <m/>
    <m/>
  </r>
  <r>
    <s v="MSES54723"/>
    <x v="0"/>
    <x v="0"/>
    <d v="2007-03-15T00:00:00"/>
    <d v="2007-06-01T00:00:00"/>
    <x v="27"/>
    <n v="80.239999999999995"/>
    <x v="38"/>
    <x v="4"/>
    <n v="0.5"/>
    <m/>
    <m/>
    <s v="ES-2007-06-117"/>
    <n v="413.5"/>
    <n v="6318"/>
    <n v="6731.5"/>
    <n v="162"/>
    <m/>
    <m/>
    <m/>
    <x v="1"/>
    <x v="11"/>
    <m/>
    <m/>
    <s v="HOMOCHITTO NATIONAL FOREST"/>
    <s v="WASHINGTON MERIDIAN, T6N, R2E"/>
    <s v="SEC 31, LOTS 13 AND 14"/>
    <m/>
    <m/>
  </r>
  <r>
    <s v="MSES54730"/>
    <x v="0"/>
    <x v="0"/>
    <d v="2007-03-15T00:00:00"/>
    <d v="2007-06-01T00:00:00"/>
    <x v="27"/>
    <n v="898.57"/>
    <x v="38"/>
    <x v="4"/>
    <n v="0.5"/>
    <m/>
    <m/>
    <s v="ES-2007-06-124"/>
    <n v="3276.5"/>
    <n v="97092"/>
    <n v="100368.5"/>
    <n v="1798"/>
    <m/>
    <m/>
    <m/>
    <x v="46"/>
    <x v="11"/>
    <m/>
    <m/>
    <s v="HOMOCHITTO NATIONAL FOREST"/>
    <s v="WASHINGTON MERIDIAN, T5N, R3E"/>
    <s v="SEC 33, ALL; SEC 34, W2NE, NW"/>
    <m/>
    <m/>
  </r>
  <r>
    <s v="MSES54731"/>
    <x v="0"/>
    <x v="0"/>
    <d v="2007-03-15T00:00:00"/>
    <d v="2007-06-01T00:00:00"/>
    <x v="27"/>
    <n v="158.91"/>
    <x v="38"/>
    <x v="4"/>
    <n v="0.5"/>
    <m/>
    <m/>
    <s v="ES-2007-06-125"/>
    <n v="686.5"/>
    <n v="25917"/>
    <n v="26603.5"/>
    <n v="318"/>
    <m/>
    <m/>
    <m/>
    <x v="46"/>
    <x v="11"/>
    <m/>
    <m/>
    <s v="HOMOCHITTO NATIONAL FOREST"/>
    <s v="WASHINGTON MERIDIAN, T5N, R3E"/>
    <s v="SEC 35, NWSW, S2SW, SWSE"/>
    <m/>
    <m/>
  </r>
  <r>
    <s v="MSES54732"/>
    <x v="0"/>
    <x v="0"/>
    <d v="2007-03-15T00:00:00"/>
    <d v="2007-06-01T00:00:00"/>
    <x v="27"/>
    <n v="160.13"/>
    <x v="38"/>
    <x v="4"/>
    <n v="0.5"/>
    <m/>
    <m/>
    <s v="ES-2007-06-126"/>
    <n v="693.5"/>
    <n v="18998"/>
    <n v="19691.5"/>
    <n v="322"/>
    <m/>
    <m/>
    <m/>
    <x v="46"/>
    <x v="11"/>
    <m/>
    <m/>
    <s v="HOMOCHITTO NATIONAL FOREST"/>
    <s v="WASHINGTON MERIDIAN, T5N, R3E"/>
    <s v="SEC 36, SE"/>
    <m/>
    <m/>
  </r>
  <r>
    <s v="MSES54733"/>
    <x v="0"/>
    <x v="0"/>
    <d v="2007-03-15T00:00:00"/>
    <d v="2007-06-01T00:00:00"/>
    <x v="27"/>
    <n v="356.16"/>
    <x v="38"/>
    <x v="4"/>
    <n v="0.5"/>
    <m/>
    <m/>
    <s v="ES-2007-06-127"/>
    <n v="1379.5"/>
    <n v="1428"/>
    <n v="2807.5"/>
    <n v="714"/>
    <m/>
    <m/>
    <m/>
    <x v="46"/>
    <x v="11"/>
    <m/>
    <m/>
    <s v="HOMOCHITTO NATIONAL FOREST"/>
    <s v="WASHINGTON MERIDIAN, T5N, R3E"/>
    <s v="SEC 37, NE, NESW, S2SW, N2SE "/>
    <m/>
    <m/>
  </r>
  <r>
    <s v="MSES54734"/>
    <x v="0"/>
    <x v="0"/>
    <d v="2007-03-15T00:00:00"/>
    <d v="2007-06-01T00:00:00"/>
    <x v="27"/>
    <n v="127.36"/>
    <x v="38"/>
    <x v="4"/>
    <n v="0.5"/>
    <m/>
    <m/>
    <s v="ES-2007-06-128"/>
    <n v="578"/>
    <n v="12544"/>
    <n v="13122"/>
    <n v="256"/>
    <m/>
    <m/>
    <m/>
    <x v="46"/>
    <x v="11"/>
    <m/>
    <m/>
    <s v="HOMOCHITTO NATIONAL FOREST"/>
    <s v="WASHINGTON MERIDIAN, T5N, R3E"/>
    <s v="SEC 43, N2NE, SENE"/>
    <m/>
    <m/>
  </r>
  <r>
    <s v="MSES54735"/>
    <x v="0"/>
    <x v="0"/>
    <d v="2007-03-15T00:00:00"/>
    <d v="2007-06-01T00:00:00"/>
    <x v="27"/>
    <n v="163.47"/>
    <x v="38"/>
    <x v="4"/>
    <n v="0.5"/>
    <m/>
    <m/>
    <s v="ES-2007-06-129"/>
    <n v="704"/>
    <n v="52152"/>
    <n v="52856"/>
    <n v="328"/>
    <m/>
    <m/>
    <m/>
    <x v="46"/>
    <x v="11"/>
    <m/>
    <m/>
    <s v="HOMOCHITTO NATIONAL FOREST"/>
    <s v="WASHINGTON MERIDIAN, T5N, R3E"/>
    <s v="SEC 44, NW"/>
    <m/>
    <m/>
  </r>
  <r>
    <s v="MSES54736"/>
    <x v="0"/>
    <x v="0"/>
    <d v="2007-03-15T00:00:00"/>
    <d v="2007-06-01T00:00:00"/>
    <x v="27"/>
    <n v="78.67"/>
    <x v="38"/>
    <x v="4"/>
    <n v="0.5"/>
    <m/>
    <m/>
    <s v="ES-2007-06-130"/>
    <n v="406.5"/>
    <n v="5372"/>
    <n v="5778.5"/>
    <n v="158"/>
    <m/>
    <m/>
    <m/>
    <x v="46"/>
    <x v="11"/>
    <m/>
    <m/>
    <s v="HOMOCHITTO NATIONAL FOREST"/>
    <s v="WASHINGTON MERIDIAN, T5N, R4E"/>
    <s v="SEC 29, NWNW; SEC 30, NWSE"/>
    <m/>
    <m/>
  </r>
  <r>
    <s v="MSES54740"/>
    <x v="0"/>
    <x v="0"/>
    <d v="2007-03-15T00:00:00"/>
    <d v="2007-06-01T00:00:00"/>
    <x v="27"/>
    <n v="359.38"/>
    <x v="75"/>
    <x v="4"/>
    <n v="0.5"/>
    <m/>
    <m/>
    <s v="ES-2007-06-134"/>
    <n v="1390"/>
    <n v="0"/>
    <n v="1390"/>
    <n v="720"/>
    <m/>
    <m/>
    <m/>
    <x v="36"/>
    <x v="11"/>
    <m/>
    <m/>
    <s v="DESOTO NATIONAL FOREST"/>
    <s v="ST STEPHENS MERIDIAN, T3S, R9W"/>
    <s v="SEC 2, W2, NWNE"/>
    <m/>
    <m/>
  </r>
  <r>
    <s v="MSES54741"/>
    <x v="0"/>
    <x v="0"/>
    <d v="2007-03-15T00:00:00"/>
    <d v="2007-06-01T00:00:00"/>
    <x v="27"/>
    <n v="400"/>
    <x v="75"/>
    <x v="4"/>
    <n v="0.5"/>
    <m/>
    <m/>
    <s v="ES-2007-06-135"/>
    <n v="1530"/>
    <n v="0"/>
    <n v="1530"/>
    <n v="800"/>
    <m/>
    <m/>
    <m/>
    <x v="36"/>
    <x v="11"/>
    <m/>
    <m/>
    <s v="DESOTO NATIONAL FOREST"/>
    <s v="ST STEPHENS MERIDIAN, T3S, R9W"/>
    <s v="SEC 3, NE, N2NW, SW"/>
    <m/>
    <m/>
  </r>
  <r>
    <s v="MSES54742"/>
    <x v="0"/>
    <x v="0"/>
    <d v="2007-03-15T00:00:00"/>
    <d v="2007-06-01T00:00:00"/>
    <x v="27"/>
    <n v="549.6"/>
    <x v="34"/>
    <x v="4"/>
    <n v="0.5"/>
    <m/>
    <m/>
    <s v="ES-2007-06-136"/>
    <n v="2055"/>
    <n v="0"/>
    <n v="2055"/>
    <n v="1100"/>
    <m/>
    <m/>
    <m/>
    <x v="36"/>
    <x v="11"/>
    <m/>
    <m/>
    <s v="DESOTO NATIONAL FOREST"/>
    <s v="ST STEPHENS MERIDIAN, T3S, R9W"/>
    <s v="SEC 4, N2, W2SW, SE1/4 LESS 10A DESCRIBED BY M&amp;B IN LEASE ATTACHMENT"/>
    <m/>
    <m/>
  </r>
  <r>
    <s v="MSES54743"/>
    <x v="0"/>
    <x v="0"/>
    <d v="2007-03-15T00:00:00"/>
    <d v="2007-06-01T00:00:00"/>
    <x v="27"/>
    <n v="478.69"/>
    <x v="34"/>
    <x v="4"/>
    <n v="0.5"/>
    <m/>
    <m/>
    <s v="ES-2007-06-137"/>
    <n v="1806.5"/>
    <n v="0"/>
    <n v="1806.5"/>
    <n v="958"/>
    <m/>
    <m/>
    <m/>
    <x v="36"/>
    <x v="11"/>
    <m/>
    <m/>
    <s v="DESOTO NATIONAL FOREST"/>
    <s v="ST STEPHENS MERIDIAN, T3S, R9W"/>
    <s v="SEC 5, NE, W2 LESS PART OF SENW &amp; NESW, APPROX 1.55 A DESCRIBED BY M&amp;B IN LEASE ATTACHMENT"/>
    <m/>
    <m/>
  </r>
  <r>
    <s v="MSES54744"/>
    <x v="0"/>
    <x v="0"/>
    <d v="2007-03-15T00:00:00"/>
    <d v="2007-06-01T00:00:00"/>
    <x v="27"/>
    <n v="645.6"/>
    <x v="34"/>
    <x v="4"/>
    <n v="0.5"/>
    <m/>
    <m/>
    <s v="ES-2007-06-138"/>
    <n v="2391"/>
    <n v="0"/>
    <n v="2391"/>
    <n v="1292"/>
    <m/>
    <m/>
    <m/>
    <x v="36"/>
    <x v="11"/>
    <m/>
    <m/>
    <s v="DESOTO NATIONAL FOREST"/>
    <s v="ST STEPHENS MERIDIAN, T3S, R9W"/>
    <s v="SEC 6, ALL"/>
    <m/>
    <m/>
  </r>
  <r>
    <s v="MSES54745"/>
    <x v="0"/>
    <x v="0"/>
    <d v="2007-03-15T00:00:00"/>
    <d v="2007-06-01T00:00:00"/>
    <x v="27"/>
    <n v="323.12"/>
    <x v="34"/>
    <x v="4"/>
    <n v="0.5"/>
    <m/>
    <m/>
    <s v="ES-2007-06-139"/>
    <n v="1264"/>
    <n v="0"/>
    <n v="1264"/>
    <n v="648"/>
    <m/>
    <m/>
    <m/>
    <x v="36"/>
    <x v="11"/>
    <m/>
    <m/>
    <s v="DESOTO NATIONAL FOREST"/>
    <s v="ST STEPHENS MERIDIAN, T3S, R9W"/>
    <s v="SEC 7, S2"/>
    <m/>
    <m/>
  </r>
  <r>
    <s v="MSES54746"/>
    <x v="0"/>
    <x v="0"/>
    <d v="2007-03-15T00:00:00"/>
    <d v="2007-06-01T00:00:00"/>
    <x v="27"/>
    <n v="419.03"/>
    <x v="34"/>
    <x v="4"/>
    <n v="0.5"/>
    <m/>
    <m/>
    <s v="ES-2007-06-140"/>
    <n v="1600"/>
    <n v="0"/>
    <n v="1600"/>
    <n v="840"/>
    <m/>
    <m/>
    <m/>
    <x v="36"/>
    <x v="11"/>
    <m/>
    <m/>
    <s v="DESOTO NATIONAL FOREST"/>
    <s v="ST STEPHENS MERIDIAN, T3S, R9W"/>
    <s v="SEC 8, N2NE &amp; SWNE LESS 1.18 A DESCRIBED BY M&amp;B; NENWSE; S2NWSE; NENESE; S2NESE; SESE"/>
    <m/>
    <m/>
  </r>
  <r>
    <s v="MSES54747"/>
    <x v="0"/>
    <x v="0"/>
    <d v="2007-03-15T00:00:00"/>
    <d v="2007-06-01T00:00:00"/>
    <x v="27"/>
    <n v="319.8"/>
    <x v="34"/>
    <x v="4"/>
    <n v="0.5"/>
    <m/>
    <m/>
    <s v="ES-2007-06-141"/>
    <n v="1250"/>
    <n v="0"/>
    <n v="1250"/>
    <n v="640"/>
    <m/>
    <m/>
    <m/>
    <x v="36"/>
    <x v="11"/>
    <m/>
    <m/>
    <s v="DESOTO NATIONAL FOREST"/>
    <s v="ST STEPHENS MERIDIAN, T3S, R9W"/>
    <s v="SEC 9, NE, E2NW, SWSW, NWSE"/>
    <m/>
    <m/>
  </r>
  <r>
    <s v="MSES54748"/>
    <x v="0"/>
    <x v="0"/>
    <d v="2007-03-15T00:00:00"/>
    <d v="2007-06-01T00:00:00"/>
    <x v="27"/>
    <n v="610"/>
    <x v="75"/>
    <x v="4"/>
    <n v="0.5"/>
    <m/>
    <m/>
    <s v="ES-2007-06-142"/>
    <n v="2265"/>
    <n v="0"/>
    <n v="2265"/>
    <n v="1220"/>
    <m/>
    <m/>
    <m/>
    <x v="36"/>
    <x v="11"/>
    <m/>
    <m/>
    <s v="DESOTO NATIONAL FOREST"/>
    <s v="ST STEPHENS MERIDIAN, T3S, R9W"/>
    <s v="SEC 10, E2E2 LESS &amp; EXCEPT E1/4SENE, W2E2, E2W2, W2W2 LESS &amp; EXCEPT S2SWSW"/>
    <m/>
    <m/>
  </r>
  <r>
    <s v="MSES54750"/>
    <x v="0"/>
    <x v="0"/>
    <d v="2007-03-15T00:00:00"/>
    <d v="2007-06-01T00:00:00"/>
    <x v="27"/>
    <n v="280.10000000000002"/>
    <x v="75"/>
    <x v="4"/>
    <n v="0.5"/>
    <m/>
    <m/>
    <s v="ES-2007-06-144"/>
    <n v="1113.5"/>
    <n v="0"/>
    <n v="1113.5"/>
    <n v="562"/>
    <m/>
    <m/>
    <m/>
    <x v="36"/>
    <x v="11"/>
    <m/>
    <m/>
    <s v="DESOTO NATIONAL FOREST"/>
    <s v="ST STEPHENS MERIDIAN, T3S, R9W"/>
    <s v="SEC 12, N2 LESS NENE"/>
    <m/>
    <m/>
  </r>
  <r>
    <s v="MSES54751"/>
    <x v="0"/>
    <x v="0"/>
    <d v="2007-03-15T00:00:00"/>
    <d v="2007-06-01T00:00:00"/>
    <x v="27"/>
    <n v="240.24"/>
    <x v="34"/>
    <x v="4"/>
    <n v="0.5"/>
    <m/>
    <m/>
    <s v="ES-2007-06-145"/>
    <n v="973.5"/>
    <n v="0"/>
    <n v="973.5"/>
    <n v="482"/>
    <m/>
    <m/>
    <m/>
    <x v="36"/>
    <x v="11"/>
    <m/>
    <m/>
    <s v="DESOTO NATIONAL FOREST"/>
    <s v="ST STEPHENS MERIDIAN, T3S, R9W"/>
    <s v="SEC 17,NWSW, S2SW, NESE, S2SE"/>
    <m/>
    <m/>
  </r>
  <r>
    <s v="MSES54752"/>
    <x v="0"/>
    <x v="0"/>
    <d v="2007-03-15T00:00:00"/>
    <d v="2007-06-01T00:00:00"/>
    <x v="27"/>
    <n v="646.79999999999995"/>
    <x v="34"/>
    <x v="4"/>
    <n v="0.5"/>
    <m/>
    <m/>
    <s v="ES-2007-06-146"/>
    <n v="2394.5"/>
    <n v="0"/>
    <n v="2394.5"/>
    <n v="1294"/>
    <m/>
    <m/>
    <m/>
    <x v="36"/>
    <x v="11"/>
    <m/>
    <m/>
    <s v="DESOTO NATIONAL FOREST"/>
    <s v="ST STEPHENS MERIDIAN, T3S, R9W"/>
    <s v="SEC 18, ALL"/>
    <m/>
    <m/>
  </r>
  <r>
    <s v="MSES54753"/>
    <x v="0"/>
    <x v="0"/>
    <d v="2007-03-15T00:00:00"/>
    <d v="2007-06-01T00:00:00"/>
    <x v="27"/>
    <n v="606.75"/>
    <x v="34"/>
    <x v="4"/>
    <n v="0.5"/>
    <m/>
    <m/>
    <s v="ES-2007-06-147"/>
    <n v="2254.5"/>
    <n v="0"/>
    <n v="2254.5"/>
    <n v="1214"/>
    <m/>
    <m/>
    <m/>
    <x v="36"/>
    <x v="11"/>
    <m/>
    <m/>
    <s v="DESOTO NATIONAL FOREST"/>
    <s v="ST STEPHENS MERIDIAN, T3S, R9W"/>
    <s v="SEC 19, E2, N2NW, SWNW, SW"/>
    <m/>
    <m/>
  </r>
  <r>
    <s v="MSES54754"/>
    <x v="0"/>
    <x v="0"/>
    <d v="2007-03-15T00:00:00"/>
    <d v="2007-06-01T00:00:00"/>
    <x v="27"/>
    <n v="521.16999999999996"/>
    <x v="34"/>
    <x v="4"/>
    <n v="0.5"/>
    <m/>
    <m/>
    <s v="ES-2007-06-148"/>
    <n v="1957"/>
    <n v="0"/>
    <n v="1957"/>
    <n v="1044"/>
    <m/>
    <m/>
    <m/>
    <x v="36"/>
    <x v="11"/>
    <m/>
    <m/>
    <s v="DESOTO NATIONAL FOREST"/>
    <s v="ST STEPHENS MERIDIAN, T3S, R9W"/>
    <s v="SEC 20. NENE, S2NE, N2NW, SENW, NESW, S2SW, SE"/>
    <m/>
    <m/>
  </r>
  <r>
    <s v="MSES54755"/>
    <x v="0"/>
    <x v="0"/>
    <d v="2007-03-15T00:00:00"/>
    <d v="2007-06-01T00:00:00"/>
    <x v="27"/>
    <n v="240"/>
    <x v="75"/>
    <x v="4"/>
    <n v="0.5"/>
    <m/>
    <m/>
    <s v="ES-2007-06-149"/>
    <n v="970"/>
    <n v="0"/>
    <n v="970"/>
    <n v="480"/>
    <m/>
    <m/>
    <m/>
    <x v="36"/>
    <x v="11"/>
    <m/>
    <m/>
    <s v="DESOTO NATIONAL FOREST"/>
    <s v="ST STEPHENS MERIDIAN, T3S, R9W"/>
    <s v="SEC 22, S2S2, N2SW"/>
    <m/>
    <m/>
  </r>
  <r>
    <s v="MSES54756"/>
    <x v="0"/>
    <x v="0"/>
    <d v="2007-03-15T00:00:00"/>
    <d v="2007-06-01T00:00:00"/>
    <x v="27"/>
    <n v="399.5"/>
    <x v="75"/>
    <x v="4"/>
    <n v="0.5"/>
    <m/>
    <m/>
    <s v="ES-2007-06-150"/>
    <n v="1530"/>
    <n v="0"/>
    <n v="1530"/>
    <n v="800"/>
    <m/>
    <m/>
    <m/>
    <x v="36"/>
    <x v="11"/>
    <m/>
    <m/>
    <s v="DESOTO NATIONAL FOREST"/>
    <s v="ST STEPHENS MERIDIAN, T3S, R9W"/>
    <s v="SEC 25, S2NE, W2"/>
    <m/>
    <m/>
  </r>
  <r>
    <s v="MSES54757"/>
    <x v="0"/>
    <x v="0"/>
    <d v="2007-03-15T00:00:00"/>
    <d v="2007-06-01T00:00:00"/>
    <x v="27"/>
    <n v="638.4"/>
    <x v="75"/>
    <x v="4"/>
    <n v="0.5"/>
    <m/>
    <m/>
    <s v="ES-2007-06-151"/>
    <n v="2366.5"/>
    <n v="0"/>
    <n v="2366.5"/>
    <n v="1278"/>
    <m/>
    <m/>
    <m/>
    <x v="36"/>
    <x v="11"/>
    <m/>
    <m/>
    <s v="DESOTO NATIONAL FOREST"/>
    <s v="ST STEPHENS MERIDIAN, T3S, R9W"/>
    <s v="SEC 26, ALL"/>
    <m/>
    <m/>
  </r>
  <r>
    <s v="MSES54758"/>
    <x v="0"/>
    <x v="0"/>
    <d v="2007-03-15T00:00:00"/>
    <d v="2007-06-01T00:00:00"/>
    <x v="27"/>
    <n v="640"/>
    <x v="75"/>
    <x v="4"/>
    <n v="0.5"/>
    <m/>
    <m/>
    <s v="ES-2007-06-152"/>
    <n v="2370"/>
    <n v="0"/>
    <n v="2370"/>
    <n v="1280"/>
    <m/>
    <m/>
    <m/>
    <x v="36"/>
    <x v="11"/>
    <m/>
    <m/>
    <s v="DESOTO NATIONAL FOREST"/>
    <s v="ST STEPHENS MERIDIAN, T3S, R9W"/>
    <s v="SEC 27, ALL"/>
    <m/>
    <m/>
  </r>
  <r>
    <s v="MSES54759"/>
    <x v="0"/>
    <x v="0"/>
    <d v="2007-03-15T00:00:00"/>
    <d v="2007-06-01T00:00:00"/>
    <x v="27"/>
    <n v="439.77"/>
    <x v="34"/>
    <x v="4"/>
    <n v="0.5"/>
    <m/>
    <m/>
    <s v="ES-2007-06-153"/>
    <n v="1670"/>
    <n v="0"/>
    <n v="1670"/>
    <n v="880"/>
    <m/>
    <m/>
    <m/>
    <x v="36"/>
    <x v="11"/>
    <m/>
    <m/>
    <s v="DESOTO NATIONAL FOREST"/>
    <s v="ST STEPHENS MERIDIAN, T3S, R9W"/>
    <s v="SEC 28, E2, N2NW, SENW"/>
    <m/>
    <m/>
  </r>
  <r>
    <s v="MSES54761"/>
    <x v="0"/>
    <x v="0"/>
    <d v="2007-03-15T00:00:00"/>
    <d v="2007-06-01T00:00:00"/>
    <x v="27"/>
    <n v="480"/>
    <x v="34"/>
    <x v="4"/>
    <n v="0.5"/>
    <m/>
    <m/>
    <s v="ES-2007-06-155"/>
    <n v="2254.5"/>
    <n v="0"/>
    <n v="2254.5"/>
    <n v="960"/>
    <m/>
    <m/>
    <m/>
    <x v="47"/>
    <x v="11"/>
    <m/>
    <m/>
    <s v="DESOTO NATIONAL FOREST"/>
    <s v="ST STEPHENS MERIDIAN, T3S, R9W"/>
    <s v="SEC 30, N2, SE"/>
    <m/>
    <m/>
  </r>
  <r>
    <s v="MSES54762"/>
    <x v="0"/>
    <x v="0"/>
    <d v="2007-03-15T00:00:00"/>
    <d v="2007-06-01T00:00:00"/>
    <x v="27"/>
    <n v="375.84"/>
    <x v="34"/>
    <x v="4"/>
    <n v="0.5"/>
    <m/>
    <m/>
    <s v="ES-2007-06-156"/>
    <n v="2198"/>
    <m/>
    <n v="2198"/>
    <n v="752"/>
    <m/>
    <m/>
    <m/>
    <x v="36"/>
    <x v="11"/>
    <m/>
    <m/>
    <s v="DESOTO NATIONAL FOREST"/>
    <s v="ST STEPHENS MERIDIAN, T3S, R9W"/>
    <s v="SEC 31, E2W2, SWNW, W2SENE, SE"/>
    <m/>
    <m/>
  </r>
  <r>
    <s v="MSES54765"/>
    <x v="0"/>
    <x v="0"/>
    <d v="2007-03-15T00:00:00"/>
    <d v="2007-06-01T00:00:00"/>
    <x v="27"/>
    <n v="633.20000000000005"/>
    <x v="75"/>
    <x v="4"/>
    <n v="0.5"/>
    <m/>
    <m/>
    <s v="ES-2007-06-159"/>
    <n v="2349"/>
    <n v="1268"/>
    <n v="3617"/>
    <n v="1268"/>
    <m/>
    <m/>
    <m/>
    <x v="36"/>
    <x v="11"/>
    <m/>
    <m/>
    <s v="DESOTO NATIONAL FOREST"/>
    <s v="ST STEPHENS MERIDIAN, T3S, R9W"/>
    <s v="SEC 34, ALL"/>
    <m/>
    <m/>
  </r>
  <r>
    <s v="MSES54766"/>
    <x v="0"/>
    <x v="0"/>
    <d v="2007-03-15T00:00:00"/>
    <d v="2007-06-01T00:00:00"/>
    <x v="27"/>
    <n v="634.79999999999995"/>
    <x v="75"/>
    <x v="4"/>
    <n v="0.5"/>
    <m/>
    <m/>
    <s v="ES-2007-06-160"/>
    <n v="2352.5"/>
    <n v="0"/>
    <n v="2352.5"/>
    <n v="1270"/>
    <m/>
    <m/>
    <m/>
    <x v="36"/>
    <x v="11"/>
    <m/>
    <m/>
    <s v="DESOTO NATIONAL FOREST"/>
    <s v="ST STEPHENS MERIDIAN, T3S, R9W"/>
    <s v="SEC 35, ALL"/>
    <m/>
    <m/>
  </r>
  <r>
    <s v="MSES54777"/>
    <x v="0"/>
    <x v="0"/>
    <d v="2007-03-15T00:00:00"/>
    <d v="2007-06-01T00:00:00"/>
    <x v="27"/>
    <n v="320"/>
    <x v="18"/>
    <x v="4"/>
    <n v="0.5"/>
    <m/>
    <m/>
    <s v="ES-2007-06-171"/>
    <n v="1250"/>
    <n v="640"/>
    <n v="1890"/>
    <n v="640"/>
    <m/>
    <m/>
    <m/>
    <x v="36"/>
    <x v="11"/>
    <m/>
    <m/>
    <s v="DESOTO NATIONAL FOREST"/>
    <s v="ST STEPHENS MERIDIAN, T4S, R9W"/>
    <s v="SEC 10, N2"/>
    <m/>
    <m/>
  </r>
  <r>
    <s v="MSES54779"/>
    <x v="0"/>
    <x v="0"/>
    <d v="2007-03-15T00:00:00"/>
    <d v="2007-06-01T00:00:00"/>
    <x v="27"/>
    <n v="599.61"/>
    <x v="18"/>
    <x v="4"/>
    <n v="0.5"/>
    <m/>
    <m/>
    <s v="ES-2007-06-173"/>
    <n v="2230"/>
    <n v="0"/>
    <n v="2230"/>
    <n v="1200"/>
    <m/>
    <m/>
    <m/>
    <x v="36"/>
    <x v="11"/>
    <m/>
    <m/>
    <s v="DESOTO NATIONAL FOREST"/>
    <s v="ST STEPHENS MERIDIAN, T4S, R9W"/>
    <s v="SEC 12, ALL LESS NENE"/>
    <m/>
    <m/>
  </r>
  <r>
    <s v="MSES54792"/>
    <x v="0"/>
    <x v="0"/>
    <d v="2007-03-15T00:00:00"/>
    <d v="2007-06-01T00:00:00"/>
    <x v="27"/>
    <n v="641.4"/>
    <x v="18"/>
    <x v="4"/>
    <n v="0.5"/>
    <m/>
    <m/>
    <s v="ES-2007-06-186"/>
    <n v="2377"/>
    <n v="0"/>
    <n v="2377"/>
    <n v="1284"/>
    <m/>
    <m/>
    <m/>
    <x v="36"/>
    <x v="11"/>
    <m/>
    <m/>
    <s v="DESOTO NATIONAL FOREST"/>
    <s v="ST STEPHENS MERIDIAN, T4S, R9W"/>
    <s v="SEC 26, ALL"/>
    <m/>
    <m/>
  </r>
  <r>
    <s v="MSES54793"/>
    <x v="0"/>
    <x v="0"/>
    <d v="2007-03-15T00:00:00"/>
    <d v="2007-06-01T00:00:00"/>
    <x v="27"/>
    <n v="359.33"/>
    <x v="56"/>
    <x v="4"/>
    <n v="0.5"/>
    <m/>
    <m/>
    <s v="ES-2007-06-187"/>
    <n v="1390"/>
    <n v="0"/>
    <n v="1390"/>
    <n v="720"/>
    <m/>
    <m/>
    <m/>
    <x v="36"/>
    <x v="11"/>
    <m/>
    <m/>
    <s v="DESOTO NATIONAL FOREST"/>
    <s v="ST STEPHENS MERIDIAN, T4S, R9W"/>
    <s v="SEC 28, E2, NESW"/>
    <m/>
    <m/>
  </r>
  <r>
    <s v="MSES54797"/>
    <x v="0"/>
    <x v="0"/>
    <d v="2007-03-15T00:00:00"/>
    <d v="2007-06-01T00:00:00"/>
    <x v="27"/>
    <n v="173.38"/>
    <x v="56"/>
    <x v="4"/>
    <n v="0.5"/>
    <m/>
    <m/>
    <s v="ES-2007-06-191"/>
    <n v="739"/>
    <n v="0"/>
    <n v="739"/>
    <n v="348"/>
    <m/>
    <m/>
    <m/>
    <x v="36"/>
    <x v="11"/>
    <m/>
    <m/>
    <s v="DESOTO NATIONAL FOREST"/>
    <s v="ST STEPHENS MERIDIAN, T4S, R9W"/>
    <s v="SEC 33, SE"/>
    <m/>
    <m/>
  </r>
  <r>
    <s v="MSES54802"/>
    <x v="0"/>
    <x v="0"/>
    <d v="2007-03-15T00:00:00"/>
    <d v="2007-06-01T00:00:00"/>
    <x v="27"/>
    <n v="319.66000000000003"/>
    <x v="56"/>
    <x v="4"/>
    <n v="0.5"/>
    <m/>
    <m/>
    <s v="ES-2007-06-196"/>
    <n v="1250"/>
    <n v="0"/>
    <n v="1250"/>
    <n v="640"/>
    <m/>
    <m/>
    <m/>
    <x v="36"/>
    <x v="11"/>
    <m/>
    <m/>
    <s v="DESOTO NATIONAL FOREST"/>
    <s v="ST STEPHENS MERIDIAN, T5S, R9W"/>
    <s v="SEC 7, S2"/>
    <m/>
    <m/>
  </r>
  <r>
    <s v="MSES54809"/>
    <x v="0"/>
    <x v="0"/>
    <d v="2007-03-15T00:00:00"/>
    <d v="2007-06-01T00:00:00"/>
    <x v="27"/>
    <n v="400"/>
    <x v="34"/>
    <x v="4"/>
    <n v="0.5"/>
    <m/>
    <m/>
    <s v="ES-2007-06-203"/>
    <n v="1530"/>
    <n v="0"/>
    <n v="1530"/>
    <n v="800"/>
    <m/>
    <m/>
    <m/>
    <x v="36"/>
    <x v="11"/>
    <m/>
    <m/>
    <s v="DESOTO NATIONAL FOREST"/>
    <s v="ST STEPHENS MERIDIAN, T3S, R10W"/>
    <s v="SEC 1, NE, N2NW, E2SW, NESE"/>
    <m/>
    <m/>
  </r>
  <r>
    <s v="MSES54810"/>
    <x v="0"/>
    <x v="0"/>
    <d v="2007-03-15T00:00:00"/>
    <d v="2007-06-01T00:00:00"/>
    <x v="27"/>
    <n v="396.84"/>
    <x v="34"/>
    <x v="4"/>
    <n v="0.5"/>
    <m/>
    <m/>
    <s v="ES-2007-06-204"/>
    <n v="1519.5"/>
    <n v="0"/>
    <n v="1519.5"/>
    <n v="794"/>
    <m/>
    <m/>
    <m/>
    <x v="36"/>
    <x v="11"/>
    <m/>
    <m/>
    <s v="DESOTO NATIONAL FOREST"/>
    <s v="ST STEPHENS MERIDIAN, T3S, R10W"/>
    <s v="SEC 2, SENE, S2NW, SW, W2SE, NESE LESS 3.91 A. DESCRIBED BY M&amp;B IN LEASE"/>
    <m/>
    <m/>
  </r>
  <r>
    <s v="MSES54811"/>
    <x v="0"/>
    <x v="0"/>
    <d v="2007-03-15T00:00:00"/>
    <d v="2007-06-01T00:00:00"/>
    <x v="27"/>
    <n v="521.95000000000005"/>
    <x v="34"/>
    <x v="4"/>
    <n v="0.5"/>
    <m/>
    <m/>
    <s v="ES-2007-06-205"/>
    <n v="1957"/>
    <n v="0"/>
    <n v="1957"/>
    <n v="1044"/>
    <m/>
    <m/>
    <m/>
    <x v="36"/>
    <x v="11"/>
    <m/>
    <m/>
    <s v="DESOTO NATIONAL FOREST"/>
    <s v="ST STEPHENS MERIDIAN, T3S, R10W"/>
    <s v="SEC 11, E2NE, SWNE, N2NW, SENW, N2SW, SESW, SE"/>
    <m/>
    <m/>
  </r>
  <r>
    <s v="MSES54812"/>
    <x v="0"/>
    <x v="0"/>
    <d v="2007-03-15T00:00:00"/>
    <d v="2007-06-01T00:00:00"/>
    <x v="27"/>
    <n v="595.80999999999995"/>
    <x v="34"/>
    <x v="4"/>
    <n v="0.5"/>
    <m/>
    <m/>
    <s v="ES-2007-06-206"/>
    <n v="2216"/>
    <n v="0"/>
    <n v="2216"/>
    <n v="1192"/>
    <m/>
    <m/>
    <m/>
    <x v="36"/>
    <x v="11"/>
    <m/>
    <m/>
    <s v="DESOTO NATIONAL FOREST"/>
    <s v="ST STEPHENS MERIDIAN, T3S, R10W"/>
    <s v="SEC 12, N2 LESS +/- 4.10A DESCRIBED BYM&amp;B IN LSE ATTACHMENT, N2SW, SESW, SE"/>
    <m/>
    <m/>
  </r>
  <r>
    <s v="MSES54813"/>
    <x v="0"/>
    <x v="0"/>
    <d v="2007-03-15T00:00:00"/>
    <d v="2007-06-01T00:00:00"/>
    <x v="27"/>
    <n v="600"/>
    <x v="76"/>
    <x v="4"/>
    <n v="0.5"/>
    <m/>
    <m/>
    <s v="ES-2007-06-207"/>
    <n v="2230"/>
    <n v="0"/>
    <n v="2230"/>
    <n v="1200"/>
    <m/>
    <m/>
    <m/>
    <x v="36"/>
    <x v="11"/>
    <m/>
    <m/>
    <s v="DESOTO NATIONAL FOREST"/>
    <s v="ST STEPHENS MERIDIAN, T3S, R10W"/>
    <s v="SEC 13, E2, E2NW, SWNW, SW"/>
    <m/>
    <m/>
  </r>
  <r>
    <s v="MSES54814"/>
    <x v="0"/>
    <x v="0"/>
    <d v="2007-03-15T00:00:00"/>
    <d v="2007-06-01T00:00:00"/>
    <x v="27"/>
    <n v="560"/>
    <x v="34"/>
    <x v="4"/>
    <n v="0.5"/>
    <m/>
    <m/>
    <s v="ES-2007-06-208"/>
    <n v="2090"/>
    <n v="0"/>
    <n v="2090"/>
    <n v="1120"/>
    <m/>
    <m/>
    <m/>
    <x v="36"/>
    <x v="11"/>
    <m/>
    <m/>
    <s v="DESOTO NATIONAL FOREST"/>
    <s v="ST STEPHENS MERIDIAN, T3S, R10W"/>
    <s v="SEC 25, ALL LESS E2SE"/>
    <m/>
    <m/>
  </r>
  <r>
    <s v="MSES54826"/>
    <x v="0"/>
    <x v="0"/>
    <d v="2007-03-15T00:00:00"/>
    <d v="2007-06-01T00:00:00"/>
    <x v="27"/>
    <n v="656"/>
    <x v="34"/>
    <x v="4"/>
    <n v="0.5"/>
    <m/>
    <m/>
    <s v="ES-2007-06-220"/>
    <n v="2426"/>
    <n v="0"/>
    <n v="2426"/>
    <n v="984"/>
    <m/>
    <m/>
    <m/>
    <x v="48"/>
    <x v="11"/>
    <m/>
    <m/>
    <s v="DESOTO NATIONAL FOREST"/>
    <s v="ST STEPHENS MERIDIAN, T4S, R10W"/>
    <s v="SEC 19, ALL"/>
    <m/>
    <m/>
  </r>
  <r>
    <s v="MSES54827"/>
    <x v="0"/>
    <x v="0"/>
    <d v="2007-03-15T00:00:00"/>
    <d v="2007-06-01T00:00:00"/>
    <x v="27"/>
    <n v="640"/>
    <x v="34"/>
    <x v="4"/>
    <n v="0.5"/>
    <m/>
    <m/>
    <s v="ES-2007-06-221"/>
    <n v="2370"/>
    <n v="0"/>
    <n v="2370"/>
    <n v="960"/>
    <m/>
    <m/>
    <m/>
    <x v="48"/>
    <x v="11"/>
    <m/>
    <m/>
    <s v="DESOTO NATIONAL FOREST"/>
    <s v="ST STEPHENS MERIDIAN, T4S, R10W"/>
    <s v="SEC 20, ALL"/>
    <m/>
    <m/>
  </r>
  <r>
    <s v="MSES54828"/>
    <x v="0"/>
    <x v="0"/>
    <d v="2007-03-15T00:00:00"/>
    <d v="2007-06-01T00:00:00"/>
    <x v="27"/>
    <n v="521.29999999999995"/>
    <x v="56"/>
    <x v="4"/>
    <n v="0.5"/>
    <m/>
    <m/>
    <s v="ES-2007-06-222"/>
    <n v="1957"/>
    <n v="0"/>
    <n v="1957"/>
    <n v="1044"/>
    <m/>
    <m/>
    <m/>
    <x v="1"/>
    <x v="11"/>
    <m/>
    <m/>
    <s v="DESOTO NATIONAL FOREST"/>
    <s v="ST STEPHENS MERIDIAN, T4S, R10W"/>
    <s v="SEC 26, N2, NESW, SE"/>
    <m/>
    <m/>
  </r>
  <r>
    <s v="MSES54831"/>
    <x v="0"/>
    <x v="0"/>
    <d v="2007-03-15T00:00:00"/>
    <d v="2007-06-01T00:00:00"/>
    <x v="27"/>
    <n v="341.43"/>
    <x v="56"/>
    <x v="4"/>
    <n v="0.5"/>
    <m/>
    <m/>
    <s v="ES-2007-06-225"/>
    <n v="1327"/>
    <n v="0"/>
    <n v="1327"/>
    <n v="684"/>
    <m/>
    <m/>
    <m/>
    <x v="36"/>
    <x v="11"/>
    <m/>
    <m/>
    <s v="DESOTO NATIONAL FOREST"/>
    <s v="ST STEPHENS MERIDIAN, T4S, R10W"/>
    <s v="SEC 34, N2NW, S2SW, SE"/>
    <m/>
    <m/>
  </r>
  <r>
    <s v="MSES54832"/>
    <x v="0"/>
    <x v="0"/>
    <d v="2007-03-15T00:00:00"/>
    <d v="2007-06-01T00:00:00"/>
    <x v="27"/>
    <n v="686.39"/>
    <x v="56"/>
    <x v="4"/>
    <n v="0.5"/>
    <m/>
    <m/>
    <s v="ES-2007-06-226"/>
    <n v="2534.5"/>
    <n v="0"/>
    <n v="2534.5"/>
    <n v="1374"/>
    <m/>
    <m/>
    <m/>
    <x v="36"/>
    <x v="11"/>
    <m/>
    <m/>
    <s v="DESOTO NATIONAL FOREST"/>
    <s v="ST STEPHENS MERIDIAN, T4S, R10W"/>
    <s v="SEC 35, ALL"/>
    <m/>
    <m/>
  </r>
  <r>
    <s v="MSES54834"/>
    <x v="0"/>
    <x v="0"/>
    <d v="2007-03-15T00:00:00"/>
    <d v="2007-06-01T00:00:00"/>
    <x v="27"/>
    <n v="639.6"/>
    <x v="56"/>
    <x v="4"/>
    <n v="0.5"/>
    <m/>
    <m/>
    <s v="ES-2007-06-228"/>
    <n v="2370"/>
    <n v="0"/>
    <n v="2370"/>
    <n v="1280"/>
    <m/>
    <m/>
    <m/>
    <x v="36"/>
    <x v="11"/>
    <m/>
    <m/>
    <s v="DESOTO NATIONAL FOREST"/>
    <s v="ST STEPHENS MERIDIAN, T5S, R10W"/>
    <s v="SEC 1, ALL"/>
    <m/>
    <m/>
  </r>
  <r>
    <s v="MSES54835"/>
    <x v="0"/>
    <x v="0"/>
    <d v="2007-03-15T00:00:00"/>
    <d v="2007-06-01T00:00:00"/>
    <x v="27"/>
    <n v="640.6"/>
    <x v="56"/>
    <x v="4"/>
    <n v="0.5"/>
    <m/>
    <m/>
    <s v="ES-2007-06-229"/>
    <n v="2373.5"/>
    <n v="0"/>
    <n v="2373.5"/>
    <n v="1282"/>
    <m/>
    <m/>
    <m/>
    <x v="36"/>
    <x v="11"/>
    <m/>
    <m/>
    <s v="DESOTO NATIONAL FOREST"/>
    <s v="ST STEPHENS MERIDIAN, T5S, R10W"/>
    <s v="SEC 2, ALL"/>
    <m/>
    <m/>
  </r>
  <r>
    <s v="MSES54836"/>
    <x v="0"/>
    <x v="0"/>
    <d v="2007-03-15T00:00:00"/>
    <d v="2007-06-01T00:00:00"/>
    <x v="27"/>
    <n v="638.79999999999995"/>
    <x v="56"/>
    <x v="4"/>
    <n v="0.5"/>
    <m/>
    <m/>
    <s v="ES-2007-06-230"/>
    <n v="2366.5"/>
    <n v="0"/>
    <n v="2366.5"/>
    <n v="1278"/>
    <m/>
    <m/>
    <m/>
    <x v="36"/>
    <x v="11"/>
    <m/>
    <m/>
    <s v="DESOTO NATIONAL FOREST"/>
    <s v="ST STEPHENS MERIDIAN, T5S, R10W"/>
    <s v="SEC 3, ALL"/>
    <m/>
    <m/>
  </r>
  <r>
    <s v="MSES54837"/>
    <x v="0"/>
    <x v="0"/>
    <d v="2007-03-15T00:00:00"/>
    <d v="2007-06-01T00:00:00"/>
    <x v="27"/>
    <n v="640.79999999999995"/>
    <x v="56"/>
    <x v="4"/>
    <n v="0.5"/>
    <m/>
    <m/>
    <s v="ES-2007-06-231"/>
    <n v="2373.5"/>
    <n v="0"/>
    <n v="2373.5"/>
    <n v="1282"/>
    <m/>
    <m/>
    <m/>
    <x v="36"/>
    <x v="11"/>
    <m/>
    <m/>
    <s v="DESOTO NATIONAL FOREST"/>
    <s v="ST STEPHENS MERIDIAN, T5S, R10W"/>
    <s v="SEC 4, ALL"/>
    <m/>
    <m/>
  </r>
  <r>
    <s v="MSES54838"/>
    <x v="0"/>
    <x v="0"/>
    <d v="2007-03-15T00:00:00"/>
    <d v="2007-06-01T00:00:00"/>
    <x v="27"/>
    <n v="639"/>
    <x v="56"/>
    <x v="4"/>
    <n v="0.5"/>
    <m/>
    <m/>
    <s v="ES-2007-06-232"/>
    <n v="2366.5"/>
    <n v="0"/>
    <n v="2366.5"/>
    <n v="1278"/>
    <m/>
    <m/>
    <m/>
    <x v="36"/>
    <x v="11"/>
    <m/>
    <m/>
    <s v="DESOTO NATIONAL FOREST"/>
    <s v="ST STEPHENS MERIDIAN, T5S, R10W"/>
    <s v="SEC 5, ALL"/>
    <m/>
    <m/>
  </r>
  <r>
    <s v="MSES54840"/>
    <x v="0"/>
    <x v="0"/>
    <d v="2007-03-15T00:00:00"/>
    <d v="2007-06-01T00:00:00"/>
    <x v="27"/>
    <n v="637.48"/>
    <x v="56"/>
    <x v="4"/>
    <n v="0.5"/>
    <m/>
    <m/>
    <s v="ES-2007-06-234"/>
    <n v="2363"/>
    <n v="0"/>
    <n v="2363"/>
    <n v="1276"/>
    <m/>
    <m/>
    <m/>
    <x v="36"/>
    <x v="11"/>
    <m/>
    <m/>
    <s v="DESOTO NATIONAL FOREST"/>
    <s v="ST STEPHENS MERIDIAN, T5S, R10W"/>
    <s v="SEC 8, ALL"/>
    <m/>
    <m/>
  </r>
  <r>
    <s v="MSES54841"/>
    <x v="0"/>
    <x v="0"/>
    <d v="2007-03-15T00:00:00"/>
    <d v="2007-06-01T00:00:00"/>
    <x v="27"/>
    <n v="276.64999999999998"/>
    <x v="56"/>
    <x v="4"/>
    <n v="0.5"/>
    <m/>
    <m/>
    <s v="ES-2007-06-235"/>
    <n v="1099.5"/>
    <n v="0"/>
    <n v="1099.5"/>
    <n v="554"/>
    <m/>
    <m/>
    <m/>
    <x v="36"/>
    <x v="11"/>
    <m/>
    <m/>
    <s v="DESOTO NATIONAL FOREST"/>
    <s v="ST STEPHENS MERIDIAN, T5S, R10W"/>
    <s v="SEC 10, NWNE, SENE, NENW EXCEPT 2 A DESCRIBED IN METES &amp; BOUNDS, S2SW, E2SE"/>
    <m/>
    <m/>
  </r>
  <r>
    <s v="MSES54842"/>
    <x v="0"/>
    <x v="0"/>
    <d v="2007-03-15T00:00:00"/>
    <d v="2007-06-01T00:00:00"/>
    <x v="27"/>
    <n v="641.4"/>
    <x v="56"/>
    <x v="4"/>
    <n v="0.5"/>
    <m/>
    <m/>
    <s v="ES-2007-06-236"/>
    <n v="2377"/>
    <n v="0"/>
    <n v="2377"/>
    <n v="1284"/>
    <m/>
    <m/>
    <m/>
    <x v="36"/>
    <x v="11"/>
    <m/>
    <m/>
    <s v="DESOTO NATIONAL FOREST"/>
    <s v="ST STEPHENS MERIDIAN, T5S, R10W"/>
    <s v="SEC 11, ALL"/>
    <m/>
    <m/>
  </r>
  <r>
    <s v="MSES54843"/>
    <x v="0"/>
    <x v="0"/>
    <d v="2007-03-15T00:00:00"/>
    <d v="2007-06-01T00:00:00"/>
    <x v="27"/>
    <n v="639.6"/>
    <x v="56"/>
    <x v="4"/>
    <n v="0.5"/>
    <m/>
    <m/>
    <s v="ES-2007-06-237"/>
    <n v="2370"/>
    <n v="0"/>
    <n v="2370"/>
    <n v="1280"/>
    <m/>
    <m/>
    <m/>
    <x v="36"/>
    <x v="11"/>
    <m/>
    <m/>
    <s v="DESOTO NATIONAL FOREST"/>
    <s v="ST STEPHENS MERIDIAN, T5S, R10W"/>
    <s v="SEC 12, ALL"/>
    <m/>
    <m/>
  </r>
  <r>
    <s v="MSES54844"/>
    <x v="0"/>
    <x v="0"/>
    <d v="2007-03-15T00:00:00"/>
    <d v="2007-06-01T00:00:00"/>
    <x v="27"/>
    <n v="639.6"/>
    <x v="56"/>
    <x v="4"/>
    <n v="0.5"/>
    <m/>
    <m/>
    <s v="ES-2007-06-238"/>
    <n v="2370"/>
    <n v="0"/>
    <n v="2370"/>
    <n v="1280"/>
    <m/>
    <m/>
    <m/>
    <x v="36"/>
    <x v="11"/>
    <m/>
    <m/>
    <s v="DESOTO NATIONAL FOREST"/>
    <s v="ST STEPHENS MERIDIAN, T5S, R10W"/>
    <s v="SEC 13, ALL"/>
    <m/>
    <m/>
  </r>
  <r>
    <s v="MSES54845"/>
    <x v="0"/>
    <x v="0"/>
    <d v="2007-03-15T00:00:00"/>
    <d v="2007-06-01T00:00:00"/>
    <x v="27"/>
    <n v="641.79999999999995"/>
    <x v="56"/>
    <x v="4"/>
    <n v="0.5"/>
    <m/>
    <m/>
    <s v="ES-2007-06-239"/>
    <n v="2377"/>
    <n v="0"/>
    <n v="2377"/>
    <n v="1284"/>
    <m/>
    <m/>
    <m/>
    <x v="36"/>
    <x v="11"/>
    <m/>
    <m/>
    <s v="DESOTO NATIONAL FOREST"/>
    <s v="ST STEPHENS MERIDIAN, T5S, R10W"/>
    <s v="SEC 14, ALL"/>
    <m/>
    <m/>
  </r>
  <r>
    <s v="MSES54846"/>
    <x v="0"/>
    <x v="0"/>
    <d v="2007-03-15T00:00:00"/>
    <d v="2007-06-01T00:00:00"/>
    <x v="27"/>
    <n v="622.69000000000005"/>
    <x v="56"/>
    <x v="4"/>
    <n v="0.5"/>
    <m/>
    <m/>
    <s v="ES-2007-06-240"/>
    <n v="2310.5"/>
    <n v="623"/>
    <n v="2933.5"/>
    <n v="1246"/>
    <m/>
    <m/>
    <m/>
    <x v="36"/>
    <x v="11"/>
    <m/>
    <m/>
    <s v="DESOTO NATIONAL FOREST"/>
    <s v="ST STEPHENS MERIDIAN, T5S, R10W"/>
    <s v="SEC 17, LESS 13.79 A DESCRIBED IN M&amp;B "/>
    <m/>
    <m/>
  </r>
  <r>
    <s v="MSES54849"/>
    <x v="0"/>
    <x v="0"/>
    <d v="2007-03-15T00:00:00"/>
    <d v="2007-06-01T00:00:00"/>
    <x v="27"/>
    <n v="638.28"/>
    <x v="56"/>
    <x v="4"/>
    <n v="0.5"/>
    <m/>
    <m/>
    <s v="ES-2007-06-243"/>
    <n v="2366.5"/>
    <n v="0"/>
    <n v="2366.5"/>
    <n v="1278"/>
    <m/>
    <m/>
    <m/>
    <x v="36"/>
    <x v="11"/>
    <m/>
    <m/>
    <s v="DESOTO NATIONAL FOREST"/>
    <s v="ST STEPHENS MERIDIAN, T5S, R10W"/>
    <s v="SEC 22, ALL"/>
    <m/>
    <m/>
  </r>
  <r>
    <s v="MSES54850"/>
    <x v="0"/>
    <x v="0"/>
    <d v="2007-03-15T00:00:00"/>
    <d v="2007-06-01T00:00:00"/>
    <x v="27"/>
    <n v="642.6"/>
    <x v="56"/>
    <x v="4"/>
    <n v="0.5"/>
    <m/>
    <m/>
    <s v="ES-2007-06-244"/>
    <n v="2380.5"/>
    <n v="0"/>
    <n v="2380.5"/>
    <n v="1286"/>
    <m/>
    <m/>
    <m/>
    <x v="36"/>
    <x v="11"/>
    <m/>
    <m/>
    <s v="DESOTO NATIONAL FOREST"/>
    <s v="ST STEPHENS MERIDIAN, T5S, R10W"/>
    <s v="SEC 23, ALL"/>
    <m/>
    <m/>
  </r>
  <r>
    <s v="MSES54851"/>
    <x v="0"/>
    <x v="0"/>
    <d v="2007-03-15T00:00:00"/>
    <d v="2007-06-01T00:00:00"/>
    <x v="27"/>
    <n v="639.20000000000005"/>
    <x v="56"/>
    <x v="4"/>
    <n v="0.5"/>
    <m/>
    <m/>
    <s v="ES-2007-06-245"/>
    <n v="2370"/>
    <n v="0"/>
    <n v="2370"/>
    <n v="1280"/>
    <m/>
    <m/>
    <m/>
    <x v="36"/>
    <x v="11"/>
    <m/>
    <m/>
    <s v="DESOTO NATIONAL FOREST"/>
    <s v="ST STEPHENS MERIDIAN, T5S, R10W"/>
    <s v="SEC 24, ALL"/>
    <m/>
    <m/>
  </r>
  <r>
    <s v="MSES54867"/>
    <x v="0"/>
    <x v="0"/>
    <d v="2007-03-15T00:00:00"/>
    <d v="2007-06-01T00:00:00"/>
    <x v="27"/>
    <n v="99.61"/>
    <x v="11"/>
    <x v="4"/>
    <n v="0.5"/>
    <m/>
    <m/>
    <s v="ES-2007-06-261"/>
    <n v="480"/>
    <n v="1800"/>
    <n v="2280"/>
    <n v="200"/>
    <m/>
    <m/>
    <m/>
    <x v="36"/>
    <x v="11"/>
    <m/>
    <m/>
    <s v="DESOTO NATIONAL FOREST"/>
    <s v="ST STEPHENS MERIDIAN, T1S, R12W"/>
    <s v="SEC 3, N2SW"/>
    <m/>
    <m/>
  </r>
  <r>
    <s v="MSES54868"/>
    <x v="0"/>
    <x v="0"/>
    <d v="2007-03-15T00:00:00"/>
    <d v="2007-06-01T00:00:00"/>
    <x v="27"/>
    <n v="320.48"/>
    <x v="11"/>
    <x v="4"/>
    <n v="0.5"/>
    <m/>
    <m/>
    <s v="ES-2007-06-262"/>
    <n v="1253.5"/>
    <n v="4494"/>
    <n v="5747.5"/>
    <n v="642"/>
    <m/>
    <m/>
    <m/>
    <x v="36"/>
    <x v="11"/>
    <m/>
    <m/>
    <s v="DESOTO NATIONAL FOREST"/>
    <s v="ST STEPHENS MERIDIAN, T1S, R12W"/>
    <s v="SEC 33, E2"/>
    <m/>
    <m/>
  </r>
  <r>
    <m/>
    <x v="1"/>
    <x v="1"/>
    <m/>
    <m/>
    <x v="1"/>
    <m/>
    <x v="1"/>
    <x v="1"/>
    <m/>
    <m/>
    <m/>
    <s v="GROUP TOTAL"/>
    <n v="144101.5"/>
    <n v="1100491"/>
    <n v="1244592.5"/>
    <m/>
    <m/>
    <m/>
    <m/>
    <x v="1"/>
    <x v="1"/>
    <m/>
    <m/>
    <m/>
    <m/>
    <m/>
    <m/>
    <m/>
  </r>
  <r>
    <m/>
    <x v="1"/>
    <x v="1"/>
    <m/>
    <m/>
    <x v="1"/>
    <m/>
    <x v="1"/>
    <x v="1"/>
    <m/>
    <m/>
    <m/>
    <m/>
    <m/>
    <m/>
    <m/>
    <m/>
    <m/>
    <m/>
    <m/>
    <x v="1"/>
    <x v="1"/>
    <m/>
    <m/>
    <m/>
    <m/>
    <m/>
    <m/>
    <m/>
  </r>
  <r>
    <s v="NMNM118672"/>
    <x v="0"/>
    <x v="0"/>
    <d v="2007-07-18T00:00:00"/>
    <d v="2007-09-01T00:00:00"/>
    <x v="28"/>
    <n v="2560"/>
    <x v="77"/>
    <x v="7"/>
    <n v="0.5"/>
    <m/>
    <m/>
    <s v="NM200707011"/>
    <n v="9090"/>
    <n v="20480"/>
    <n v="29570"/>
    <n v="5120"/>
    <m/>
    <m/>
    <m/>
    <x v="1"/>
    <x v="11"/>
    <m/>
    <m/>
    <m/>
    <s v="NMPM MERIDIAN T30S; R80E"/>
    <s v="SEC. 23, 24, 25, 26 ALL"/>
    <m/>
    <m/>
  </r>
  <r>
    <s v="NMNM118673"/>
    <x v="0"/>
    <x v="0"/>
    <d v="2007-07-18T00:00:00"/>
    <d v="2007-09-01T00:00:00"/>
    <x v="28"/>
    <n v="2240"/>
    <x v="77"/>
    <x v="7"/>
    <n v="0.5"/>
    <m/>
    <m/>
    <s v="NM200707012"/>
    <n v="7970"/>
    <n v="17920"/>
    <n v="25890"/>
    <n v="4480"/>
    <m/>
    <m/>
    <m/>
    <x v="1"/>
    <x v="11"/>
    <m/>
    <m/>
    <m/>
    <s v="NMPM MERIDIAN T30S; R80E"/>
    <s v="SEC. 27, 33, 34 ALL; SEC 35, N2"/>
    <m/>
    <m/>
  </r>
  <r>
    <s v="NMNM118674"/>
    <x v="0"/>
    <x v="0"/>
    <d v="2007-07-18T00:00:00"/>
    <d v="2007-09-01T00:00:00"/>
    <x v="28"/>
    <n v="640.72"/>
    <x v="77"/>
    <x v="7"/>
    <n v="0.5"/>
    <m/>
    <m/>
    <s v="NM200707013"/>
    <n v="2373.5"/>
    <n v="5128"/>
    <n v="7501.5"/>
    <n v="1282"/>
    <m/>
    <m/>
    <m/>
    <x v="1"/>
    <x v="11"/>
    <m/>
    <m/>
    <m/>
    <s v="NMPM MERIDIAN T40S; R80E"/>
    <s v="SEC 4, LOTS 1-4; S2N2,S2"/>
    <m/>
    <m/>
  </r>
  <r>
    <s v="NMNM118675"/>
    <x v="0"/>
    <x v="0"/>
    <d v="2007-07-18T00:00:00"/>
    <d v="2007-09-01T00:00:00"/>
    <x v="28"/>
    <n v="880"/>
    <x v="77"/>
    <x v="7"/>
    <n v="0.5"/>
    <m/>
    <m/>
    <s v="NM200707014"/>
    <n v="3210"/>
    <n v="7040"/>
    <n v="10250"/>
    <n v="1760"/>
    <m/>
    <m/>
    <m/>
    <x v="1"/>
    <x v="11"/>
    <m/>
    <m/>
    <m/>
    <s v="NMPM MERIDIAN T40S; R80E"/>
    <s v="SEC 9 ALL; SEC 15 S2NW,SW"/>
    <m/>
    <m/>
  </r>
  <r>
    <s v="NMNM118676"/>
    <x v="0"/>
    <x v="0"/>
    <d v="2007-07-18T00:00:00"/>
    <d v="2007-09-01T00:00:00"/>
    <x v="28"/>
    <n v="2547.08"/>
    <x v="77"/>
    <x v="7"/>
    <n v="0.5"/>
    <m/>
    <m/>
    <s v="NM200707015"/>
    <n v="9048"/>
    <n v="20384"/>
    <n v="29432"/>
    <n v="5096"/>
    <m/>
    <m/>
    <m/>
    <x v="1"/>
    <x v="11"/>
    <m/>
    <m/>
    <m/>
    <s v="NMPM MERIDIAN T30S; R90E"/>
    <s v="SEC19, LOTS 1-4;E2,E2W2; SEC 20, 21 ALL; SEC 30, LOTS 1-4; E2,E2W2"/>
    <m/>
    <m/>
  </r>
  <r>
    <s v="NMNM118677"/>
    <x v="0"/>
    <x v="0"/>
    <d v="2007-07-18T00:00:00"/>
    <d v="2007-09-01T00:00:00"/>
    <x v="28"/>
    <n v="1400"/>
    <x v="77"/>
    <x v="7"/>
    <n v="0.5"/>
    <m/>
    <m/>
    <s v="NM200707016"/>
    <n v="5030"/>
    <n v="19600"/>
    <n v="24630"/>
    <n v="2800"/>
    <m/>
    <m/>
    <m/>
    <x v="1"/>
    <x v="11"/>
    <m/>
    <m/>
    <m/>
    <s v="NMPM MERIDIAN T30S; R90E"/>
    <s v="SEC 25, 26 ALL; SEC 36, N2WE, NENW"/>
    <m/>
    <m/>
  </r>
  <r>
    <s v="NMNM118678"/>
    <x v="0"/>
    <x v="0"/>
    <d v="2007-07-18T00:00:00"/>
    <d v="2007-09-01T00:00:00"/>
    <x v="28"/>
    <n v="1920"/>
    <x v="77"/>
    <x v="7"/>
    <n v="0.5"/>
    <m/>
    <m/>
    <s v="NM200707017"/>
    <n v="6850"/>
    <n v="26880"/>
    <n v="33730"/>
    <n v="3840"/>
    <m/>
    <m/>
    <m/>
    <x v="1"/>
    <x v="11"/>
    <m/>
    <m/>
    <m/>
    <s v="NMPM MERIDIAN T30S; R90E"/>
    <s v="SEC 27, 28, 29 ALL"/>
    <m/>
    <m/>
  </r>
  <r>
    <s v="NMNM118679"/>
    <x v="0"/>
    <x v="0"/>
    <d v="2007-07-18T00:00:00"/>
    <d v="2007-09-01T00:00:00"/>
    <x v="28"/>
    <n v="1600"/>
    <x v="77"/>
    <x v="7"/>
    <n v="0.5"/>
    <m/>
    <m/>
    <s v="NM200707018"/>
    <n v="5730"/>
    <n v="28800"/>
    <n v="34530"/>
    <n v="3200"/>
    <m/>
    <m/>
    <m/>
    <x v="1"/>
    <x v="11"/>
    <m/>
    <m/>
    <m/>
    <s v="NMPM MERIDIAN T30S; R90E"/>
    <s v="SEC 33 N2; SEC 34, 35 ALL"/>
    <m/>
    <m/>
  </r>
  <r>
    <s v="NMNM118680"/>
    <x v="0"/>
    <x v="0"/>
    <d v="2007-07-18T00:00:00"/>
    <d v="2007-09-01T00:00:00"/>
    <x v="28"/>
    <n v="960.12"/>
    <x v="77"/>
    <x v="7"/>
    <n v="0.5"/>
    <m/>
    <m/>
    <s v="NM200707019"/>
    <n v="3493.5"/>
    <n v="18259"/>
    <n v="21752.5"/>
    <n v="1922"/>
    <m/>
    <m/>
    <m/>
    <x v="1"/>
    <x v="11"/>
    <m/>
    <m/>
    <m/>
    <s v="NMPM MERIDIAN T40S; R90E"/>
    <s v="SEC 1, LOTS 1-4; S2N2, S2; SEC 12, E2"/>
    <m/>
    <m/>
  </r>
  <r>
    <s v="NMNM118686"/>
    <x v="0"/>
    <x v="0"/>
    <d v="2007-07-18T00:00:00"/>
    <d v="2007-09-01T00:00:00"/>
    <x v="28"/>
    <n v="1469.12"/>
    <x v="62"/>
    <x v="7"/>
    <n v="0.5"/>
    <m/>
    <m/>
    <s v="NM200707025"/>
    <n v="5275"/>
    <n v="0"/>
    <n v="5275"/>
    <n v="2940"/>
    <m/>
    <m/>
    <m/>
    <x v="1"/>
    <x v="11"/>
    <m/>
    <m/>
    <m/>
    <s v="NMPM MERIDIAN T150S; R210E"/>
    <s v="SEC 29 N2,NENW,S2SW,SWSE; SEC 30 LOTS 1,3,4; N2NE,NENW,E2SW,SE; SEC 31 LOTS 5-20"/>
    <m/>
    <m/>
  </r>
  <r>
    <s v="NMNM118688"/>
    <x v="0"/>
    <x v="0"/>
    <d v="2007-07-18T00:00:00"/>
    <d v="2007-09-01T00:00:00"/>
    <x v="28"/>
    <n v="960"/>
    <x v="62"/>
    <x v="7"/>
    <n v="0.5"/>
    <m/>
    <m/>
    <s v="NM200707027"/>
    <n v="3490"/>
    <n v="0"/>
    <n v="3490"/>
    <n v="1920"/>
    <m/>
    <m/>
    <m/>
    <x v="1"/>
    <x v="11"/>
    <m/>
    <m/>
    <m/>
    <s v="NMPM MERIDIAN T150S; R220E"/>
    <s v="SEC 25 ALL; SEC 26 E2"/>
    <m/>
    <m/>
  </r>
  <r>
    <s v="NMNM118689"/>
    <x v="0"/>
    <x v="0"/>
    <d v="2007-07-18T00:00:00"/>
    <d v="2007-09-01T00:00:00"/>
    <x v="28"/>
    <n v="1280"/>
    <x v="62"/>
    <x v="7"/>
    <n v="0.5"/>
    <m/>
    <m/>
    <s v="NM200707028"/>
    <n v="4610"/>
    <n v="35840"/>
    <n v="40450"/>
    <n v="2560"/>
    <m/>
    <m/>
    <m/>
    <x v="1"/>
    <x v="11"/>
    <m/>
    <m/>
    <m/>
    <s v="NMPM MERIDIAN T150S; R220E"/>
    <s v="SEC 33, S2NE,SE; SEC 34 S2N2,S2; SEC 35 N2NE,S2N2,S2"/>
    <m/>
    <m/>
  </r>
  <r>
    <s v="NMNM118711"/>
    <x v="0"/>
    <x v="0"/>
    <d v="2007-07-18T00:00:00"/>
    <d v="2007-09-01T00:00:00"/>
    <x v="28"/>
    <n v="520"/>
    <x v="78"/>
    <x v="7"/>
    <n v="0.5"/>
    <m/>
    <m/>
    <s v="NM200707050"/>
    <n v="1950"/>
    <n v="4160"/>
    <n v="6110"/>
    <n v="1040"/>
    <m/>
    <m/>
    <m/>
    <x v="1"/>
    <x v="11"/>
    <m/>
    <m/>
    <m/>
    <s v="NMPM MERIDIAN T170N; R290E"/>
    <s v="SEC 1 SWNE,S2NW,N2SW,SESW,SE; SEC 12 N2NE,SWNE"/>
    <m/>
    <m/>
  </r>
  <r>
    <s v="NMNM118715"/>
    <x v="0"/>
    <x v="0"/>
    <d v="2007-07-18T00:00:00"/>
    <d v="2007-09-01T00:00:00"/>
    <x v="28"/>
    <n v="320"/>
    <x v="62"/>
    <x v="7"/>
    <n v="0.5"/>
    <m/>
    <m/>
    <s v="NM200707054"/>
    <n v="1250"/>
    <n v="12160"/>
    <n v="13410"/>
    <n v="640"/>
    <m/>
    <m/>
    <m/>
    <x v="1"/>
    <x v="11"/>
    <m/>
    <m/>
    <m/>
    <s v="NMPM MERIDIAN T140S; R300E"/>
    <s v="SEC 17 S2"/>
    <m/>
    <m/>
  </r>
  <r>
    <s v="NMNM118719"/>
    <x v="0"/>
    <x v="0"/>
    <d v="2007-07-18T00:00:00"/>
    <d v="2007-09-01T00:00:00"/>
    <x v="28"/>
    <n v="160.55000000000001"/>
    <x v="40"/>
    <x v="7"/>
    <n v="0.5"/>
    <m/>
    <m/>
    <s v="NM200707059"/>
    <n v="693.5"/>
    <n v="108353"/>
    <n v="109046.5"/>
    <n v="322"/>
    <m/>
    <m/>
    <m/>
    <x v="49"/>
    <x v="11"/>
    <m/>
    <m/>
    <m/>
    <s v="NMPM MERIDIAN R260S; R310E"/>
    <s v="SEC 19 LOTS 3,4; E2SW"/>
    <m/>
    <s v="Rec. at Book 911 Page 603"/>
  </r>
  <r>
    <s v="NMNM118725"/>
    <x v="0"/>
    <x v="0"/>
    <d v="2007-07-18T00:00:00"/>
    <d v="2007-09-01T00:00:00"/>
    <x v="28"/>
    <n v="40"/>
    <x v="63"/>
    <x v="7"/>
    <n v="0.5"/>
    <m/>
    <m/>
    <s v="NM200707065"/>
    <n v="270"/>
    <n v="19920"/>
    <n v="20190"/>
    <n v="80"/>
    <m/>
    <m/>
    <m/>
    <x v="1"/>
    <x v="11"/>
    <m/>
    <m/>
    <m/>
    <s v="NMPM MERIDIAN R230S; R330E"/>
    <s v="SEC 30 SESE"/>
    <m/>
    <s v="Instrument#50523 Book 1806 Page 294"/>
  </r>
  <r>
    <s v="NMNM118726"/>
    <x v="0"/>
    <x v="0"/>
    <d v="2007-07-18T00:00:00"/>
    <d v="2007-09-01T00:00:00"/>
    <x v="28"/>
    <n v="1319.75"/>
    <x v="63"/>
    <x v="7"/>
    <n v="0.5"/>
    <m/>
    <m/>
    <s v="NM200707066"/>
    <n v="4750"/>
    <n v="327360"/>
    <n v="332110"/>
    <n v="2640"/>
    <m/>
    <m/>
    <m/>
    <x v="50"/>
    <x v="11"/>
    <m/>
    <m/>
    <m/>
    <s v="NMPM MERIDIAN T250S; R330E"/>
    <s v="SEC 4 LOT 4; SEC 5 LOTS 1-4, S2N2,S2; SEC 9 ALL"/>
    <s v="YES "/>
    <s v="Rec. at Book 1806 Page 300"/>
  </r>
  <r>
    <s v="NMNM118727"/>
    <x v="0"/>
    <x v="0"/>
    <d v="2007-07-18T00:00:00"/>
    <d v="2007-09-01T00:00:00"/>
    <x v="28"/>
    <n v="640"/>
    <x v="63"/>
    <x v="7"/>
    <n v="0.5"/>
    <m/>
    <m/>
    <s v="NM200707067"/>
    <n v="2370"/>
    <n v="94720"/>
    <n v="97090"/>
    <n v="1280"/>
    <m/>
    <m/>
    <m/>
    <x v="50"/>
    <x v="11"/>
    <m/>
    <m/>
    <m/>
    <s v="NMPM MERIDIAN T260S; R330E"/>
    <s v="SEC 20 ALL"/>
    <s v="YES "/>
    <s v="Rec. at Book 1806 Page 306"/>
  </r>
  <r>
    <s v="OKNM118732"/>
    <x v="0"/>
    <x v="0"/>
    <d v="2007-07-18T00:00:00"/>
    <d v="2007-09-01T00:00:00"/>
    <x v="28"/>
    <n v="519.1"/>
    <x v="79"/>
    <x v="5"/>
    <n v="0.5"/>
    <m/>
    <m/>
    <s v="OK20070772"/>
    <n v="1950"/>
    <n v="0"/>
    <n v="1950"/>
    <n v="1040"/>
    <m/>
    <m/>
    <m/>
    <x v="1"/>
    <x v="11"/>
    <m/>
    <m/>
    <m/>
    <s v="CM MERIDIAN T50N; R30E"/>
    <s v="SEC 4, S2S2; SEC 6 LOT 7; SEC 7 SENW; SEC 9 NW,N2SW; SEC 17 NWSE"/>
    <m/>
    <m/>
  </r>
  <r>
    <s v="TXNM118758"/>
    <x v="0"/>
    <x v="0"/>
    <d v="2007-07-18T00:00:00"/>
    <d v="2007-09-01T00:00:00"/>
    <x v="28"/>
    <n v="278"/>
    <x v="80"/>
    <x v="0"/>
    <n v="0.5"/>
    <m/>
    <m/>
    <s v="TX200708098"/>
    <n v="1103"/>
    <n v="35584"/>
    <n v="36687"/>
    <n v="556"/>
    <m/>
    <m/>
    <m/>
    <x v="1"/>
    <x v="11"/>
    <m/>
    <m/>
    <m/>
    <s v="AQUILLA LAKE MID - BRAZOS"/>
    <s v="TRACT 110, 115, 120"/>
    <s v="YES"/>
    <m/>
  </r>
  <r>
    <s v="TXNM118759"/>
    <x v="0"/>
    <x v="0"/>
    <d v="2007-07-18T00:00:00"/>
    <d v="2007-09-01T00:00:00"/>
    <x v="28"/>
    <n v="368.86"/>
    <x v="80"/>
    <x v="0"/>
    <n v="0.5"/>
    <m/>
    <m/>
    <s v="TX200707099"/>
    <n v="1421.5"/>
    <n v="36162"/>
    <n v="37583.5"/>
    <n v="738"/>
    <m/>
    <m/>
    <m/>
    <x v="1"/>
    <x v="11"/>
    <m/>
    <m/>
    <m/>
    <s v="AQUILLA LAKE MID - BRAZOS"/>
    <s v="TRACT 111,112,113,114-1,122"/>
    <s v="YES"/>
    <m/>
  </r>
  <r>
    <s v="TXNM118760"/>
    <x v="0"/>
    <x v="0"/>
    <d v="2007-07-18T00:00:00"/>
    <d v="2007-09-01T00:00:00"/>
    <x v="28"/>
    <n v="41.8"/>
    <x v="81"/>
    <x v="0"/>
    <n v="0.5"/>
    <m/>
    <m/>
    <s v="TX200707100"/>
    <n v="277"/>
    <n v="25116"/>
    <n v="25393"/>
    <n v="84"/>
    <m/>
    <m/>
    <m/>
    <x v="1"/>
    <x v="11"/>
    <m/>
    <m/>
    <m/>
    <s v="WHITNEY LAKE"/>
    <s v="TRACT W-R 1614, W-R 1616"/>
    <m/>
    <m/>
  </r>
  <r>
    <s v="TXNM118761"/>
    <x v="0"/>
    <x v="0"/>
    <d v="2007-07-18T00:00:00"/>
    <d v="2007-09-01T00:00:00"/>
    <x v="28"/>
    <n v="43"/>
    <x v="80"/>
    <x v="0"/>
    <n v="0.5"/>
    <m/>
    <m/>
    <s v="TX200707101"/>
    <n v="280.5"/>
    <n v="42914"/>
    <n v="43194.5"/>
    <n v="86"/>
    <m/>
    <m/>
    <m/>
    <x v="1"/>
    <x v="11"/>
    <m/>
    <m/>
    <m/>
    <s v="AQUILLA LAKE MID - BRAZOS"/>
    <s v="TRACT 103,201"/>
    <s v="YES"/>
    <m/>
  </r>
  <r>
    <s v="TXNM118762"/>
    <x v="0"/>
    <x v="0"/>
    <d v="2007-07-18T00:00:00"/>
    <d v="2007-09-01T00:00:00"/>
    <x v="28"/>
    <n v="63.395000000000003"/>
    <x v="50"/>
    <x v="0"/>
    <n v="0.5"/>
    <m/>
    <m/>
    <s v="TX200707102"/>
    <n v="354"/>
    <n v="7872"/>
    <n v="8226"/>
    <n v="128"/>
    <m/>
    <m/>
    <m/>
    <x v="51"/>
    <x v="11"/>
    <m/>
    <m/>
    <m/>
    <s v="LBJ NATIONAL GRASSLANDS"/>
    <s v="TRACT 68"/>
    <s v="YES"/>
    <m/>
  </r>
  <r>
    <s v="TXNM118765"/>
    <x v="0"/>
    <x v="0"/>
    <d v="2007-07-18T00:00:00"/>
    <d v="2007-09-01T00:00:00"/>
    <x v="28"/>
    <n v="67.400000000000006"/>
    <x v="50"/>
    <x v="0"/>
    <n v="0.5"/>
    <m/>
    <m/>
    <s v="TX200707105"/>
    <n v="368"/>
    <n v="6664"/>
    <n v="7032"/>
    <n v="136"/>
    <m/>
    <m/>
    <m/>
    <x v="1"/>
    <x v="11"/>
    <m/>
    <m/>
    <m/>
    <s v="LBJ NATIONAL GRASSLANDS"/>
    <s v="TRACT 411-1"/>
    <s v="YES"/>
    <m/>
  </r>
  <r>
    <s v="TXNM118766"/>
    <x v="0"/>
    <x v="0"/>
    <d v="2007-07-18T00:00:00"/>
    <d v="2007-09-01T00:00:00"/>
    <x v="28"/>
    <n v="17.016999999999999"/>
    <x v="50"/>
    <x v="0"/>
    <n v="0.5"/>
    <m/>
    <m/>
    <s v="TX200707106"/>
    <n v="193"/>
    <n v="1764"/>
    <n v="1957"/>
    <n v="36"/>
    <m/>
    <m/>
    <m/>
    <x v="1"/>
    <x v="11"/>
    <m/>
    <m/>
    <m/>
    <s v="LBJ NATIONAL GRASSLANDS"/>
    <s v="TRACT 648  PARCEL #1"/>
    <s v="YES"/>
    <m/>
  </r>
  <r>
    <s v="TXNM118767"/>
    <x v="0"/>
    <x v="0"/>
    <d v="2007-07-18T00:00:00"/>
    <d v="2007-09-01T00:00:00"/>
    <x v="28"/>
    <n v="85"/>
    <x v="50"/>
    <x v="0"/>
    <n v="0.5"/>
    <m/>
    <m/>
    <s v="TX200707107"/>
    <n v="427.5"/>
    <n v="59330"/>
    <n v="59757.5"/>
    <n v="170"/>
    <m/>
    <m/>
    <m/>
    <x v="1"/>
    <x v="11"/>
    <m/>
    <m/>
    <m/>
    <s v="LBJ NATIONAL GRASSLANDS"/>
    <s v="TRACT 686"/>
    <s v="YES"/>
    <m/>
  </r>
  <r>
    <s v="TXNM118768"/>
    <x v="0"/>
    <x v="0"/>
    <d v="2007-07-18T00:00:00"/>
    <d v="2007-09-01T00:00:00"/>
    <x v="28"/>
    <n v="134.23500000000001"/>
    <x v="50"/>
    <x v="0"/>
    <n v="0.5"/>
    <m/>
    <m/>
    <s v="TX200707108"/>
    <n v="602.5"/>
    <n v="94230"/>
    <n v="94832.5"/>
    <n v="270"/>
    <m/>
    <m/>
    <m/>
    <x v="1"/>
    <x v="11"/>
    <m/>
    <m/>
    <m/>
    <s v="LBJ NATIONAL GRASSLANDS"/>
    <s v="TRACT 805 - US OWNS 50% MI 90 ACRES"/>
    <s v="YES"/>
    <m/>
  </r>
  <r>
    <s v="TXNM118769"/>
    <x v="0"/>
    <x v="0"/>
    <d v="2007-07-18T00:00:00"/>
    <d v="2007-09-01T00:00:00"/>
    <x v="28"/>
    <n v="110"/>
    <x v="50"/>
    <x v="0"/>
    <n v="0.5"/>
    <m/>
    <m/>
    <s v="TX200707109"/>
    <n v="515"/>
    <n v="76780"/>
    <n v="77295"/>
    <n v="220"/>
    <m/>
    <m/>
    <m/>
    <x v="1"/>
    <x v="11"/>
    <m/>
    <m/>
    <m/>
    <s v="LBJ NATIONAL GRASSLANDS"/>
    <s v="TRACT 806"/>
    <s v="YES"/>
    <m/>
  </r>
  <r>
    <s v="TXNM118770"/>
    <x v="0"/>
    <x v="0"/>
    <d v="2007-07-18T00:00:00"/>
    <d v="2007-09-01T00:00:00"/>
    <x v="28"/>
    <n v="200"/>
    <x v="82"/>
    <x v="0"/>
    <n v="0.5"/>
    <m/>
    <m/>
    <s v="TX200707110"/>
    <n v="830"/>
    <n v="5600"/>
    <n v="6430"/>
    <n v="400"/>
    <m/>
    <m/>
    <m/>
    <x v="38"/>
    <x v="11"/>
    <m/>
    <m/>
    <m/>
    <s v="NUECES RIVER"/>
    <s v="TR NR 35-1 NUECES RIVER 50% INTEREST - SEE NOTATIONS IN LEASE"/>
    <m/>
    <m/>
  </r>
  <r>
    <s v="TXNM118771"/>
    <x v="0"/>
    <x v="0"/>
    <d v="2007-07-18T00:00:00"/>
    <d v="2007-09-01T00:00:00"/>
    <x v="28"/>
    <n v="488.58"/>
    <x v="83"/>
    <x v="0"/>
    <n v="0.5"/>
    <m/>
    <m/>
    <s v="TX200707111"/>
    <n v="1841.5"/>
    <n v="23472"/>
    <n v="25313.5"/>
    <n v="978"/>
    <m/>
    <m/>
    <m/>
    <x v="38"/>
    <x v="11"/>
    <m/>
    <m/>
    <m/>
    <s v="NUECES RIVER"/>
    <s v="TR NR-46 NUECES RIVER 100% INTEREST - SEE NOTATIONS IN LEASE"/>
    <m/>
    <m/>
  </r>
  <r>
    <s v="TXNM118772"/>
    <x v="0"/>
    <x v="0"/>
    <d v="2007-07-18T00:00:00"/>
    <d v="2007-09-01T00:00:00"/>
    <x v="28"/>
    <n v="341"/>
    <x v="83"/>
    <x v="0"/>
    <n v="0.5"/>
    <m/>
    <m/>
    <s v="TX200707112"/>
    <n v="1323.5"/>
    <n v="16368"/>
    <n v="17691.5"/>
    <n v="682"/>
    <m/>
    <m/>
    <m/>
    <x v="38"/>
    <x v="11"/>
    <m/>
    <m/>
    <m/>
    <s v="NUECES RIVER"/>
    <s v="TR NR-40, NR-48 NUECES RIVER  100% INTEREST - SEE NOTATIONS IN LEASE"/>
    <m/>
    <m/>
  </r>
  <r>
    <s v="TXNM118773"/>
    <x v="0"/>
    <x v="0"/>
    <d v="2007-07-18T00:00:00"/>
    <d v="2007-09-01T00:00:00"/>
    <x v="28"/>
    <n v="17.399999999999999"/>
    <x v="80"/>
    <x v="0"/>
    <n v="0.5"/>
    <m/>
    <m/>
    <s v="TX200707113"/>
    <n v="193"/>
    <n v="0"/>
    <n v="193"/>
    <n v="36"/>
    <m/>
    <m/>
    <m/>
    <x v="1"/>
    <x v="11"/>
    <m/>
    <m/>
    <m/>
    <s v="WHITNEY LAKE"/>
    <s v="TR W-C 290"/>
    <s v="YES"/>
    <m/>
  </r>
  <r>
    <m/>
    <x v="1"/>
    <x v="1"/>
    <m/>
    <m/>
    <x v="1"/>
    <m/>
    <x v="1"/>
    <x v="1"/>
    <m/>
    <m/>
    <m/>
    <s v="GROUP TOTAL"/>
    <n v="89133.5"/>
    <n v="1198860"/>
    <n v="1287993.5"/>
    <m/>
    <m/>
    <m/>
    <m/>
    <x v="1"/>
    <x v="1"/>
    <m/>
    <m/>
    <m/>
    <m/>
    <m/>
    <m/>
    <m/>
  </r>
  <r>
    <m/>
    <x v="1"/>
    <x v="1"/>
    <m/>
    <m/>
    <x v="1"/>
    <m/>
    <x v="1"/>
    <x v="1"/>
    <m/>
    <m/>
    <m/>
    <m/>
    <m/>
    <m/>
    <m/>
    <m/>
    <m/>
    <m/>
    <m/>
    <x v="1"/>
    <x v="1"/>
    <m/>
    <m/>
    <m/>
    <m/>
    <m/>
    <m/>
    <m/>
  </r>
  <r>
    <s v="ARES55005"/>
    <x v="0"/>
    <x v="0"/>
    <d v="2007-09-13T00:00:00"/>
    <d v="2007-12-01T00:00:00"/>
    <x v="29"/>
    <n v="280"/>
    <x v="84"/>
    <x v="2"/>
    <n v="0.5"/>
    <m/>
    <m/>
    <s v="ES-013-09/07"/>
    <n v="1110"/>
    <n v="0"/>
    <n v="1110"/>
    <n v="560"/>
    <m/>
    <m/>
    <m/>
    <x v="1"/>
    <x v="11"/>
    <m/>
    <m/>
    <s v="OUACHITA NATL FOREST"/>
    <s v="T4N, R21W, 5TH PRINCIPAL MERIDIAN"/>
    <s v="SEC 6, N2NE,SENE,NW"/>
    <m/>
    <m/>
  </r>
  <r>
    <s v="ARES55007"/>
    <x v="0"/>
    <x v="0"/>
    <d v="2007-09-13T00:00:00"/>
    <d v="2007-12-01T00:00:00"/>
    <x v="29"/>
    <n v="640"/>
    <x v="26"/>
    <x v="2"/>
    <n v="0.5"/>
    <m/>
    <m/>
    <s v="ES-015-09/07"/>
    <n v="2370"/>
    <n v="37120"/>
    <n v="39490"/>
    <n v="1280"/>
    <m/>
    <m/>
    <m/>
    <x v="1"/>
    <x v="11"/>
    <m/>
    <m/>
    <s v="OUACHITA NATL FOREST"/>
    <s v="T5N, R25W, 5TH PRINCIPAL MERIDIAN"/>
    <s v="SEC 32, ALL"/>
    <m/>
    <m/>
  </r>
  <r>
    <s v="ARES55008"/>
    <x v="0"/>
    <x v="0"/>
    <d v="2007-09-13T00:00:00"/>
    <d v="2007-12-01T00:00:00"/>
    <x v="29"/>
    <n v="640"/>
    <x v="26"/>
    <x v="2"/>
    <n v="0.5"/>
    <m/>
    <m/>
    <s v="ES-016-09/07"/>
    <n v="2370"/>
    <n v="33920"/>
    <n v="36290"/>
    <n v="1280"/>
    <m/>
    <m/>
    <m/>
    <x v="1"/>
    <x v="11"/>
    <m/>
    <m/>
    <s v="OUACHITA NATL FOREST"/>
    <s v="T5N, R25W, 5TH PRINCIPAL MERIDIAN"/>
    <s v="SEC 33, ALL"/>
    <m/>
    <m/>
  </r>
  <r>
    <s v="ARES55039"/>
    <x v="0"/>
    <x v="0"/>
    <d v="2007-09-13T00:00:00"/>
    <d v="2007-12-01T00:00:00"/>
    <x v="29"/>
    <n v="40"/>
    <x v="51"/>
    <x v="2"/>
    <n v="0.5"/>
    <m/>
    <m/>
    <s v="ES-047-09/07"/>
    <n v="270"/>
    <n v="720"/>
    <n v="990"/>
    <n v="80"/>
    <m/>
    <m/>
    <m/>
    <x v="1"/>
    <x v="11"/>
    <m/>
    <m/>
    <s v="OZARK NATL FOREST"/>
    <s v="T12N, R30W, 5TH PRINCIPAL MERIDIAN"/>
    <s v="SEC 24, SWNE"/>
    <m/>
    <m/>
  </r>
  <r>
    <s v="ARES55056"/>
    <x v="0"/>
    <x v="0"/>
    <d v="2007-09-13T00:00:00"/>
    <d v="2007-12-01T00:00:00"/>
    <x v="29"/>
    <n v="40"/>
    <x v="51"/>
    <x v="2"/>
    <n v="0.5"/>
    <m/>
    <m/>
    <s v="ES-064-09/07"/>
    <n v="270"/>
    <n v="720"/>
    <n v="990"/>
    <n v="80"/>
    <m/>
    <m/>
    <m/>
    <x v="1"/>
    <x v="11"/>
    <m/>
    <m/>
    <s v="OZARK NATL FOREST"/>
    <s v="T12N, R30W, 5TH PRINCIPAL MERIDIAN"/>
    <s v="SEC 12, SWSE"/>
    <m/>
    <m/>
  </r>
  <r>
    <s v="ARES55058"/>
    <x v="0"/>
    <x v="0"/>
    <d v="2007-09-13T00:00:00"/>
    <d v="2007-12-01T00:00:00"/>
    <x v="29"/>
    <n v="79.849999999999994"/>
    <x v="51"/>
    <x v="2"/>
    <n v="0.5"/>
    <m/>
    <m/>
    <s v="ES-066-09/07"/>
    <n v="410"/>
    <n v="2240"/>
    <n v="2650"/>
    <n v="160"/>
    <m/>
    <m/>
    <m/>
    <x v="1"/>
    <x v="11"/>
    <m/>
    <m/>
    <s v="OZARK NATL FOREST"/>
    <s v="T11N, R32W, 5TH PRINCIPAL MERIDIAN"/>
    <s v="SEC 27 PART OF SENE, AND E2SE - SEE LSE FOR M&amp;B"/>
    <m/>
    <m/>
  </r>
  <r>
    <s v="LAES55060"/>
    <x v="0"/>
    <x v="0"/>
    <d v="2007-09-13T00:00:00"/>
    <d v="2007-12-01T00:00:00"/>
    <x v="29"/>
    <n v="39.85"/>
    <x v="85"/>
    <x v="3"/>
    <n v="0.5"/>
    <m/>
    <m/>
    <s v="ES-068-09/07"/>
    <n v="270"/>
    <n v="10120"/>
    <n v="10390"/>
    <n v="60"/>
    <m/>
    <m/>
    <m/>
    <x v="52"/>
    <x v="11"/>
    <m/>
    <m/>
    <m/>
    <s v="T12N, R12W, LOUISIANA MERIDIAN"/>
    <s v="SEC 6, SWSW"/>
    <m/>
    <m/>
  </r>
  <r>
    <s v="LAES55061"/>
    <x v="0"/>
    <x v="0"/>
    <d v="2007-09-13T00:00:00"/>
    <d v="2007-12-01T00:00:00"/>
    <x v="29"/>
    <n v="41"/>
    <x v="86"/>
    <x v="3"/>
    <n v="0.5"/>
    <m/>
    <m/>
    <s v="ES-069-09/07"/>
    <n v="273.5"/>
    <n v="65518"/>
    <n v="65791.5"/>
    <n v="61.5"/>
    <m/>
    <m/>
    <m/>
    <x v="53"/>
    <x v="11"/>
    <m/>
    <m/>
    <m/>
    <s v="T15N, R16W, LOUISIANA MERIDIAN"/>
    <s v="SEC 6, NENE"/>
    <m/>
    <m/>
  </r>
  <r>
    <s v="LAES55062"/>
    <x v="0"/>
    <x v="0"/>
    <d v="2007-09-13T00:00:00"/>
    <d v="2007-12-01T00:00:00"/>
    <x v="29"/>
    <n v="40"/>
    <x v="87"/>
    <x v="3"/>
    <n v="0.5"/>
    <m/>
    <m/>
    <s v="ES-070-09/07"/>
    <n v="270"/>
    <n v="1920"/>
    <n v="2190"/>
    <n v="80"/>
    <m/>
    <m/>
    <m/>
    <x v="1"/>
    <x v="11"/>
    <m/>
    <m/>
    <m/>
    <s v="T16N, R1W, LOUISIANA MERIDIAN"/>
    <s v="SEC 32, NENE"/>
    <m/>
    <m/>
  </r>
  <r>
    <s v="LAES55063"/>
    <x v="0"/>
    <x v="0"/>
    <d v="2007-09-13T00:00:00"/>
    <d v="2007-12-01T00:00:00"/>
    <x v="29"/>
    <n v="39.880000000000003"/>
    <x v="88"/>
    <x v="3"/>
    <n v="0.5"/>
    <m/>
    <m/>
    <s v="ES-071-09/07"/>
    <n v="270"/>
    <n v="0"/>
    <n v="270"/>
    <n v="80"/>
    <m/>
    <m/>
    <m/>
    <x v="1"/>
    <x v="11"/>
    <m/>
    <m/>
    <m/>
    <s v="T16N, R7W, LOUISIANA MERIDIAN"/>
    <s v="SEC 15, NESW"/>
    <m/>
    <m/>
  </r>
  <r>
    <s v="LAES55064"/>
    <x v="0"/>
    <x v="0"/>
    <d v="2007-09-13T00:00:00"/>
    <d v="2007-12-01T00:00:00"/>
    <x v="29"/>
    <n v="40"/>
    <x v="87"/>
    <x v="3"/>
    <n v="0.5"/>
    <m/>
    <m/>
    <s v="ES-072-09/07"/>
    <n v="270"/>
    <n v="1520"/>
    <n v="1790"/>
    <n v="80"/>
    <m/>
    <m/>
    <m/>
    <x v="54"/>
    <x v="11"/>
    <m/>
    <m/>
    <m/>
    <s v="T17N, R1W, LOUISIANA MERIDIAN"/>
    <s v="SEC 4, NENE"/>
    <m/>
    <m/>
  </r>
  <r>
    <s v="LAES55065"/>
    <x v="0"/>
    <x v="0"/>
    <d v="2007-09-13T00:00:00"/>
    <d v="2007-12-01T00:00:00"/>
    <x v="29"/>
    <n v="40"/>
    <x v="87"/>
    <x v="3"/>
    <n v="0.5"/>
    <m/>
    <m/>
    <s v="ES-073-09/07"/>
    <n v="270"/>
    <n v="8120"/>
    <n v="8390"/>
    <n v="80"/>
    <m/>
    <m/>
    <m/>
    <x v="1"/>
    <x v="11"/>
    <m/>
    <m/>
    <m/>
    <s v="T17N, R2W, LOUISIANA MERIDIAN"/>
    <s v="SEC 36, SWNW"/>
    <m/>
    <m/>
  </r>
  <r>
    <s v="LAES55066"/>
    <x v="0"/>
    <x v="0"/>
    <d v="2007-09-13T00:00:00"/>
    <d v="2007-12-01T00:00:00"/>
    <x v="29"/>
    <n v="40.130000000000003"/>
    <x v="89"/>
    <x v="3"/>
    <n v="0.5"/>
    <m/>
    <m/>
    <s v="ES-074-09/07"/>
    <n v="273.5"/>
    <n v="0"/>
    <n v="273.5"/>
    <n v="82"/>
    <m/>
    <m/>
    <m/>
    <x v="1"/>
    <x v="11"/>
    <m/>
    <m/>
    <m/>
    <s v="T18N, R1W, LOUISIANA MERIDIAN"/>
    <s v="SEC 24, SWNE"/>
    <m/>
    <m/>
  </r>
  <r>
    <s v="LAES55067"/>
    <x v="0"/>
    <x v="0"/>
    <d v="2007-09-13T00:00:00"/>
    <d v="2007-12-01T00:00:00"/>
    <x v="29"/>
    <n v="406.36"/>
    <x v="86"/>
    <x v="3"/>
    <n v="0.5"/>
    <m/>
    <m/>
    <s v="ES-075-09/07"/>
    <n v="1554.5"/>
    <n v="223036"/>
    <n v="224590.5"/>
    <n v="814"/>
    <m/>
    <m/>
    <m/>
    <x v="55"/>
    <x v="11"/>
    <m/>
    <m/>
    <m/>
    <s v="T19N, R15W, LOUISIANA MERIDIAN"/>
    <s v="SEC 4, SESW, SWSE; SEC 6, S2NW, W2SW, NESE; SEC 8, SESW, SWSE, NENE"/>
    <m/>
    <m/>
  </r>
  <r>
    <s v="LAES55069"/>
    <x v="0"/>
    <x v="0"/>
    <d v="2007-09-13T00:00:00"/>
    <d v="2007-12-01T00:00:00"/>
    <x v="29"/>
    <n v="79.900000000000006"/>
    <x v="90"/>
    <x v="3"/>
    <n v="0.5"/>
    <m/>
    <m/>
    <s v="ES-077-09/07"/>
    <n v="410"/>
    <n v="25840"/>
    <n v="26250"/>
    <n v="160"/>
    <m/>
    <m/>
    <m/>
    <x v="1"/>
    <x v="11"/>
    <m/>
    <m/>
    <m/>
    <s v="T21N, R10W, LOUISIANA MERIDIAN"/>
    <s v="SEC 19, S2NE"/>
    <m/>
    <m/>
  </r>
  <r>
    <s v="LAES55078"/>
    <x v="0"/>
    <x v="0"/>
    <d v="2007-09-13T00:00:00"/>
    <d v="2007-12-01T00:00:00"/>
    <x v="29"/>
    <n v="80.44"/>
    <x v="91"/>
    <x v="3"/>
    <n v="0.5"/>
    <m/>
    <m/>
    <s v="ES-086-09/07"/>
    <n v="413.5"/>
    <n v="3483"/>
    <n v="3896.5"/>
    <n v="162"/>
    <m/>
    <m/>
    <m/>
    <x v="1"/>
    <x v="11"/>
    <m/>
    <m/>
    <m/>
    <s v="T19N, R5E, LOUISIANA MERIDIAN"/>
    <s v="SEC 18, S2NW"/>
    <m/>
    <m/>
  </r>
  <r>
    <s v="LAES55079"/>
    <x v="0"/>
    <x v="0"/>
    <d v="2007-09-13T00:00:00"/>
    <d v="2007-12-01T00:00:00"/>
    <x v="29"/>
    <n v="40.119999999999997"/>
    <x v="91"/>
    <x v="3"/>
    <n v="0.5"/>
    <m/>
    <m/>
    <s v="ES-087-09/07"/>
    <n v="273.5"/>
    <n v="1763"/>
    <n v="2036.5"/>
    <n v="82"/>
    <m/>
    <m/>
    <m/>
    <x v="1"/>
    <x v="11"/>
    <m/>
    <m/>
    <m/>
    <s v="T19N, R5E, LOUISIANA MERIDIAN"/>
    <s v="SEC 20, SWNW"/>
    <m/>
    <m/>
  </r>
  <r>
    <s v="LAES55080"/>
    <x v="0"/>
    <x v="0"/>
    <d v="2007-09-13T00:00:00"/>
    <d v="2007-12-01T00:00:00"/>
    <x v="29"/>
    <n v="39.909999999999997"/>
    <x v="91"/>
    <x v="3"/>
    <n v="0.5"/>
    <m/>
    <m/>
    <s v="ES-088-09/07"/>
    <n v="270"/>
    <n v="1640"/>
    <n v="1910"/>
    <n v="80"/>
    <m/>
    <m/>
    <m/>
    <x v="1"/>
    <x v="11"/>
    <m/>
    <m/>
    <m/>
    <s v="T19N, R5E, LOUISIANA MERIDIAN"/>
    <s v="SEC 30, SWSE "/>
    <m/>
    <m/>
  </r>
  <r>
    <s v="LAES55081"/>
    <x v="0"/>
    <x v="0"/>
    <d v="2007-09-13T00:00:00"/>
    <d v="2007-12-01T00:00:00"/>
    <x v="29"/>
    <n v="80.290000000000006"/>
    <x v="92"/>
    <x v="3"/>
    <n v="0.5"/>
    <m/>
    <m/>
    <s v="ES-089-09/07"/>
    <n v="413.5"/>
    <n v="0"/>
    <n v="413.5"/>
    <n v="162"/>
    <m/>
    <m/>
    <m/>
    <x v="1"/>
    <x v="11"/>
    <m/>
    <m/>
    <m/>
    <s v="T7S, R11W, LOUISIANA MERIDIAN"/>
    <s v="SEC 34, NESE, SWSE"/>
    <m/>
    <m/>
  </r>
  <r>
    <s v="LAES55082"/>
    <x v="0"/>
    <x v="0"/>
    <d v="2007-09-13T00:00:00"/>
    <d v="2007-12-01T00:00:00"/>
    <x v="29"/>
    <n v="40.409999999999997"/>
    <x v="92"/>
    <x v="3"/>
    <n v="0.5"/>
    <m/>
    <m/>
    <s v="ES-090-09/07"/>
    <n v="273.5"/>
    <n v="0"/>
    <n v="273.5"/>
    <n v="82"/>
    <m/>
    <m/>
    <m/>
    <x v="1"/>
    <x v="11"/>
    <m/>
    <m/>
    <m/>
    <s v="T8S, R9W, LOUISIANA MERIDIAN"/>
    <s v="SEC 29, SWNE"/>
    <m/>
    <m/>
  </r>
  <r>
    <s v="LAES55083"/>
    <x v="0"/>
    <x v="0"/>
    <d v="2007-09-13T00:00:00"/>
    <d v="2007-12-01T00:00:00"/>
    <x v="29"/>
    <n v="17.3"/>
    <x v="92"/>
    <x v="3"/>
    <n v="0.5"/>
    <m/>
    <m/>
    <s v="ES-091-09/07"/>
    <n v="193"/>
    <n v="0"/>
    <n v="193"/>
    <n v="36"/>
    <m/>
    <m/>
    <m/>
    <x v="1"/>
    <x v="11"/>
    <m/>
    <m/>
    <m/>
    <s v="T10S, R9W, LOUISIANA MERIDIAN"/>
    <s v="SEC 15, LOT 2"/>
    <m/>
    <m/>
  </r>
  <r>
    <s v="LAES55084"/>
    <x v="0"/>
    <x v="0"/>
    <d v="2007-09-13T00:00:00"/>
    <d v="2007-12-01T00:00:00"/>
    <x v="29"/>
    <n v="240"/>
    <x v="93"/>
    <x v="3"/>
    <n v="0.5"/>
    <m/>
    <m/>
    <s v="ES-092-09/07"/>
    <n v="970"/>
    <n v="121920"/>
    <n v="122890"/>
    <n v="480"/>
    <m/>
    <m/>
    <m/>
    <x v="1"/>
    <x v="11"/>
    <m/>
    <m/>
    <m/>
    <s v="T7S, R6E, LOUISIANA MERIDIAN"/>
    <s v="SEC 20, NENE, W2NE,NENW, SENE, NESE"/>
    <m/>
    <m/>
  </r>
  <r>
    <s v="LAES55085"/>
    <x v="0"/>
    <x v="0"/>
    <d v="2007-09-13T00:00:00"/>
    <d v="2007-12-01T00:00:00"/>
    <x v="29"/>
    <n v="29.96"/>
    <x v="94"/>
    <x v="3"/>
    <n v="0.5"/>
    <m/>
    <m/>
    <s v="ES-093-09/07"/>
    <n v="235"/>
    <n v="3090"/>
    <n v="3325"/>
    <n v="60"/>
    <m/>
    <m/>
    <m/>
    <x v="1"/>
    <x v="11"/>
    <m/>
    <m/>
    <m/>
    <s v="T10S, R14E, LOUISIANA MERIDIAN"/>
    <s v="SEC 10, ALL OF FRACTIONAL SECTION"/>
    <m/>
    <m/>
  </r>
  <r>
    <s v="LAES55086"/>
    <x v="0"/>
    <x v="0"/>
    <d v="2007-09-13T00:00:00"/>
    <d v="2007-12-01T00:00:00"/>
    <x v="29"/>
    <n v="160.16"/>
    <x v="94"/>
    <x v="3"/>
    <n v="0.5"/>
    <m/>
    <m/>
    <s v="ES-094-09/07"/>
    <n v="693.5"/>
    <n v="72128"/>
    <n v="72821.5"/>
    <n v="322"/>
    <m/>
    <m/>
    <m/>
    <x v="1"/>
    <x v="11"/>
    <m/>
    <m/>
    <m/>
    <s v="T11S, R14E, LOUISIANA MERIDIAN"/>
    <s v="SEC 1, LOTS 4 AND 5"/>
    <m/>
    <m/>
  </r>
  <r>
    <s v="LAES55088"/>
    <x v="0"/>
    <x v="0"/>
    <d v="2007-09-13T00:00:00"/>
    <d v="2007-12-01T00:00:00"/>
    <x v="29"/>
    <n v="40"/>
    <x v="95"/>
    <x v="3"/>
    <n v="0.5"/>
    <m/>
    <m/>
    <s v="ES-096-09/07"/>
    <n v="270"/>
    <n v="0"/>
    <n v="270"/>
    <n v="80"/>
    <m/>
    <m/>
    <m/>
    <x v="1"/>
    <x v="11"/>
    <m/>
    <m/>
    <m/>
    <s v="T15N, R3E, LOUISIANA MERIDIAN"/>
    <s v="SEC 34, LOT 8"/>
    <m/>
    <m/>
  </r>
  <r>
    <s v="LAES55089"/>
    <x v="0"/>
    <x v="0"/>
    <d v="2007-09-13T00:00:00"/>
    <d v="2007-12-01T00:00:00"/>
    <x v="29"/>
    <n v="1220.03"/>
    <x v="96"/>
    <x v="3"/>
    <n v="0.5"/>
    <m/>
    <m/>
    <s v="ES-097-09/07"/>
    <n v="4403.5"/>
    <n v="547008"/>
    <n v="551411.5"/>
    <n v="2442"/>
    <m/>
    <m/>
    <m/>
    <x v="1"/>
    <x v="11"/>
    <m/>
    <m/>
    <m/>
    <s v="T12S, R8E, LOUISIANA MERIDIAN"/>
    <s v="SEC 1 AND SEC 22, ALL; SEC 2,3,4,5,6,21, ALL OF SECS 2-6 &amp; 21 WEST OF EAST GUIDE LEVEE, INCLUDING SAID LEVEE"/>
    <m/>
    <m/>
  </r>
  <r>
    <s v="LAES55090"/>
    <x v="0"/>
    <x v="0"/>
    <d v="2007-09-13T00:00:00"/>
    <d v="2007-12-01T00:00:00"/>
    <x v="29"/>
    <n v="1413.34"/>
    <x v="96"/>
    <x v="3"/>
    <n v="0.5"/>
    <m/>
    <m/>
    <s v="ES-098-09/07"/>
    <n v="5079"/>
    <n v="315322"/>
    <n v="320401"/>
    <n v="2828"/>
    <m/>
    <m/>
    <m/>
    <x v="1"/>
    <x v="11"/>
    <m/>
    <m/>
    <m/>
    <s v="T12S, R8E, LOUISIANA MERIDIAN"/>
    <s v="SEC, 23, 24, 25, 26, ALL; SEC 27 ALL OF SEC 27 WEST OF EAST GUIDE LEVEE, INCLUDING SAID LEVEE"/>
    <m/>
    <m/>
  </r>
  <r>
    <s v="LAES55091"/>
    <x v="0"/>
    <x v="0"/>
    <d v="2007-09-13T00:00:00"/>
    <d v="2007-12-01T00:00:00"/>
    <x v="29"/>
    <n v="781.36"/>
    <x v="96"/>
    <x v="3"/>
    <n v="0.5"/>
    <m/>
    <m/>
    <s v="ES-099-09/07"/>
    <n v="2867"/>
    <n v="201756"/>
    <n v="204623"/>
    <n v="1564"/>
    <m/>
    <m/>
    <m/>
    <x v="1"/>
    <x v="11"/>
    <m/>
    <m/>
    <m/>
    <s v="T12S, R8E, LOUISIANA MERIDIAN"/>
    <s v="SEC 46, 47, 48 &amp; 49, ALL"/>
    <m/>
    <m/>
  </r>
  <r>
    <s v="LAES55092"/>
    <x v="0"/>
    <x v="0"/>
    <d v="2007-09-13T00:00:00"/>
    <d v="2007-12-01T00:00:00"/>
    <x v="29"/>
    <n v="411.81"/>
    <x v="96"/>
    <x v="3"/>
    <n v="0.5"/>
    <m/>
    <m/>
    <s v="ES-100-09/07"/>
    <n v="1572"/>
    <n v="93936"/>
    <n v="95508"/>
    <n v="824"/>
    <m/>
    <m/>
    <m/>
    <x v="1"/>
    <x v="11"/>
    <m/>
    <m/>
    <m/>
    <s v="T12S, R7E, LOUISIANA MERIDIAN"/>
    <s v="ALL OF SEC 12 WEST OF EAST GUIDE LEVEE INCLUDING SAID LEVEE, SEC 13, 14, ALL"/>
    <m/>
    <m/>
  </r>
  <r>
    <s v="LAES55093"/>
    <x v="0"/>
    <x v="0"/>
    <d v="2007-09-13T00:00:00"/>
    <d v="2007-12-01T00:00:00"/>
    <x v="29"/>
    <n v="1245.07"/>
    <x v="96"/>
    <x v="3"/>
    <n v="0.5"/>
    <m/>
    <m/>
    <s v="ES-101-09/07"/>
    <n v="4491"/>
    <n v="309008"/>
    <n v="313499"/>
    <n v="2492"/>
    <m/>
    <m/>
    <m/>
    <x v="1"/>
    <x v="11"/>
    <m/>
    <m/>
    <m/>
    <s v="T11S, R8E, LOUISIANA MERIDIAN"/>
    <s v="ALL OF SECS 21 AND 29 EAST OF WEST GUIDE LEVEE] INCLUDING LEVEE; SEC 22, 28,28, ALL"/>
    <m/>
    <m/>
  </r>
  <r>
    <s v="LAES55094"/>
    <x v="0"/>
    <x v="0"/>
    <d v="2007-09-13T00:00:00"/>
    <d v="2007-12-01T00:00:00"/>
    <x v="29"/>
    <n v="1175.8"/>
    <x v="96"/>
    <x v="3"/>
    <n v="0.5"/>
    <m/>
    <m/>
    <s v="ES-102-09/07"/>
    <n v="4246"/>
    <n v="538608"/>
    <n v="542854"/>
    <n v="2352"/>
    <m/>
    <m/>
    <m/>
    <x v="1"/>
    <x v="11"/>
    <m/>
    <m/>
    <m/>
    <s v="T11S, R8E, LOUISIANA MERIDIAN"/>
    <s v="SECS 31, 32, 33, ALL"/>
    <m/>
    <m/>
  </r>
  <r>
    <s v="LAES55095"/>
    <x v="0"/>
    <x v="0"/>
    <d v="2007-09-13T00:00:00"/>
    <d v="2007-12-01T00:00:00"/>
    <x v="29"/>
    <n v="826.84"/>
    <x v="96"/>
    <x v="3"/>
    <n v="0.5"/>
    <m/>
    <m/>
    <s v="ES-103-09/07"/>
    <n v="3024.5"/>
    <n v="221636"/>
    <n v="224660.5"/>
    <n v="1654"/>
    <m/>
    <m/>
    <m/>
    <x v="1"/>
    <x v="11"/>
    <m/>
    <m/>
    <m/>
    <s v="T11S, R8E, LOUISIANA MERIDIAN"/>
    <s v="SEC 34, 35, 39, 40 ALL OF SECTIONS WEST OF EAST GUIDE LEVEE, INCLUDING SAID LEVEE; SEC 41, ALL"/>
    <m/>
    <m/>
  </r>
  <r>
    <m/>
    <x v="1"/>
    <x v="1"/>
    <m/>
    <m/>
    <x v="1"/>
    <m/>
    <x v="1"/>
    <x v="1"/>
    <m/>
    <m/>
    <m/>
    <s v="GROUP TOTAL"/>
    <n v="40350"/>
    <n v="2842092"/>
    <n v="2882442"/>
    <m/>
    <m/>
    <m/>
    <m/>
    <x v="1"/>
    <x v="1"/>
    <m/>
    <m/>
    <m/>
    <m/>
    <m/>
    <m/>
    <m/>
  </r>
  <r>
    <m/>
    <x v="1"/>
    <x v="1"/>
    <m/>
    <m/>
    <x v="1"/>
    <m/>
    <x v="1"/>
    <x v="1"/>
    <m/>
    <m/>
    <m/>
    <m/>
    <m/>
    <m/>
    <m/>
    <m/>
    <m/>
    <m/>
    <m/>
    <x v="1"/>
    <x v="1"/>
    <m/>
    <m/>
    <m/>
    <m/>
    <m/>
    <m/>
    <m/>
  </r>
  <r>
    <m/>
    <x v="1"/>
    <x v="1"/>
    <m/>
    <m/>
    <x v="1"/>
    <m/>
    <x v="1"/>
    <x v="1"/>
    <m/>
    <m/>
    <m/>
    <m/>
    <m/>
    <m/>
    <m/>
    <m/>
    <m/>
    <m/>
    <m/>
    <x v="56"/>
    <x v="1"/>
    <m/>
    <m/>
    <m/>
    <m/>
    <m/>
    <m/>
    <m/>
  </r>
  <r>
    <m/>
    <x v="1"/>
    <x v="1"/>
    <m/>
    <m/>
    <x v="1"/>
    <m/>
    <x v="1"/>
    <x v="1"/>
    <m/>
    <m/>
    <m/>
    <m/>
    <m/>
    <m/>
    <m/>
    <m/>
    <m/>
    <m/>
    <m/>
    <x v="1"/>
    <x v="1"/>
    <m/>
    <m/>
    <m/>
    <m/>
    <m/>
    <m/>
    <m/>
  </r>
  <r>
    <s v="KSNM119260"/>
    <x v="0"/>
    <x v="0"/>
    <d v="2007-10-17T00:00:00"/>
    <d v="2007-12-01T00:00:00"/>
    <x v="29"/>
    <n v="720.38"/>
    <x v="97"/>
    <x v="8"/>
    <n v="0.25"/>
    <m/>
    <m/>
    <s v="NM200710001"/>
    <n v="2663.5"/>
    <n v="5768"/>
    <n v="8431.5"/>
    <n v="1442"/>
    <m/>
    <m/>
    <m/>
    <x v="1"/>
    <x v="11"/>
    <m/>
    <m/>
    <m/>
    <s v="T0260S,R0140E; T0270S,R0140E; 6TH MERIDIAN"/>
    <s v="SEE LEASE FOR LEGAL DESCRIPTIONS"/>
    <m/>
    <m/>
  </r>
  <r>
    <s v="KSNM119261"/>
    <x v="0"/>
    <x v="0"/>
    <d v="2007-10-17T00:00:00"/>
    <d v="2007-12-01T00:00:00"/>
    <x v="29"/>
    <n v="1888.94"/>
    <x v="98"/>
    <x v="8"/>
    <n v="0.25"/>
    <m/>
    <m/>
    <s v="NM200710002"/>
    <n v="6751.5"/>
    <n v="7556"/>
    <n v="14307.5"/>
    <n v="3778"/>
    <m/>
    <m/>
    <m/>
    <x v="1"/>
    <x v="11"/>
    <m/>
    <m/>
    <m/>
    <s v="T0310S, R0180E; T0320S, R0180E; 6TH MERIDIAN"/>
    <s v="SEE LEASE FOR LEGAL DESCRIPTIONS"/>
    <m/>
    <m/>
  </r>
  <r>
    <s v="NMNM119275"/>
    <x v="0"/>
    <x v="0"/>
    <d v="2007-10-17T00:00:00"/>
    <d v="2007-12-01T00:00:00"/>
    <x v="29"/>
    <n v="480"/>
    <x v="40"/>
    <x v="7"/>
    <n v="0.25"/>
    <m/>
    <m/>
    <s v="NM200710016"/>
    <n v="1820"/>
    <n v="296640"/>
    <n v="298460"/>
    <n v="960"/>
    <m/>
    <m/>
    <m/>
    <x v="49"/>
    <x v="11"/>
    <m/>
    <m/>
    <m/>
    <s v="T0260S,R0300E; NM PRINCIPAL MERIDIAN"/>
    <s v="SEC 4, SE; SEC 9 W2"/>
    <m/>
    <s v="Rec. at Book 911 Page 596"/>
  </r>
  <r>
    <s v="NMNM119278"/>
    <x v="0"/>
    <x v="0"/>
    <d v="2007-10-17T00:00:00"/>
    <d v="2007-12-01T00:00:00"/>
    <x v="29"/>
    <n v="320"/>
    <x v="63"/>
    <x v="7"/>
    <n v="0.25"/>
    <m/>
    <m/>
    <s v="NM200710019"/>
    <n v="1260"/>
    <n v="197760"/>
    <n v="199020"/>
    <n v="640"/>
    <m/>
    <m/>
    <m/>
    <x v="57"/>
    <x v="11"/>
    <m/>
    <m/>
    <m/>
    <s v="T0260S,R0330E; NM PRINCIPAL MERIDIAN"/>
    <s v="SEC 3, E2NE,NW,E2SW;  "/>
    <m/>
    <m/>
  </r>
  <r>
    <s v="NMNM119283"/>
    <x v="0"/>
    <x v="0"/>
    <d v="2007-10-17T00:00:00"/>
    <d v="2007-12-01T00:00:00"/>
    <x v="29"/>
    <n v="1125.94"/>
    <x v="42"/>
    <x v="7"/>
    <n v="0.25"/>
    <m/>
    <m/>
    <s v="NM200710024"/>
    <n v="4081"/>
    <n v="138498"/>
    <n v="142579"/>
    <n v="2252"/>
    <m/>
    <m/>
    <m/>
    <x v="58"/>
    <x v="11"/>
    <m/>
    <m/>
    <m/>
    <s v="T0240N,R0080W; NM PRINCIPAL MERIDIAN"/>
    <s v="SEC 4, LOTS 7-10, SW; SEC 5, LOTS 1-2, S2N2,SE; SEC 9, NE; SEC 33, NW,SE"/>
    <m/>
    <m/>
  </r>
  <r>
    <s v="OKNM119298"/>
    <x v="0"/>
    <x v="0"/>
    <d v="2007-10-17T00:00:00"/>
    <d v="2007-12-01T00:00:00"/>
    <x v="29"/>
    <n v="235.3"/>
    <x v="99"/>
    <x v="5"/>
    <n v="0.25"/>
    <m/>
    <m/>
    <s v="NM200710039"/>
    <n v="966"/>
    <n v="2360"/>
    <n v="3326"/>
    <n v="472"/>
    <m/>
    <m/>
    <m/>
    <x v="1"/>
    <x v="11"/>
    <m/>
    <m/>
    <m/>
    <s v="T0150N,R0170E,; &amp; T0160N, 0170E; IM"/>
    <s v="T0150-SEC33, SEE LSE FOR M&amp;B - 75% MI; T0160-SEC3, W2SW -25% MI"/>
    <m/>
    <m/>
  </r>
  <r>
    <s v="OKNM119299"/>
    <x v="0"/>
    <x v="0"/>
    <d v="2007-10-17T00:00:00"/>
    <d v="2007-12-01T00:00:00"/>
    <x v="29"/>
    <n v="1929.18"/>
    <x v="100"/>
    <x v="5"/>
    <n v="0.25"/>
    <m/>
    <m/>
    <s v="NM200710040"/>
    <n v="6895"/>
    <n v="92640"/>
    <n v="99535"/>
    <n v="3860"/>
    <m/>
    <m/>
    <m/>
    <x v="1"/>
    <x v="11"/>
    <m/>
    <m/>
    <m/>
    <s v="T0260S,R0300E; IM"/>
    <s v="SEC 18, E2NENW - 75%MI; SEC 19,N2NE - 50% MI; SEC 18, W2 LOT3, SE LOT 3, W2NESW - 25% MI"/>
    <m/>
    <m/>
  </r>
  <r>
    <s v="OKNM119307"/>
    <x v="0"/>
    <x v="0"/>
    <d v="2007-10-17T00:00:00"/>
    <d v="2007-12-01T00:00:00"/>
    <x v="29"/>
    <n v="1927.72"/>
    <x v="101"/>
    <x v="5"/>
    <n v="0.25"/>
    <m/>
    <m/>
    <s v="NM200710048"/>
    <n v="6888"/>
    <n v="73264"/>
    <n v="80152"/>
    <n v="3856"/>
    <m/>
    <m/>
    <m/>
    <x v="1"/>
    <x v="11"/>
    <m/>
    <m/>
    <m/>
    <s v="T0050N, R0240E; IM"/>
    <s v="SEC 3, LOTS 1-4, S2N2,S2; SEC 4, LOTS 1-4, S2N2,S2; SEC 10, ALL"/>
    <m/>
    <m/>
  </r>
  <r>
    <s v="OKNM119308"/>
    <x v="0"/>
    <x v="0"/>
    <d v="2007-10-17T00:00:00"/>
    <d v="2007-12-01T00:00:00"/>
    <x v="29"/>
    <n v="2384.37"/>
    <x v="101"/>
    <x v="5"/>
    <n v="0.25"/>
    <m/>
    <m/>
    <s v="NM200710049"/>
    <n v="8487.5"/>
    <n v="66780"/>
    <n v="75267.5"/>
    <n v="4770"/>
    <m/>
    <m/>
    <m/>
    <x v="1"/>
    <x v="11"/>
    <m/>
    <m/>
    <m/>
    <s v="T0050N, R0240E; IM"/>
    <s v="SEC 5.6,7 &amp; 8; SEE ATTACHMENT TO LEASE FOR FURTHER DETAILS"/>
    <m/>
    <m/>
  </r>
  <r>
    <s v="OKNM119309"/>
    <x v="0"/>
    <x v="0"/>
    <d v="2007-10-17T00:00:00"/>
    <d v="2007-12-01T00:00:00"/>
    <x v="29"/>
    <n v="1212.8499999999999"/>
    <x v="101"/>
    <x v="5"/>
    <n v="0.25"/>
    <m/>
    <m/>
    <s v="NM200710050"/>
    <n v="4385.5"/>
    <n v="46094"/>
    <n v="50479.5"/>
    <n v="2426"/>
    <m/>
    <m/>
    <m/>
    <x v="1"/>
    <x v="11"/>
    <m/>
    <m/>
    <m/>
    <s v="T0050N, R0240E; IM"/>
    <s v="SEC 25,26 &amp; 27; SEE ATTACHMENT TO LEASE FOR FURTHER DETAILS"/>
    <m/>
    <m/>
  </r>
  <r>
    <s v="OKNM119311"/>
    <x v="0"/>
    <x v="0"/>
    <d v="2007-10-17T00:00:00"/>
    <d v="2007-12-01T00:00:00"/>
    <x v="29"/>
    <n v="1152.5"/>
    <x v="101"/>
    <x v="5"/>
    <n v="0.25"/>
    <m/>
    <m/>
    <s v="NM200710052"/>
    <n v="4175.5"/>
    <n v="55344"/>
    <n v="59519.5"/>
    <n v="2306"/>
    <m/>
    <m/>
    <m/>
    <x v="1"/>
    <x v="11"/>
    <m/>
    <m/>
    <m/>
    <m/>
    <m/>
    <m/>
    <m/>
  </r>
  <r>
    <s v="OKNM119315"/>
    <x v="0"/>
    <x v="0"/>
    <d v="2007-10-17T00:00:00"/>
    <d v="2007-12-01T00:00:00"/>
    <x v="29"/>
    <n v="824.48"/>
    <x v="70"/>
    <x v="5"/>
    <n v="0.25"/>
    <m/>
    <m/>
    <s v="NM200710056"/>
    <n v="3027.5"/>
    <n v="51975"/>
    <n v="55002.5"/>
    <n v="1650"/>
    <m/>
    <m/>
    <m/>
    <x v="1"/>
    <x v="11"/>
    <m/>
    <m/>
    <m/>
    <s v="T0250N, R0220W; IM"/>
    <s v="SEC 20,28,29; SEE LEASE FOR DETAILS"/>
    <m/>
    <m/>
  </r>
  <r>
    <s v="TXNM119317"/>
    <x v="0"/>
    <x v="0"/>
    <d v="2007-10-17T00:00:00"/>
    <d v="2007-12-01T00:00:00"/>
    <x v="29"/>
    <n v="967.52"/>
    <x v="5"/>
    <x v="0"/>
    <n v="0.25"/>
    <m/>
    <m/>
    <s v="NM200710058"/>
    <n v="3528"/>
    <n v="56144"/>
    <n v="59672"/>
    <n v="1936"/>
    <m/>
    <m/>
    <m/>
    <x v="1"/>
    <x v="11"/>
    <m/>
    <m/>
    <s v="DAVY CROCKETT NAT'L FOREST"/>
    <s v="TR K-1B-II PARCEL #3"/>
    <m/>
    <s v="YES"/>
    <m/>
  </r>
  <r>
    <s v="TXNM119319"/>
    <x v="0"/>
    <x v="0"/>
    <d v="2007-10-17T00:00:00"/>
    <d v="2007-12-01T00:00:00"/>
    <x v="29"/>
    <n v="153.07"/>
    <x v="102"/>
    <x v="0"/>
    <n v="0.25"/>
    <m/>
    <m/>
    <s v="NM200710060"/>
    <n v="679"/>
    <n v="4312"/>
    <n v="4991"/>
    <n v="308"/>
    <m/>
    <m/>
    <m/>
    <x v="38"/>
    <x v="11"/>
    <m/>
    <m/>
    <s v="NUECES RIVER PROJECT"/>
    <s v="TR NR-42-1, NR-42-2"/>
    <s v="TRACTS MAY HAVE NPRI RESERVED"/>
    <m/>
    <m/>
  </r>
  <r>
    <s v="TXNM119320"/>
    <x v="0"/>
    <x v="0"/>
    <d v="2007-10-17T00:00:00"/>
    <d v="2007-12-01T00:00:00"/>
    <x v="29"/>
    <n v="425.57"/>
    <x v="103"/>
    <x v="0"/>
    <n v="0.25"/>
    <m/>
    <m/>
    <s v="NM200710061"/>
    <n v="1631"/>
    <n v="20448"/>
    <n v="22079"/>
    <n v="852"/>
    <m/>
    <m/>
    <m/>
    <x v="38"/>
    <x v="11"/>
    <m/>
    <m/>
    <s v="NUECES RIVER PROJECT"/>
    <s v="TR CAL-1M"/>
    <s v="TRACTS MAY HAVE NPRI RESERVED"/>
    <m/>
    <m/>
  </r>
  <r>
    <s v="TXNM119322"/>
    <x v="0"/>
    <x v="0"/>
    <d v="2007-10-17T00:00:00"/>
    <d v="2007-12-01T00:00:00"/>
    <x v="29"/>
    <n v="1268.1300000000001"/>
    <x v="58"/>
    <x v="0"/>
    <n v="0.25"/>
    <m/>
    <m/>
    <s v="NM200710063"/>
    <n v="4581.5"/>
    <n v="73602"/>
    <n v="78183.5"/>
    <n v="2538"/>
    <m/>
    <m/>
    <m/>
    <x v="1"/>
    <x v="11"/>
    <m/>
    <m/>
    <s v="SABINE NAT'L FOREST"/>
    <s v="TR S-2K-I PARCEL #6"/>
    <m/>
    <s v="YES"/>
    <m/>
  </r>
  <r>
    <s v="TXNM119324"/>
    <x v="0"/>
    <x v="0"/>
    <d v="2007-10-17T00:00:00"/>
    <d v="2007-12-01T00:00:00"/>
    <x v="29"/>
    <n v="1081.9100000000001"/>
    <x v="104"/>
    <x v="0"/>
    <n v="0.25"/>
    <m/>
    <m/>
    <s v="NM200710065"/>
    <n v="3927"/>
    <n v="41116"/>
    <n v="45043"/>
    <n v="2164"/>
    <m/>
    <m/>
    <m/>
    <x v="38"/>
    <x v="11"/>
    <m/>
    <m/>
    <s v="NUECES RIVER PROJECT"/>
    <s v="TR 9-1, 33-1, 33-2"/>
    <s v="TRACTS MAY HAVE NPRI RESERVED"/>
    <m/>
    <m/>
  </r>
  <r>
    <m/>
    <x v="1"/>
    <x v="1"/>
    <m/>
    <m/>
    <x v="1"/>
    <m/>
    <x v="1"/>
    <x v="1"/>
    <m/>
    <m/>
    <m/>
    <s v="GROUP TOTAL"/>
    <n v="65747.5"/>
    <n v="1230301"/>
    <n v="1296048.5"/>
    <m/>
    <m/>
    <m/>
    <m/>
    <x v="1"/>
    <x v="1"/>
    <m/>
    <m/>
    <m/>
    <m/>
    <m/>
    <m/>
    <m/>
  </r>
  <r>
    <m/>
    <x v="1"/>
    <x v="1"/>
    <m/>
    <m/>
    <x v="1"/>
    <m/>
    <x v="1"/>
    <x v="1"/>
    <m/>
    <m/>
    <m/>
    <m/>
    <m/>
    <m/>
    <m/>
    <m/>
    <m/>
    <m/>
    <m/>
    <x v="1"/>
    <x v="1"/>
    <m/>
    <m/>
    <m/>
    <m/>
    <m/>
    <m/>
    <m/>
  </r>
  <r>
    <m/>
    <x v="1"/>
    <x v="1"/>
    <m/>
    <m/>
    <x v="1"/>
    <m/>
    <x v="1"/>
    <x v="1"/>
    <m/>
    <m/>
    <m/>
    <s v="BALANCE 12-31-2007"/>
    <n v="990613.5"/>
    <n v="9255078.5"/>
    <n v="10245692"/>
    <m/>
    <m/>
    <m/>
    <m/>
    <x v="1"/>
    <x v="1"/>
    <m/>
    <m/>
    <m/>
    <m/>
    <m/>
    <m/>
    <m/>
  </r>
  <r>
    <m/>
    <x v="1"/>
    <x v="1"/>
    <m/>
    <m/>
    <x v="1"/>
    <m/>
    <x v="1"/>
    <x v="1"/>
    <m/>
    <m/>
    <m/>
    <m/>
    <m/>
    <m/>
    <m/>
    <m/>
    <m/>
    <m/>
    <m/>
    <x v="1"/>
    <x v="1"/>
    <m/>
    <m/>
    <m/>
    <m/>
    <m/>
    <m/>
    <m/>
  </r>
  <r>
    <s v="ALES55113"/>
    <x v="0"/>
    <x v="0"/>
    <d v="2007-12-20T00:00:00"/>
    <d v="2008-02-01T00:00:00"/>
    <x v="30"/>
    <n v="161.55000000000001"/>
    <x v="24"/>
    <x v="6"/>
    <n v="0.25"/>
    <m/>
    <m/>
    <s v="ES-001-12/07"/>
    <n v="707"/>
    <n v="0"/>
    <n v="707"/>
    <n v="324"/>
    <m/>
    <m/>
    <m/>
    <x v="59"/>
    <x v="12"/>
    <m/>
    <m/>
    <s v="CONECUH NATL FOREST"/>
    <s v="T1N,R15E,ST.STEPHENS MERIDAN"/>
    <s v="SEC 5, N2NW; SEC 6, SESW; SEC 8, NWSW"/>
    <m/>
    <m/>
  </r>
  <r>
    <s v="ALES55116"/>
    <x v="0"/>
    <x v="0"/>
    <d v="2007-12-20T00:00:00"/>
    <d v="2008-02-01T00:00:00"/>
    <x v="30"/>
    <n v="1470.17"/>
    <x v="24"/>
    <x v="6"/>
    <n v="0.25"/>
    <m/>
    <m/>
    <s v="ES-004-12/07"/>
    <n v="5288.5"/>
    <n v="0"/>
    <n v="5288.5"/>
    <n v="2942"/>
    <m/>
    <m/>
    <m/>
    <x v="1"/>
    <x v="12"/>
    <m/>
    <m/>
    <s v="CONECUH NATL FOREST"/>
    <s v="T1N,R15E,ST.STEPHENS MERIDAN"/>
    <s v="ACREAGE IN SEC 15, 16, 18, 21 &amp; 22; SEE LSE FOR DETAILS"/>
    <m/>
    <m/>
  </r>
  <r>
    <s v="ALES55117"/>
    <x v="0"/>
    <x v="0"/>
    <d v="2007-12-20T00:00:00"/>
    <d v="2008-02-01T00:00:00"/>
    <x v="30"/>
    <n v="479.55"/>
    <x v="24"/>
    <x v="6"/>
    <n v="0.25"/>
    <m/>
    <m/>
    <s v="ES-005-12/07"/>
    <n v="1820"/>
    <n v="0"/>
    <n v="1820"/>
    <n v="960"/>
    <m/>
    <m/>
    <m/>
    <x v="1"/>
    <x v="12"/>
    <m/>
    <m/>
    <s v="CONECUH NATL FOREST"/>
    <s v="T1N,R15E,ST.STEPHENS MERIDAN"/>
    <s v="SEC 27,SENW,SW; SEC 28,E2NE; SEC 33, NENE; SEC 34, NW"/>
    <m/>
    <m/>
  </r>
  <r>
    <s v="ALES55118"/>
    <x v="0"/>
    <x v="0"/>
    <d v="2007-12-20T00:00:00"/>
    <d v="2008-02-01T00:00:00"/>
    <x v="30"/>
    <n v="685.17"/>
    <x v="105"/>
    <x v="6"/>
    <n v="0.25"/>
    <m/>
    <m/>
    <s v="ES-006-12/07"/>
    <n v="3661"/>
    <n v="0"/>
    <n v="3661"/>
    <n v="1372"/>
    <m/>
    <m/>
    <m/>
    <x v="60"/>
    <x v="12"/>
    <m/>
    <m/>
    <s v="CONECUH NATL FOREST"/>
    <s v="T2N,R13E,ST.STEPHENS MERIDAN"/>
    <s v="SEC 8,N2NW,E2SE; SEC 9,SENE, S2; SEC15,N2,SW,W2SE"/>
    <m/>
    <m/>
  </r>
  <r>
    <s v="ALES55119"/>
    <x v="0"/>
    <x v="0"/>
    <d v="2007-12-20T00:00:00"/>
    <d v="2008-02-01T00:00:00"/>
    <x v="30"/>
    <n v="1720.42"/>
    <x v="105"/>
    <x v="6"/>
    <n v="0.25"/>
    <m/>
    <m/>
    <s v="ES-007-12/07"/>
    <n v="6163.5"/>
    <n v="0"/>
    <n v="6163.5"/>
    <n v="3442"/>
    <m/>
    <m/>
    <m/>
    <x v="1"/>
    <x v="12"/>
    <m/>
    <m/>
    <s v="CONECUH NATL FOREST"/>
    <s v="T2N,R13E,ST.STEPHENS MERIDAN"/>
    <s v="SEC 16,ALL; SEC 19,E2SW; SEC20,W2NE,SENE,NW,SE; SEC21N2, SW,E2SE"/>
    <m/>
    <m/>
  </r>
  <r>
    <s v="ALES55121"/>
    <x v="0"/>
    <x v="0"/>
    <d v="2007-12-20T00:00:00"/>
    <d v="2008-02-01T00:00:00"/>
    <x v="30"/>
    <n v="1480.33"/>
    <x v="105"/>
    <x v="6"/>
    <n v="0.25"/>
    <m/>
    <m/>
    <s v="ES-007-12/07"/>
    <n v="5323.5"/>
    <n v="0"/>
    <n v="5323.5"/>
    <n v="2962"/>
    <m/>
    <m/>
    <m/>
    <x v="59"/>
    <x v="12"/>
    <m/>
    <m/>
    <s v="CONECUH NATL FOREST"/>
    <s v="T2N,R13E,ST.STEPHENS MERIDAN"/>
    <s v="SEC 27,ALL; SEC 28,ALL; SEC29 SENW,SW"/>
    <m/>
    <m/>
  </r>
  <r>
    <s v="ALES55122"/>
    <x v="0"/>
    <x v="0"/>
    <d v="2007-12-20T00:00:00"/>
    <d v="2008-02-01T00:00:00"/>
    <x v="30"/>
    <n v="1860"/>
    <x v="105"/>
    <x v="6"/>
    <n v="0.25"/>
    <m/>
    <m/>
    <s v="ES-010-12/07"/>
    <n v="6650"/>
    <n v="0"/>
    <n v="6650"/>
    <n v="3720"/>
    <m/>
    <m/>
    <m/>
    <x v="1"/>
    <x v="12"/>
    <m/>
    <m/>
    <s v="CONECUH NATL FOREST"/>
    <s v="T2N,R13E,ST.STEPHENS MERIDAN"/>
    <s v="SEC 30,E2SE, E2E2W2SE; SEC32,E2; SEC33,ALL; SEC34,N2NE,SWNE,NW,SW,NWSE,S2SE; SEC 35,N2NE,SWNE,E2NW,NWNW"/>
    <m/>
    <m/>
  </r>
  <r>
    <s v="ALES55123"/>
    <x v="0"/>
    <x v="0"/>
    <d v="2007-12-20T00:00:00"/>
    <d v="2008-02-01T00:00:00"/>
    <x v="30"/>
    <n v="2316.75"/>
    <x v="24"/>
    <x v="6"/>
    <n v="0.25"/>
    <m/>
    <m/>
    <s v="ES-11-12/07"/>
    <n v="8249.5"/>
    <n v="0"/>
    <n v="8249.5"/>
    <n v="4634"/>
    <m/>
    <m/>
    <m/>
    <x v="1"/>
    <x v="12"/>
    <m/>
    <m/>
    <s v="CONECUH NATL FOREST"/>
    <s v="T2N,R15E,ST.STEPHENS MERIDIAN"/>
    <s v="SEC 2,SWN2,SWNW,S2; SEC 3,ALL; SEC4,ALL; SEC 5,E2,NW,N2SW,E2SESW"/>
    <m/>
    <m/>
  </r>
  <r>
    <s v="ALES55124"/>
    <x v="0"/>
    <x v="0"/>
    <d v="2007-12-20T00:00:00"/>
    <d v="2008-02-01T00:00:00"/>
    <x v="30"/>
    <n v="788.96"/>
    <x v="24"/>
    <x v="6"/>
    <n v="0.25"/>
    <m/>
    <m/>
    <s v="ES-12-12/07"/>
    <n v="2901.5"/>
    <n v="0"/>
    <n v="2901.5"/>
    <n v="1578"/>
    <m/>
    <m/>
    <m/>
    <x v="1"/>
    <x v="12"/>
    <m/>
    <m/>
    <s v="CONECUH NATL FOREST"/>
    <s v="T2N,R15E,ST.STEPHENS MERIDIAN"/>
    <s v="SEC 6,SE; SEC 7,SWNW,S2; SEC 8,NE, Pt.E2NW,SW,N2SE,NW1/4SE1/4; SEC 9,ALL; SEC 10, N2N2,SENE,SWNW,W2SW,W2SESW"/>
    <m/>
    <m/>
  </r>
  <r>
    <s v="ALES55125"/>
    <x v="0"/>
    <x v="0"/>
    <d v="2007-12-20T00:00:00"/>
    <d v="2008-02-01T00:00:00"/>
    <x v="30"/>
    <n v="1968.96"/>
    <x v="24"/>
    <x v="6"/>
    <n v="0.25"/>
    <m/>
    <m/>
    <s v="ES-13-12/07"/>
    <n v="7031.5"/>
    <n v="0"/>
    <n v="7031.5"/>
    <n v="3938"/>
    <m/>
    <m/>
    <m/>
    <x v="1"/>
    <x v="12"/>
    <m/>
    <m/>
    <s v="CONECUH NATL FOREST"/>
    <s v="T2N,R15E,ST.STEPHENS MERIDIAN"/>
    <s v="SEC 11, ALL; SEC 12,NE,SWNW,W2SW,SESW,SWSE; SEC 13,ALL; SEC 14, E2NE,S2SW,SE"/>
    <m/>
    <m/>
  </r>
  <r>
    <s v="ALES55126"/>
    <x v="0"/>
    <x v="0"/>
    <d v="2007-12-20T00:00:00"/>
    <d v="2008-02-01T00:00:00"/>
    <x v="30"/>
    <n v="1081.1099999999999"/>
    <x v="24"/>
    <x v="6"/>
    <n v="0.25"/>
    <m/>
    <m/>
    <s v="ES-14-12/07"/>
    <n v="3927"/>
    <n v="0"/>
    <n v="3927"/>
    <n v="2164"/>
    <m/>
    <m/>
    <m/>
    <x v="1"/>
    <x v="12"/>
    <m/>
    <m/>
    <s v="CONECUH NATL FOREST"/>
    <s v="T2N,R15E,ST.STEPHENS MERIDIAN"/>
    <s v="SEC 15,PT.OF.NW; SEC 16,ALL; SEC 17,SEN2,PT.OF.S2NW,S2 "/>
    <m/>
    <m/>
  </r>
  <r>
    <s v="ALES55128"/>
    <x v="0"/>
    <x v="0"/>
    <d v="2007-12-20T00:00:00"/>
    <d v="2008-02-01T00:00:00"/>
    <x v="30"/>
    <n v="1783.17"/>
    <x v="24"/>
    <x v="6"/>
    <n v="0.25"/>
    <m/>
    <m/>
    <s v="ES-16-12/07"/>
    <n v="6384"/>
    <n v="0"/>
    <n v="6384"/>
    <n v="3568"/>
    <m/>
    <m/>
    <m/>
    <x v="1"/>
    <x v="12"/>
    <m/>
    <m/>
    <s v="CONECUH NATL FOREST"/>
    <s v="T2N,R15E,ST.STEPHENS MERIDIAN"/>
    <s v="SEC 22,W2SE.LESS.4.03.ACRES.LYING.IN.NWSE; SEC 23,ALL; SEC 24,ALL; SEC 25, NENE,W2,W2SE "/>
    <m/>
    <m/>
  </r>
  <r>
    <s v="ALES55129"/>
    <x v="0"/>
    <x v="0"/>
    <d v="2007-12-20T00:00:00"/>
    <d v="2008-02-01T00:00:00"/>
    <x v="30"/>
    <n v="920.78"/>
    <x v="24"/>
    <x v="6"/>
    <n v="0.25"/>
    <m/>
    <m/>
    <s v="ES-17-12/07"/>
    <n v="3363.5"/>
    <n v="0"/>
    <n v="3363.5"/>
    <n v="1842"/>
    <m/>
    <m/>
    <m/>
    <x v="1"/>
    <x v="12"/>
    <m/>
    <m/>
    <s v="CONECUH NATL FOREST"/>
    <s v="T2N,R15E,ST.STEPHENS MERIDIAN"/>
    <s v="SEC 26, ALL; SEC28 - SEE LEASE FOR DETAILS (NOTE 50% OF MINERALS FOR PART OF TRACT)."/>
    <m/>
    <m/>
  </r>
  <r>
    <s v="ALES55130"/>
    <x v="0"/>
    <x v="0"/>
    <d v="2007-12-20T00:00:00"/>
    <d v="2008-02-01T00:00:00"/>
    <x v="30"/>
    <n v="200"/>
    <x v="24"/>
    <x v="6"/>
    <n v="0.25"/>
    <m/>
    <m/>
    <s v="ES-18-12/07"/>
    <n v="840"/>
    <n v="0"/>
    <n v="840"/>
    <n v="400"/>
    <m/>
    <m/>
    <m/>
    <x v="1"/>
    <x v="12"/>
    <m/>
    <m/>
    <s v="CONECUH NATL FOREST"/>
    <s v="T2N,R15E,ST.STEPHENS MERIDIAN"/>
    <s v="SEC 29, SW,NWSE"/>
    <m/>
    <m/>
  </r>
  <r>
    <s v="ALES55131"/>
    <x v="0"/>
    <x v="0"/>
    <d v="2007-12-20T00:00:00"/>
    <d v="2008-02-01T00:00:00"/>
    <x v="30"/>
    <n v="80"/>
    <x v="24"/>
    <x v="6"/>
    <n v="0.25"/>
    <m/>
    <m/>
    <s v="ES-19-12/07"/>
    <n v="420"/>
    <n v="0"/>
    <n v="420"/>
    <n v="160"/>
    <m/>
    <m/>
    <m/>
    <x v="1"/>
    <x v="12"/>
    <m/>
    <m/>
    <s v="CONECUH NATL FOREST"/>
    <s v="T2N,R15E,ST.STEPHENS MERIDIAN"/>
    <s v="SEC 32,S2SW"/>
    <m/>
    <m/>
  </r>
  <r>
    <s v="ALES55132"/>
    <x v="0"/>
    <x v="0"/>
    <d v="2007-12-20T00:00:00"/>
    <d v="2008-02-01T00:00:00"/>
    <x v="30"/>
    <n v="1516"/>
    <x v="24"/>
    <x v="6"/>
    <n v="0.25"/>
    <m/>
    <m/>
    <s v="ES-20-12/07"/>
    <n v="5446"/>
    <n v="0"/>
    <n v="5446"/>
    <n v="3032"/>
    <m/>
    <m/>
    <m/>
    <x v="1"/>
    <x v="12"/>
    <m/>
    <m/>
    <s v="CONECUH NATL FOREST"/>
    <s v="T2N,R15E,ST.STEPHENS MERIDIAN"/>
    <s v="SEC 34,ALL; SEC 35,ALL; SEC36,W2NW,SENW,NESW LESS 4 ACRES IN THE SE 1/4,E2SE"/>
    <m/>
    <m/>
  </r>
  <r>
    <s v="ALES55138"/>
    <x v="0"/>
    <x v="0"/>
    <d v="2007-12-20T00:00:00"/>
    <d v="2008-02-01T00:00:00"/>
    <x v="30"/>
    <n v="154.30000000000001"/>
    <x v="59"/>
    <x v="6"/>
    <n v="0.25"/>
    <m/>
    <m/>
    <s v="ES-26-12/07"/>
    <n v="682.5"/>
    <n v="0"/>
    <n v="682.5"/>
    <n v="310"/>
    <m/>
    <m/>
    <m/>
    <x v="1"/>
    <x v="12"/>
    <m/>
    <m/>
    <s v="TALLADEGA, NATL FOREST"/>
    <s v="T18S,R1E,HUNTSVILLE MERIDIAN"/>
    <s v="SEC 32, SE"/>
    <m/>
    <m/>
  </r>
  <r>
    <s v="LAES55140"/>
    <x v="0"/>
    <x v="0"/>
    <d v="2007-12-20T00:00:00"/>
    <d v="2008-02-01T00:00:00"/>
    <x v="30"/>
    <n v="135.80000000000001"/>
    <x v="106"/>
    <x v="3"/>
    <n v="0.25"/>
    <m/>
    <m/>
    <s v="ES-28-12/07"/>
    <n v="616"/>
    <n v="0"/>
    <n v="616"/>
    <n v="272"/>
    <m/>
    <m/>
    <m/>
    <x v="1"/>
    <x v="12"/>
    <m/>
    <m/>
    <m/>
    <s v="T12S,R1E,LOUISIANA MERIDIAN"/>
    <s v="SEC 28, LOT 6"/>
    <m/>
    <m/>
  </r>
  <r>
    <s v="MIES55141"/>
    <x v="0"/>
    <x v="0"/>
    <d v="2007-12-20T00:00:00"/>
    <d v="2008-02-01T00:00:00"/>
    <x v="30"/>
    <n v="897.36"/>
    <x v="107"/>
    <x v="9"/>
    <n v="0.25"/>
    <m/>
    <m/>
    <s v="ES-29-12/07"/>
    <n v="3283"/>
    <n v="0"/>
    <n v="3283"/>
    <n v="1796"/>
    <m/>
    <m/>
    <m/>
    <x v="61"/>
    <x v="12"/>
    <m/>
    <m/>
    <s v="MANISTEE, NATL FOREST"/>
    <s v="T12N,R15W, MICHIGAN MERIDIAN"/>
    <s v="SEE LEASE FOR LAND DESCRIPTIONS AND STIPULATIONS.  NOTE: NOT 100% OF MINERALS IN SOME CASES"/>
    <m/>
    <m/>
  </r>
  <r>
    <s v="MIES55142"/>
    <x v="0"/>
    <x v="0"/>
    <d v="2007-12-20T00:00:00"/>
    <d v="2008-02-01T00:00:00"/>
    <x v="30"/>
    <n v="863.77"/>
    <x v="107"/>
    <x v="9"/>
    <n v="0.25"/>
    <m/>
    <m/>
    <s v="ES-30-12/07"/>
    <n v="3164"/>
    <n v="0"/>
    <n v="3164"/>
    <n v="1728"/>
    <m/>
    <m/>
    <m/>
    <x v="61"/>
    <x v="12"/>
    <m/>
    <m/>
    <s v="MANISTEE, NATL FOREST"/>
    <s v="T12N,R15W, MICHIGAN MERIDIAN"/>
    <s v="SEC 7,NWNE,SENE,NW,NESW,NWSW,SWSW,W4SESW,N2SE; SEC 8,E60a.N2NW,S2NW,NESW,NWSW,E2SE,PT.W2SE"/>
    <m/>
    <m/>
  </r>
  <r>
    <s v="MIES55143"/>
    <x v="0"/>
    <x v="0"/>
    <d v="2007-12-20T00:00:00"/>
    <d v="2008-02-01T00:00:00"/>
    <x v="30"/>
    <n v="863.77"/>
    <x v="107"/>
    <x v="9"/>
    <n v="0.25"/>
    <m/>
    <m/>
    <s v="ES-31-12/07"/>
    <n v="3164"/>
    <n v="0"/>
    <n v="3164"/>
    <n v="1728"/>
    <m/>
    <m/>
    <m/>
    <x v="61"/>
    <x v="12"/>
    <m/>
    <m/>
    <s v="MANISTEE, NATL FOREST"/>
    <s v="T12N,R15W, MICHIGAN MERIDIAN"/>
    <s v="SEE LEASE FOR LAND DESCRIPTIONS AND STIPULATIONS.  NOTE: NOT 100% OF MINERALS IN SOME CASES"/>
    <m/>
    <m/>
  </r>
  <r>
    <s v="MIES55144"/>
    <x v="0"/>
    <x v="0"/>
    <d v="2007-12-20T00:00:00"/>
    <d v="2008-02-01T00:00:00"/>
    <x v="30"/>
    <n v="807.42"/>
    <x v="107"/>
    <x v="9"/>
    <n v="0.25"/>
    <m/>
    <m/>
    <s v="ES-32-12/07"/>
    <n v="2968"/>
    <n v="0"/>
    <n v="2968"/>
    <n v="1616"/>
    <m/>
    <m/>
    <m/>
    <x v="61"/>
    <x v="12"/>
    <m/>
    <m/>
    <s v="MANISTEE, NATL FOREST"/>
    <s v="T12N,R15W, MICHIGAN MERIDIAN"/>
    <s v="SEE LEASE FOR LAND DESCRIPTIONS AND STIPULATIONS.  NOTE: NOT 100% OF MINERALS IN SOME CASES"/>
    <m/>
    <m/>
  </r>
  <r>
    <s v="MIES55145"/>
    <x v="0"/>
    <x v="0"/>
    <d v="2007-12-20T00:00:00"/>
    <d v="2008-02-01T00:00:00"/>
    <x v="30"/>
    <n v="788.94"/>
    <x v="107"/>
    <x v="9"/>
    <n v="0.25"/>
    <m/>
    <m/>
    <s v="ES-33-12/07"/>
    <n v="2901.5"/>
    <n v="0"/>
    <n v="2901.5"/>
    <n v="1578"/>
    <m/>
    <m/>
    <m/>
    <x v="61"/>
    <x v="12"/>
    <m/>
    <m/>
    <s v="MANISTEE, NATL FOREST"/>
    <s v="T12N,R15W&amp;16W, MICHIGAN MERIDIAN"/>
    <s v="SEE LEASE FOR LAND DESCRIPTIONS AND STIPULATIONS.  "/>
    <m/>
    <m/>
  </r>
  <r>
    <s v="MIES55146"/>
    <x v="0"/>
    <x v="0"/>
    <d v="2007-12-20T00:00:00"/>
    <d v="2008-02-01T00:00:00"/>
    <x v="30"/>
    <n v="644.75"/>
    <x v="107"/>
    <x v="9"/>
    <n v="0.25"/>
    <m/>
    <m/>
    <s v="ES-34-12/07"/>
    <n v="2397.5"/>
    <n v="0"/>
    <n v="2397.5"/>
    <n v="1290"/>
    <m/>
    <m/>
    <m/>
    <x v="61"/>
    <x v="12"/>
    <m/>
    <m/>
    <s v="MANISTEE, NATL FOREST"/>
    <s v="T12N,R15W&amp;16W, MICHIGAN MERIDIAN"/>
    <s v="SEE LEASE FOR LAND DESCRIPTIONS AND STIPULATIONS.  "/>
    <m/>
    <m/>
  </r>
  <r>
    <s v="MIES55147"/>
    <x v="0"/>
    <x v="0"/>
    <d v="2007-12-20T00:00:00"/>
    <d v="2008-02-01T00:00:00"/>
    <x v="30"/>
    <n v="545.92999999999995"/>
    <x v="107"/>
    <x v="9"/>
    <n v="0.25"/>
    <m/>
    <m/>
    <s v="ES-35-12/07"/>
    <n v="2051"/>
    <n v="0"/>
    <n v="2051"/>
    <n v="1092"/>
    <m/>
    <m/>
    <m/>
    <x v="61"/>
    <x v="12"/>
    <m/>
    <m/>
    <s v="MANISTEE, NATL FOREST"/>
    <s v="T12N,R16W, MICHIGAN MERIDIAN"/>
    <s v="SEC 4, N3/4W2SESW,W2NESW,SWSW; SEC 5,PT.S2SW,PTSE; SEC 7,SWNE,SENW,SESW; SEC 8,N2N2,E3/4SENE"/>
    <m/>
    <m/>
  </r>
  <r>
    <s v="MIES55148"/>
    <x v="0"/>
    <x v="0"/>
    <d v="2007-12-20T00:00:00"/>
    <d v="2008-02-01T00:00:00"/>
    <x v="30"/>
    <n v="595.22"/>
    <x v="107"/>
    <x v="9"/>
    <n v="0.25"/>
    <m/>
    <m/>
    <s v="ES-36-12/07"/>
    <n v="2226"/>
    <n v="0"/>
    <n v="2226"/>
    <n v="1192"/>
    <m/>
    <m/>
    <m/>
    <x v="61"/>
    <x v="12"/>
    <m/>
    <m/>
    <s v="MANISTEE, NATL FOREST"/>
    <s v="T12N,R16W, MICHIGAN MERIDIAN"/>
    <s v="SEC 18,E2E2SWNE,W2SWNE,S2NW,E4NWSW,W5/8NWSW; SEC 19,NE,N2SW,N2SE,SESE; SEC 20,NWSW"/>
    <m/>
    <m/>
  </r>
  <r>
    <s v="MIES55149"/>
    <x v="0"/>
    <x v="0"/>
    <d v="2007-12-20T00:00:00"/>
    <d v="2008-02-01T00:00:00"/>
    <x v="30"/>
    <n v="1098.02"/>
    <x v="107"/>
    <x v="9"/>
    <n v="0.25"/>
    <m/>
    <m/>
    <s v="ES-37-12/07"/>
    <n v="3986.5"/>
    <n v="0"/>
    <n v="3986.5"/>
    <n v="2198"/>
    <m/>
    <m/>
    <m/>
    <x v="61"/>
    <x v="12"/>
    <m/>
    <m/>
    <s v="MANISTEE, NATL FOREST"/>
    <s v="T12N,R16W, MICHIGAN MERIDIAN"/>
    <s v="SEE LEASE FOR LAND DESCRIPTIONS AND STIPULATIONS.  "/>
    <m/>
    <m/>
  </r>
  <r>
    <s v="MIES55150"/>
    <x v="0"/>
    <x v="0"/>
    <d v="2007-12-20T00:00:00"/>
    <d v="2008-02-01T00:00:00"/>
    <x v="30"/>
    <n v="107.62"/>
    <x v="108"/>
    <x v="9"/>
    <n v="0.25"/>
    <m/>
    <m/>
    <s v="ES-38-12/07"/>
    <n v="518"/>
    <n v="0"/>
    <n v="518"/>
    <n v="216"/>
    <m/>
    <m/>
    <m/>
    <x v="61"/>
    <x v="12"/>
    <m/>
    <m/>
    <s v="MANISTEE, NATL FOREST"/>
    <s v="T22N,R13W, MICHIGAN MERIDIAN"/>
    <s v="SEC 28,LOT 8; SEC 29,SWSE"/>
    <m/>
    <m/>
  </r>
  <r>
    <s v="MIES55151"/>
    <x v="0"/>
    <x v="0"/>
    <d v="2007-12-20T00:00:00"/>
    <d v="2008-02-01T00:00:00"/>
    <x v="30"/>
    <n v="1627.63"/>
    <x v="108"/>
    <x v="9"/>
    <n v="0.25"/>
    <m/>
    <m/>
    <s v="ES-39-12/07"/>
    <n v="5838"/>
    <n v="0"/>
    <n v="5838"/>
    <n v="3256"/>
    <m/>
    <m/>
    <m/>
    <x v="61"/>
    <x v="12"/>
    <m/>
    <m/>
    <s v="MANISTEE, NATL FOREST"/>
    <s v="T22N,R13W, MICHIGAN MERIDIAN"/>
    <s v="SEE LEASE FOR LAND DESCRIPTIONS AND STIPULATIONS.  "/>
    <m/>
    <m/>
  </r>
  <r>
    <s v="MIES55152"/>
    <x v="0"/>
    <x v="0"/>
    <d v="2007-12-20T00:00:00"/>
    <d v="2008-02-01T00:00:00"/>
    <x v="30"/>
    <n v="1073.17"/>
    <x v="108"/>
    <x v="9"/>
    <n v="0.25"/>
    <m/>
    <m/>
    <s v="ES-40-12/07"/>
    <n v="3899"/>
    <n v="0"/>
    <n v="3899"/>
    <n v="2148"/>
    <m/>
    <m/>
    <m/>
    <x v="61"/>
    <x v="12"/>
    <m/>
    <m/>
    <s v="MANISTEE, NATL FOREST"/>
    <s v="T22N,R13W, MICHIGAN MERIDIAN"/>
    <s v="SEE LEASE FOR LAND DESCRIPTIONS AND STIPULATIONS.  "/>
    <m/>
    <m/>
  </r>
  <r>
    <s v="MIES55153"/>
    <x v="0"/>
    <x v="0"/>
    <d v="2007-12-20T00:00:00"/>
    <d v="2008-02-01T00:00:00"/>
    <x v="30"/>
    <n v="1578.25"/>
    <x v="108"/>
    <x v="9"/>
    <n v="0.25"/>
    <m/>
    <m/>
    <s v="ES-41-12/07"/>
    <n v="5666.5"/>
    <n v="0"/>
    <n v="5666.5"/>
    <n v="3158"/>
    <m/>
    <m/>
    <m/>
    <x v="61"/>
    <x v="12"/>
    <m/>
    <m/>
    <s v="MANISTEE, NATL FOREST"/>
    <s v="T22N,R13W, MICHIGAN MERIDIAN"/>
    <s v="SEE LEASE FOR LAND DESCRIPTIONS AND STIPULATIONS.  "/>
    <m/>
    <m/>
  </r>
  <r>
    <s v="MIES55154"/>
    <x v="0"/>
    <x v="0"/>
    <d v="2007-12-20T00:00:00"/>
    <d v="2008-02-01T00:00:00"/>
    <x v="30"/>
    <n v="1813.97"/>
    <x v="108"/>
    <x v="9"/>
    <n v="0.25"/>
    <m/>
    <m/>
    <s v="ES-42-12/07"/>
    <n v="6489"/>
    <n v="0"/>
    <n v="6489"/>
    <n v="3628"/>
    <m/>
    <m/>
    <m/>
    <x v="61"/>
    <x v="12"/>
    <m/>
    <m/>
    <s v="MANISTEE, NATL FOREST"/>
    <s v="T22N,R14W, MICHIGAN MERIDIAN"/>
    <s v="SEE LEASE FOR LAND DESCRIPTIONS AND STIPULATIONS.  "/>
    <m/>
    <m/>
  </r>
  <r>
    <s v="MIES55155"/>
    <x v="0"/>
    <x v="0"/>
    <d v="2007-12-20T00:00:00"/>
    <d v="2008-02-01T00:00:00"/>
    <x v="30"/>
    <n v="40"/>
    <x v="108"/>
    <x v="9"/>
    <n v="0.25"/>
    <m/>
    <m/>
    <s v="ES-43-12/07"/>
    <n v="280"/>
    <n v="0"/>
    <n v="280"/>
    <n v="80"/>
    <m/>
    <m/>
    <m/>
    <x v="61"/>
    <x v="12"/>
    <m/>
    <m/>
    <s v="MANISTEE, NATL FOREST"/>
    <s v="T22N,R14W, MICHIGAN MERIDIAN"/>
    <s v="SEC 1,SWSE NOTE: 25% U S MINERAL INTEREST"/>
    <m/>
    <m/>
  </r>
  <r>
    <s v="MIES55156"/>
    <x v="0"/>
    <x v="0"/>
    <d v="2007-12-20T00:00:00"/>
    <d v="2008-02-01T00:00:00"/>
    <x v="30"/>
    <n v="47.29"/>
    <x v="108"/>
    <x v="9"/>
    <n v="0.25"/>
    <m/>
    <m/>
    <s v="ES-44-12/07"/>
    <n v="308"/>
    <n v="0"/>
    <n v="308"/>
    <n v="96"/>
    <m/>
    <m/>
    <m/>
    <x v="61"/>
    <x v="12"/>
    <m/>
    <m/>
    <s v="MANISTEE, NATL FOREST"/>
    <s v="T22N,R15W, MICHIGAN MERIDIAN"/>
    <s v="SEC 20,LOT 3 NORTH OF INDIAN LINE; SEC 21, PART OF LOT 4 LYING N OF HWY AND W OF CHIEF CREEK"/>
    <m/>
    <m/>
  </r>
  <r>
    <s v="VAES55157"/>
    <x v="0"/>
    <x v="0"/>
    <d v="2007-12-20T00:00:00"/>
    <d v="2008-02-01T00:00:00"/>
    <x v="30"/>
    <n v="95"/>
    <x v="109"/>
    <x v="10"/>
    <n v="0.25"/>
    <m/>
    <m/>
    <s v="ES-45-12/07"/>
    <n v="472.5"/>
    <n v="1045"/>
    <n v="1517.5"/>
    <n v="190"/>
    <m/>
    <m/>
    <m/>
    <x v="61"/>
    <x v="12"/>
    <m/>
    <m/>
    <s v="GEORGE WASHINGTON NATL FOREST"/>
    <s v="TRACT S-84i-I"/>
    <m/>
    <m/>
    <m/>
  </r>
  <r>
    <s v="VAES55158"/>
    <x v="0"/>
    <x v="0"/>
    <d v="2007-12-20T00:00:00"/>
    <d v="2008-02-01T00:00:00"/>
    <x v="30"/>
    <n v="532"/>
    <x v="109"/>
    <x v="10"/>
    <n v="0.25"/>
    <m/>
    <m/>
    <s v="ES-46-12/07"/>
    <n v="2002"/>
    <n v="4788"/>
    <n v="6790"/>
    <n v="1064"/>
    <m/>
    <m/>
    <m/>
    <x v="61"/>
    <x v="12"/>
    <m/>
    <m/>
    <s v="GEORGE WASHINGTON NATL FOREST"/>
    <s v="TRACT S-84i"/>
    <m/>
    <m/>
    <m/>
  </r>
  <r>
    <s v="VAES55159"/>
    <x v="0"/>
    <x v="0"/>
    <d v="2007-12-20T00:00:00"/>
    <d v="2008-02-01T00:00:00"/>
    <x v="30"/>
    <n v="455"/>
    <x v="109"/>
    <x v="10"/>
    <n v="0.25"/>
    <m/>
    <m/>
    <s v="ES-47-12/07"/>
    <n v="1732.5"/>
    <n v="3640"/>
    <n v="5372.5"/>
    <n v="910"/>
    <m/>
    <m/>
    <m/>
    <x v="61"/>
    <x v="12"/>
    <m/>
    <m/>
    <s v="GEORGE WASHINGTON NATL FOREST"/>
    <s v="TRACT S-212c"/>
    <m/>
    <m/>
    <m/>
  </r>
  <r>
    <s v="VAES55160"/>
    <x v="0"/>
    <x v="0"/>
    <d v="2007-12-20T00:00:00"/>
    <d v="2008-02-01T00:00:00"/>
    <x v="30"/>
    <n v="260"/>
    <x v="109"/>
    <x v="10"/>
    <n v="0.25"/>
    <m/>
    <m/>
    <s v="ES-48-12/07"/>
    <n v="1050"/>
    <n v="2340"/>
    <n v="3390"/>
    <n v="520"/>
    <m/>
    <m/>
    <m/>
    <x v="61"/>
    <x v="12"/>
    <m/>
    <m/>
    <s v="GEORGE WASHINGTON NATL FOREST"/>
    <s v="TRACT S-212m"/>
    <m/>
    <m/>
    <m/>
  </r>
  <r>
    <s v="VAES55161"/>
    <x v="0"/>
    <x v="0"/>
    <d v="2007-12-20T00:00:00"/>
    <d v="2008-02-01T00:00:00"/>
    <x v="30"/>
    <n v="348"/>
    <x v="109"/>
    <x v="10"/>
    <n v="0.25"/>
    <m/>
    <m/>
    <s v="ES-49-12/07"/>
    <n v="1358"/>
    <n v="3132"/>
    <n v="4490"/>
    <n v="696"/>
    <m/>
    <m/>
    <m/>
    <x v="61"/>
    <x v="12"/>
    <m/>
    <m/>
    <s v="GEORGE WASHINGTON NATL FOREST"/>
    <s v="TRACT S-212L"/>
    <m/>
    <m/>
    <m/>
  </r>
  <r>
    <s v="VAES55162"/>
    <x v="0"/>
    <x v="0"/>
    <d v="2007-12-20T00:00:00"/>
    <d v="2008-02-01T00:00:00"/>
    <x v="30"/>
    <n v="415"/>
    <x v="109"/>
    <x v="10"/>
    <n v="0.25"/>
    <m/>
    <m/>
    <s v="ES-50-12/07"/>
    <n v="1592.5"/>
    <n v="3735"/>
    <n v="5327.5"/>
    <n v="830"/>
    <m/>
    <m/>
    <m/>
    <x v="61"/>
    <x v="12"/>
    <m/>
    <m/>
    <s v="GEORGE WASHINGTON NATL FOREST"/>
    <s v="TRACT S-212k"/>
    <m/>
    <m/>
    <m/>
  </r>
  <r>
    <s v="VAES55163"/>
    <x v="0"/>
    <x v="0"/>
    <d v="2007-12-20T00:00:00"/>
    <d v="2008-02-01T00:00:00"/>
    <x v="30"/>
    <n v="248"/>
    <x v="109"/>
    <x v="10"/>
    <n v="0.25"/>
    <m/>
    <m/>
    <s v="ES-51-12/07"/>
    <n v="1008"/>
    <n v="2232"/>
    <n v="3240"/>
    <n v="496"/>
    <m/>
    <m/>
    <m/>
    <x v="61"/>
    <x v="12"/>
    <m/>
    <m/>
    <s v="GEORGE WASHINGTON NATL FOREST"/>
    <s v="TRACT S-212i; TRACT S-212h"/>
    <m/>
    <m/>
    <m/>
  </r>
  <r>
    <s v="VAES55164"/>
    <x v="0"/>
    <x v="0"/>
    <d v="2007-12-20T00:00:00"/>
    <d v="2008-02-01T00:00:00"/>
    <x v="30"/>
    <n v="661"/>
    <x v="109"/>
    <x v="10"/>
    <n v="0.25"/>
    <m/>
    <m/>
    <s v="ES-52-12/07"/>
    <n v="2453.5"/>
    <n v="5949"/>
    <n v="8402.5"/>
    <n v="1322"/>
    <m/>
    <m/>
    <m/>
    <x v="61"/>
    <x v="12"/>
    <m/>
    <m/>
    <s v="GEORGE WASHINGTON NATL FOREST"/>
    <s v="TRACT S-212d"/>
    <m/>
    <m/>
    <m/>
  </r>
  <r>
    <s v="VAES55165"/>
    <x v="0"/>
    <x v="0"/>
    <d v="2007-12-20T00:00:00"/>
    <d v="2008-02-01T00:00:00"/>
    <x v="30"/>
    <n v="334"/>
    <x v="109"/>
    <x v="10"/>
    <n v="0.25"/>
    <m/>
    <m/>
    <s v="ES-53-12/07"/>
    <n v="1309"/>
    <n v="3340"/>
    <n v="4649"/>
    <n v="668"/>
    <m/>
    <m/>
    <m/>
    <x v="61"/>
    <x v="12"/>
    <m/>
    <m/>
    <s v="GEORGE WASHINGTON NATL FOREST"/>
    <s v="TRACT S-209"/>
    <m/>
    <m/>
    <m/>
  </r>
  <r>
    <s v="VAES55166"/>
    <x v="0"/>
    <x v="0"/>
    <d v="2007-12-20T00:00:00"/>
    <d v="2008-02-01T00:00:00"/>
    <x v="30"/>
    <n v="185"/>
    <x v="109"/>
    <x v="10"/>
    <n v="0.25"/>
    <m/>
    <m/>
    <s v="ES-54-12/07"/>
    <n v="787.5"/>
    <n v="1665"/>
    <n v="2452.5"/>
    <n v="370"/>
    <m/>
    <m/>
    <m/>
    <x v="61"/>
    <x v="12"/>
    <m/>
    <m/>
    <s v="GEORGE WASHINGTON NATL FOREST"/>
    <s v="TRACT S-1256"/>
    <m/>
    <m/>
    <m/>
  </r>
  <r>
    <s v="VAES55167"/>
    <x v="0"/>
    <x v="0"/>
    <d v="2007-12-20T00:00:00"/>
    <d v="2008-02-01T00:00:00"/>
    <x v="30"/>
    <n v="82"/>
    <x v="109"/>
    <x v="10"/>
    <n v="0.25"/>
    <m/>
    <m/>
    <s v="ES-55-12/07"/>
    <n v="427"/>
    <n v="902"/>
    <n v="1329"/>
    <n v="164"/>
    <m/>
    <m/>
    <m/>
    <x v="61"/>
    <x v="12"/>
    <m/>
    <m/>
    <s v="GEORGE WASHINGTON NATL FOREST"/>
    <s v="TRACT S-1241"/>
    <m/>
    <m/>
    <m/>
  </r>
  <r>
    <s v="VAES55168"/>
    <x v="0"/>
    <x v="0"/>
    <d v="2007-12-20T00:00:00"/>
    <d v="2008-02-01T00:00:00"/>
    <x v="30"/>
    <n v="400"/>
    <x v="109"/>
    <x v="10"/>
    <n v="0.25"/>
    <m/>
    <m/>
    <s v="ES-56-12/07"/>
    <n v="1540"/>
    <n v="4000"/>
    <n v="5540"/>
    <n v="800"/>
    <m/>
    <m/>
    <m/>
    <x v="61"/>
    <x v="12"/>
    <m/>
    <m/>
    <s v="GEORGE WASHINGTON NATL FOREST"/>
    <s v="TRACT S-1238"/>
    <m/>
    <m/>
    <m/>
  </r>
  <r>
    <s v="VAES55169"/>
    <x v="0"/>
    <x v="0"/>
    <d v="2007-12-20T00:00:00"/>
    <d v="2008-02-01T00:00:00"/>
    <x v="30"/>
    <n v="578"/>
    <x v="109"/>
    <x v="10"/>
    <n v="0.25"/>
    <m/>
    <m/>
    <s v="ES-57-12/07"/>
    <n v="2163"/>
    <n v="5202"/>
    <n v="7365"/>
    <n v="1156"/>
    <m/>
    <m/>
    <m/>
    <x v="61"/>
    <x v="12"/>
    <m/>
    <m/>
    <s v="GEORGE WASHINGTON NATL FOREST"/>
    <s v="TRACT S-1228"/>
    <m/>
    <m/>
    <m/>
  </r>
  <r>
    <s v="VAES55170"/>
    <x v="0"/>
    <x v="0"/>
    <d v="2007-12-20T00:00:00"/>
    <d v="2008-02-01T00:00:00"/>
    <x v="30"/>
    <n v="79"/>
    <x v="109"/>
    <x v="10"/>
    <n v="0.25"/>
    <m/>
    <m/>
    <s v="ES-58-12/07"/>
    <n v="416.5"/>
    <n v="711"/>
    <n v="1127.5"/>
    <n v="158"/>
    <m/>
    <m/>
    <m/>
    <x v="61"/>
    <x v="12"/>
    <m/>
    <m/>
    <s v="GEORGE WASHINGTON NATL FOREST"/>
    <s v="TRACT S-1224"/>
    <m/>
    <m/>
    <m/>
  </r>
  <r>
    <s v="VAES55171"/>
    <x v="0"/>
    <x v="0"/>
    <d v="2007-12-20T00:00:00"/>
    <d v="2008-02-01T00:00:00"/>
    <x v="30"/>
    <n v="250.3"/>
    <x v="109"/>
    <x v="10"/>
    <n v="0.25"/>
    <m/>
    <m/>
    <s v="ES-59-12/07"/>
    <n v="1018.5"/>
    <n v="3765"/>
    <n v="4783.5"/>
    <n v="502"/>
    <m/>
    <m/>
    <m/>
    <x v="61"/>
    <x v="12"/>
    <m/>
    <m/>
    <s v="GEORGE WASHINGTON NATL FOREST"/>
    <s v="TRACT O-458"/>
    <m/>
    <m/>
    <m/>
  </r>
  <r>
    <s v="VAES55172"/>
    <x v="0"/>
    <x v="0"/>
    <d v="2007-12-20T00:00:00"/>
    <d v="2008-02-01T00:00:00"/>
    <x v="30"/>
    <n v="2439.5"/>
    <x v="109"/>
    <x v="10"/>
    <n v="0.25"/>
    <m/>
    <m/>
    <s v="ES-60-12/07"/>
    <n v="8680"/>
    <n v="34160"/>
    <n v="42840"/>
    <n v="4880"/>
    <m/>
    <m/>
    <m/>
    <x v="61"/>
    <x v="12"/>
    <m/>
    <m/>
    <s v="GEORGE WASHINGTON NATL FOREST"/>
    <s v="TRACT O-397a-I"/>
    <m/>
    <m/>
    <m/>
  </r>
  <r>
    <s v="VAES55173"/>
    <x v="0"/>
    <x v="0"/>
    <d v="2007-12-20T00:00:00"/>
    <d v="2008-02-01T00:00:00"/>
    <x v="30"/>
    <n v="699.8"/>
    <x v="109"/>
    <x v="10"/>
    <n v="0.25"/>
    <m/>
    <m/>
    <s v="ES-61-12/07"/>
    <n v="2590"/>
    <n v="9800"/>
    <n v="12390"/>
    <n v="1400"/>
    <m/>
    <m/>
    <m/>
    <x v="61"/>
    <x v="12"/>
    <m/>
    <m/>
    <s v="GEORGE WASHINGTON NATL FOREST"/>
    <s v="TRACT O-361-V"/>
    <m/>
    <m/>
    <m/>
  </r>
  <r>
    <s v="VAES55174"/>
    <x v="0"/>
    <x v="0"/>
    <d v="2007-12-20T00:00:00"/>
    <d v="2008-02-01T00:00:00"/>
    <x v="30"/>
    <n v="1412.2"/>
    <x v="109"/>
    <x v="10"/>
    <n v="0.25"/>
    <m/>
    <m/>
    <s v="ES-62-12/07"/>
    <n v="5085.5"/>
    <n v="19782"/>
    <n v="24867.5"/>
    <n v="2826"/>
    <m/>
    <m/>
    <m/>
    <x v="61"/>
    <x v="12"/>
    <m/>
    <m/>
    <s v="GEORGE WASHINGTON NATL FOREST"/>
    <s v="TRACT O-361-III"/>
    <m/>
    <m/>
    <m/>
  </r>
  <r>
    <s v="VAES55175"/>
    <x v="0"/>
    <x v="0"/>
    <d v="2007-12-20T00:00:00"/>
    <d v="2008-02-01T00:00:00"/>
    <x v="30"/>
    <n v="185.32"/>
    <x v="109"/>
    <x v="10"/>
    <n v="0.25"/>
    <m/>
    <m/>
    <s v="ES-63-12/07"/>
    <n v="791"/>
    <n v="1674"/>
    <n v="2465"/>
    <n v="372"/>
    <m/>
    <m/>
    <m/>
    <x v="61"/>
    <x v="12"/>
    <m/>
    <m/>
    <s v="GEORGE WASHINGTON NATL FOREST"/>
    <s v="TRACT G-1489"/>
    <m/>
    <m/>
    <m/>
  </r>
  <r>
    <s v="VAES55176"/>
    <x v="0"/>
    <x v="0"/>
    <d v="2007-12-20T00:00:00"/>
    <d v="2008-02-01T00:00:00"/>
    <x v="30"/>
    <n v="439"/>
    <x v="109"/>
    <x v="10"/>
    <n v="0.25"/>
    <m/>
    <m/>
    <s v="ES-64-12/07"/>
    <n v="1676.5"/>
    <n v="3951"/>
    <n v="5627.5"/>
    <n v="878"/>
    <m/>
    <m/>
    <m/>
    <x v="61"/>
    <x v="12"/>
    <m/>
    <m/>
    <s v="GEORGE WASHINGTON NATL FOREST"/>
    <s v="TRACTS G-1236, G1237 &amp; G1239"/>
    <m/>
    <m/>
    <m/>
  </r>
  <r>
    <s v="WVES55177"/>
    <x v="0"/>
    <x v="0"/>
    <d v="2007-12-20T00:00:00"/>
    <d v="2008-02-01T00:00:00"/>
    <x v="30"/>
    <n v="52"/>
    <x v="110"/>
    <x v="11"/>
    <n v="0.25"/>
    <m/>
    <m/>
    <s v="ES-65-12/07"/>
    <n v="322"/>
    <n v="624"/>
    <n v="946"/>
    <n v="104"/>
    <m/>
    <m/>
    <m/>
    <x v="61"/>
    <x v="12"/>
    <m/>
    <m/>
    <s v="GEORGE WASHINGTON NATL FOREST"/>
    <s v="TRACT S-212j"/>
    <m/>
    <m/>
    <m/>
  </r>
  <r>
    <s v="WVES55178"/>
    <x v="0"/>
    <x v="0"/>
    <d v="2007-12-20T00:00:00"/>
    <d v="2008-02-01T00:00:00"/>
    <x v="30"/>
    <n v="93"/>
    <x v="110"/>
    <x v="11"/>
    <n v="0.25"/>
    <m/>
    <m/>
    <s v="ES-66-12/07"/>
    <n v="465.5"/>
    <n v="837"/>
    <n v="1302.5"/>
    <n v="186"/>
    <m/>
    <m/>
    <m/>
    <x v="61"/>
    <x v="12"/>
    <m/>
    <m/>
    <s v="GEORGE WASHINGTON NATL FOREST"/>
    <s v="TRACT S-84i-III"/>
    <m/>
    <m/>
    <m/>
  </r>
  <r>
    <m/>
    <x v="1"/>
    <x v="1"/>
    <m/>
    <m/>
    <x v="1"/>
    <m/>
    <x v="1"/>
    <x v="1"/>
    <m/>
    <m/>
    <m/>
    <m/>
    <n v="157556"/>
    <n v="117274"/>
    <n v="274830"/>
    <m/>
    <m/>
    <m/>
    <m/>
    <x v="1"/>
    <x v="1"/>
    <m/>
    <m/>
    <m/>
    <m/>
    <m/>
    <m/>
    <m/>
  </r>
  <r>
    <m/>
    <x v="1"/>
    <x v="1"/>
    <m/>
    <m/>
    <x v="1"/>
    <m/>
    <x v="1"/>
    <x v="1"/>
    <m/>
    <m/>
    <m/>
    <s v="AXP 12-20-07"/>
    <n v="-99000"/>
    <m/>
    <n v="-99000"/>
    <m/>
    <m/>
    <m/>
    <m/>
    <x v="1"/>
    <x v="1"/>
    <m/>
    <m/>
    <m/>
    <m/>
    <m/>
    <m/>
    <m/>
  </r>
  <r>
    <m/>
    <x v="1"/>
    <x v="1"/>
    <m/>
    <m/>
    <x v="1"/>
    <m/>
    <x v="1"/>
    <x v="1"/>
    <m/>
    <m/>
    <m/>
    <s v="ACA CK TO BLM"/>
    <m/>
    <n v="-175830"/>
    <n v="-175830"/>
    <m/>
    <m/>
    <m/>
    <m/>
    <x v="1"/>
    <x v="1"/>
    <m/>
    <m/>
    <m/>
    <m/>
    <m/>
    <m/>
    <m/>
  </r>
  <r>
    <m/>
    <x v="1"/>
    <x v="1"/>
    <m/>
    <m/>
    <x v="1"/>
    <m/>
    <x v="1"/>
    <x v="1"/>
    <m/>
    <m/>
    <m/>
    <m/>
    <m/>
    <m/>
    <m/>
    <m/>
    <m/>
    <m/>
    <m/>
    <x v="1"/>
    <x v="1"/>
    <m/>
    <m/>
    <m/>
    <m/>
    <m/>
    <m/>
    <m/>
  </r>
  <r>
    <m/>
    <x v="1"/>
    <x v="1"/>
    <m/>
    <m/>
    <x v="1"/>
    <m/>
    <x v="1"/>
    <x v="1"/>
    <m/>
    <m/>
    <m/>
    <m/>
    <m/>
    <m/>
    <m/>
    <m/>
    <m/>
    <m/>
    <m/>
    <x v="1"/>
    <x v="1"/>
    <m/>
    <m/>
    <m/>
    <m/>
    <m/>
    <m/>
    <m/>
  </r>
  <r>
    <s v="KSNM119699"/>
    <x v="0"/>
    <x v="0"/>
    <d v="2008-01-16T00:00:00"/>
    <d v="2008-03-01T00:00:00"/>
    <x v="31"/>
    <n v="120"/>
    <x v="111"/>
    <x v="8"/>
    <n v="0.25"/>
    <m/>
    <m/>
    <s v="NM200801-001"/>
    <n v="560"/>
    <n v="0"/>
    <n v="560"/>
    <n v="240"/>
    <m/>
    <m/>
    <m/>
    <x v="1"/>
    <x v="12"/>
    <m/>
    <m/>
    <m/>
    <s v="T0150S, R0260W, 6TH MERIDIAN"/>
    <s v="SEC 20, NESE; SEC 21, W2NW"/>
    <m/>
    <m/>
  </r>
  <r>
    <s v="KSNM119700"/>
    <x v="0"/>
    <x v="0"/>
    <d v="2008-01-16T00:00:00"/>
    <d v="2008-03-01T00:00:00"/>
    <x v="31"/>
    <n v="33.799999999999997"/>
    <x v="112"/>
    <x v="8"/>
    <n v="0.25"/>
    <m/>
    <m/>
    <s v="NM200801-002"/>
    <n v="259"/>
    <n v="544"/>
    <n v="803"/>
    <n v="68"/>
    <m/>
    <m/>
    <m/>
    <x v="1"/>
    <x v="12"/>
    <m/>
    <m/>
    <m/>
    <s v="T0260S, R0410W, 6TH MERIDIAN"/>
    <s v="SEC 6, LOT 5"/>
    <m/>
    <m/>
  </r>
  <r>
    <s v="NMNM119709"/>
    <x v="0"/>
    <x v="0"/>
    <d v="2008-01-16T00:00:00"/>
    <d v="2008-05-01T00:00:00"/>
    <x v="32"/>
    <n v="1960"/>
    <x v="113"/>
    <x v="7"/>
    <n v="0.25"/>
    <m/>
    <m/>
    <s v="NM200801-011"/>
    <n v="7000"/>
    <n v="5880"/>
    <n v="12880"/>
    <n v="3920"/>
    <m/>
    <m/>
    <m/>
    <x v="61"/>
    <x v="12"/>
    <m/>
    <m/>
    <m/>
    <s v="T0050N, R0220E, NMPM MERIDIAN"/>
    <s v="SEC 1, LOT1; SEC 1, SWNW, NWSW, E2SE; SEC 11, E2, E2NW, SW; SEC 12, S2; SEC 13, NE,N2SE; SEC 14, ALL"/>
    <m/>
    <m/>
  </r>
  <r>
    <s v="NMNM119710"/>
    <x v="0"/>
    <x v="0"/>
    <d v="2008-01-16T00:00:00"/>
    <d v="2008-05-01T00:00:00"/>
    <x v="32"/>
    <n v="1115.19"/>
    <x v="113"/>
    <x v="7"/>
    <n v="0.25"/>
    <m/>
    <m/>
    <s v="NM200801-012"/>
    <n v="4046"/>
    <n v="3348"/>
    <n v="7394"/>
    <n v="2232"/>
    <m/>
    <m/>
    <m/>
    <x v="61"/>
    <x v="12"/>
    <m/>
    <m/>
    <m/>
    <s v="T0050N, R0220E, NMPM MERIDIAN"/>
    <s v="SEC 3, LOT 2; SEC 3, SWNE; SEC 4, LOTS 1-4; SEC 4, SWNW, NWSW; SEC 10, SENE,E2NW,SWNW; SEC 15, ALL"/>
    <m/>
    <m/>
  </r>
  <r>
    <s v="NMNM119711"/>
    <x v="0"/>
    <x v="0"/>
    <d v="2008-01-16T00:00:00"/>
    <d v="2008-05-01T00:00:00"/>
    <x v="32"/>
    <n v="1841.58"/>
    <x v="113"/>
    <x v="7"/>
    <n v="0.25"/>
    <m/>
    <m/>
    <s v="NM200801-013"/>
    <n v="6587"/>
    <n v="1842"/>
    <n v="8429"/>
    <n v="3684"/>
    <m/>
    <m/>
    <m/>
    <x v="61"/>
    <x v="12"/>
    <m/>
    <m/>
    <m/>
    <s v="T0050N, R0220E, NMPM MERIDIAN"/>
    <s v="SEC 5, LOTS 1-4; SEC 5, S2N2SW; SEC 6, LOTS 1-3; SEC 6, S2NE,SENW,NESE; SEC 8, NW; SEC 17, E2,NWNW,SW; SEC 18, LOTS 3-4; SEC 18, NESE,SWNE,E2SW,SE"/>
    <m/>
    <m/>
  </r>
  <r>
    <s v="NMNM119712"/>
    <x v="0"/>
    <x v="0"/>
    <d v="2008-01-16T00:00:00"/>
    <d v="2008-05-01T00:00:00"/>
    <x v="32"/>
    <n v="1761.56"/>
    <x v="113"/>
    <x v="7"/>
    <n v="0.25"/>
    <m/>
    <m/>
    <s v="NM200801-014"/>
    <n v="6307"/>
    <n v="1762"/>
    <n v="8069"/>
    <n v="3524"/>
    <m/>
    <m/>
    <m/>
    <x v="61"/>
    <x v="12"/>
    <m/>
    <m/>
    <m/>
    <s v="T0050N, R0220E, NMPM MERIDIAN"/>
    <s v="SEC 19, LOTS 1,2,4; SEC 19, SWNE,E2NW,SESW,S2SE; SEC 20, W2SW, SESW; SEC 29, NENE,NW,N2SW,SWSW; SEC 30,LOTS 1-4; SEC 30,E2,E2W2; SEC 31, LOTS 1-4; SEC 31, SENW,E2SW,S2SE "/>
    <m/>
    <m/>
  </r>
  <r>
    <s v="NMNM119713"/>
    <x v="0"/>
    <x v="0"/>
    <d v="2008-01-16T00:00:00"/>
    <d v="2008-05-01T00:00:00"/>
    <x v="32"/>
    <n v="1760"/>
    <x v="113"/>
    <x v="7"/>
    <n v="0.25"/>
    <m/>
    <m/>
    <s v="NM200801-015"/>
    <n v="6300"/>
    <n v="5280"/>
    <n v="11580"/>
    <n v="3520"/>
    <m/>
    <m/>
    <m/>
    <x v="61"/>
    <x v="12"/>
    <m/>
    <m/>
    <m/>
    <s v="T0050N, R0220E, NMPM MERIDIAN"/>
    <s v="SEC 21, NE,E2NW,NESE; SEC 22, E2,N2SW,SESW; SEC 27, NENE; SEC 28, ALL; SEC 33, NE,SENW,N2SE,SWSE; SEC 34, NESE "/>
    <m/>
    <m/>
  </r>
  <r>
    <s v="NMNM119714"/>
    <x v="0"/>
    <x v="0"/>
    <d v="2008-01-16T00:00:00"/>
    <d v="2008-05-01T00:00:00"/>
    <x v="32"/>
    <n v="1560"/>
    <x v="113"/>
    <x v="7"/>
    <n v="0.25"/>
    <m/>
    <m/>
    <s v="NM200801-016"/>
    <n v="5600"/>
    <n v="1560"/>
    <n v="7160"/>
    <n v="3120"/>
    <m/>
    <m/>
    <m/>
    <x v="61"/>
    <x v="12"/>
    <m/>
    <m/>
    <m/>
    <s v="T0050N, R0220E, NMPM MERIDIAN"/>
    <s v="SEC 23, W2,SE; SEC 25, S2NE,W2,SE; SEC 26, E2NE, NWNW, SESW,SE; SEC 35, NWNE,E2NW,N2SW "/>
    <m/>
    <m/>
  </r>
  <r>
    <s v="NMNM119715"/>
    <x v="0"/>
    <x v="0"/>
    <d v="2008-01-16T00:00:00"/>
    <d v="2008-05-01T00:00:00"/>
    <x v="32"/>
    <n v="1253.5"/>
    <x v="113"/>
    <x v="7"/>
    <n v="0.25"/>
    <m/>
    <m/>
    <s v="NM200801-017"/>
    <n v="4529"/>
    <n v="1254"/>
    <n v="5783"/>
    <n v="2508"/>
    <m/>
    <m/>
    <m/>
    <x v="61"/>
    <x v="12"/>
    <m/>
    <m/>
    <m/>
    <s v="T0060N, R0220E, NPNM MERIDIAN"/>
    <s v="SEC 3, LOTS 1-4; SEC 3, S2N2,SE; SEC 4, LOTS 1-4; SEC 4, S2N2,N2SW,SWSW,NWSE; SEC 5, LOTS1,3; SEC 5, SENE,SE"/>
    <m/>
    <m/>
  </r>
  <r>
    <s v="NMNM119716"/>
    <x v="0"/>
    <x v="0"/>
    <d v="2008-01-16T00:00:00"/>
    <d v="2008-05-01T00:00:00"/>
    <x v="32"/>
    <n v="1300"/>
    <x v="113"/>
    <x v="7"/>
    <n v="0.25"/>
    <m/>
    <m/>
    <s v="NM200801-018"/>
    <n v="4690"/>
    <n v="1300"/>
    <n v="5990"/>
    <n v="2600"/>
    <m/>
    <m/>
    <m/>
    <x v="61"/>
    <x v="12"/>
    <m/>
    <m/>
    <m/>
    <s v="T0060N, R0220E, NPNM MERIDIAN"/>
    <s v="SEC 8, NE,S2NW,SW,N2SE,SWSE; SEC 9, S2NW, NWSW; SEC 11, SESE; SEC 12, S2SW; SEC 13, NE,N2NW,SWNW,W2SW,N2SE; SEC 14, E2NE"/>
    <m/>
    <m/>
  </r>
  <r>
    <s v="NMNM119717"/>
    <x v="0"/>
    <x v="0"/>
    <d v="2008-01-16T00:00:00"/>
    <d v="2008-05-01T00:00:00"/>
    <x v="32"/>
    <n v="1560"/>
    <x v="113"/>
    <x v="7"/>
    <n v="0.25"/>
    <m/>
    <m/>
    <s v="NM200801-019"/>
    <n v="5600"/>
    <n v="4680"/>
    <n v="10280"/>
    <n v="3120"/>
    <m/>
    <m/>
    <m/>
    <x v="61"/>
    <x v="12"/>
    <m/>
    <m/>
    <m/>
    <s v="T0060N, R0220E, NPNM MERIDIAN"/>
    <s v="SEC 15, N2NE,SWNE,S2NW,SW; SEC 17, N2NE,NW; SEC 18, SENE; SEC 24, NWNW,S2N2,N2SW,SE; SEC 25, NE,S2"/>
    <m/>
    <m/>
  </r>
  <r>
    <s v="NMNM119718"/>
    <x v="0"/>
    <x v="0"/>
    <d v="2008-01-16T00:00:00"/>
    <d v="2008-03-01T00:00:00"/>
    <x v="31"/>
    <n v="320.3"/>
    <x v="113"/>
    <x v="7"/>
    <n v="0.25"/>
    <m/>
    <m/>
    <s v="NM200801-020"/>
    <n v="1263.5"/>
    <n v="321"/>
    <n v="1584.5"/>
    <n v="642"/>
    <m/>
    <m/>
    <m/>
    <x v="1"/>
    <x v="12"/>
    <m/>
    <m/>
    <m/>
    <s v="T0070N, R0220E, NPNM MERIDIAN"/>
    <s v="SEC 1, LOTS 3,4; SEC 1, S2NW,SW"/>
    <m/>
    <m/>
  </r>
  <r>
    <s v="NMNM119719"/>
    <x v="0"/>
    <x v="0"/>
    <d v="2008-01-16T00:00:00"/>
    <d v="2008-05-01T00:00:00"/>
    <x v="32"/>
    <n v="1400"/>
    <x v="113"/>
    <x v="7"/>
    <n v="0.25"/>
    <m/>
    <m/>
    <s v="NM200801-021"/>
    <n v="5040"/>
    <n v="12600"/>
    <n v="17640"/>
    <n v="2800"/>
    <m/>
    <m/>
    <m/>
    <x v="61"/>
    <x v="12"/>
    <m/>
    <m/>
    <m/>
    <s v="T0070N, R0220E, NPNM MERIDIAN"/>
    <s v="SEC 23, S2NE,SENW,S2; SEC 24, S2N2,N2S2; SEC 25, NWNE,S2NE,SESW,SE; SEC 26,NE,N2NW; SEC 26, E2SENW; SEC 27, NENE; SEC 35, E2NENW"/>
    <m/>
    <m/>
  </r>
  <r>
    <s v="NMNM119720"/>
    <x v="0"/>
    <x v="0"/>
    <d v="2008-01-16T00:00:00"/>
    <d v="2008-05-01T00:00:00"/>
    <x v="32"/>
    <n v="327.71"/>
    <x v="113"/>
    <x v="7"/>
    <n v="0.25"/>
    <m/>
    <m/>
    <s v="NM200801-022"/>
    <n v="1288"/>
    <n v="3608"/>
    <n v="4896"/>
    <n v="656"/>
    <m/>
    <m/>
    <m/>
    <x v="61"/>
    <x v="12"/>
    <m/>
    <m/>
    <m/>
    <s v="T0070N, R0220E, NPNM MERIDIAN"/>
    <s v="SEC 28, SESW; SEC 29, NWSW; SEC 30"/>
    <m/>
    <m/>
  </r>
  <r>
    <s v="NMNM119721"/>
    <x v="0"/>
    <x v="0"/>
    <d v="2008-01-16T00:00:00"/>
    <d v="2008-05-01T00:00:00"/>
    <x v="32"/>
    <n v="1573.16"/>
    <x v="113"/>
    <x v="7"/>
    <n v="0.25"/>
    <m/>
    <m/>
    <s v="NM200801-023"/>
    <n v="5649"/>
    <n v="33054"/>
    <n v="38703"/>
    <n v="3148"/>
    <m/>
    <m/>
    <m/>
    <x v="61"/>
    <x v="12"/>
    <m/>
    <m/>
    <m/>
    <s v="T0080N, R0220E, NPNM MERIDIAN"/>
    <s v="SEE ATTACHMENT TO LEASE"/>
    <m/>
    <m/>
  </r>
  <r>
    <s v="NMNM119722"/>
    <x v="0"/>
    <x v="0"/>
    <d v="2008-01-16T00:00:00"/>
    <d v="2008-05-01T00:00:00"/>
    <x v="32"/>
    <n v="1580.44"/>
    <x v="113"/>
    <x v="7"/>
    <n v="0.25"/>
    <m/>
    <m/>
    <s v="NM200801-024"/>
    <n v="5673.5"/>
    <n v="30039"/>
    <n v="35712.5"/>
    <n v="3162"/>
    <m/>
    <m/>
    <m/>
    <x v="61"/>
    <x v="12"/>
    <m/>
    <m/>
    <m/>
    <s v="T0080N, R0220E, NPNM MERIDIAN"/>
    <s v="SEE DESCRIPTIONS IN LEASE"/>
    <m/>
    <m/>
  </r>
  <r>
    <s v="NMNM119723"/>
    <x v="0"/>
    <x v="0"/>
    <d v="2008-01-16T00:00:00"/>
    <d v="2008-05-01T00:00:00"/>
    <x v="32"/>
    <n v="1724.8"/>
    <x v="113"/>
    <x v="7"/>
    <n v="0.25"/>
    <m/>
    <m/>
    <s v="NM200801-025"/>
    <n v="6177.5"/>
    <n v="36225"/>
    <n v="42402.5"/>
    <n v="3450"/>
    <m/>
    <m/>
    <m/>
    <x v="61"/>
    <x v="12"/>
    <m/>
    <m/>
    <m/>
    <s v="T0080N, R0220E, NPNM MERIDIAN"/>
    <s v="SEC 26, SENW, SEC 27, N2NW,SWNW,NWSW; SEC 28, E2,E2W2,W2NW,NWSW; SEC 29, N2SE,SWSE; SEC 31, LOTS 2,4; E2SW; SEC 35 ALL"/>
    <m/>
    <m/>
  </r>
  <r>
    <s v="NMNM119725"/>
    <x v="0"/>
    <x v="0"/>
    <d v="2008-01-16T00:00:00"/>
    <d v="2008-05-01T00:00:00"/>
    <x v="32"/>
    <n v="1517.4"/>
    <x v="113"/>
    <x v="7"/>
    <n v="0.25"/>
    <m/>
    <m/>
    <s v="NM200801-027"/>
    <n v="5453"/>
    <n v="1518"/>
    <n v="6971"/>
    <n v="3036"/>
    <m/>
    <m/>
    <m/>
    <x v="61"/>
    <x v="12"/>
    <m/>
    <m/>
    <m/>
    <s v="T0050N, R0230E, NPNM MERIDIAN"/>
    <s v="SEC 4, LOTS 1-4; S2N2,N2S2,S2SW,SWSE; SEC 9, NWNE,N2NW,S2N2,S2; SEC 10, SENE,S2NW,SW; SEC 11, SWNW"/>
    <m/>
    <m/>
  </r>
  <r>
    <s v="NMNM119726"/>
    <x v="0"/>
    <x v="0"/>
    <d v="2008-01-16T00:00:00"/>
    <d v="2008-05-01T00:00:00"/>
    <x v="32"/>
    <n v="2115.0100000000002"/>
    <x v="113"/>
    <x v="7"/>
    <n v="0.25"/>
    <m/>
    <m/>
    <s v="NM200801-028"/>
    <n v="7546"/>
    <n v="6348"/>
    <n v="13894"/>
    <n v="4232"/>
    <m/>
    <m/>
    <m/>
    <x v="61"/>
    <x v="12"/>
    <m/>
    <m/>
    <m/>
    <s v="T0050N, R0230E, NPNM MERIDIAN"/>
    <s v="SEC 5, LOTS1-4; SEC 5, S2NE,SWSW,SE; SEC 6, LOTS 3.4.6.7; SENE,SENW,E2SW,SE; SEC 7, LOTS 1-4; E2,E2W2; SEC 8, E2,W2W2,SESW"/>
    <m/>
    <m/>
  </r>
  <r>
    <s v="NMNM119727"/>
    <x v="0"/>
    <x v="0"/>
    <d v="2008-01-16T00:00:00"/>
    <d v="2008-05-01T00:00:00"/>
    <x v="32"/>
    <n v="960"/>
    <x v="113"/>
    <x v="7"/>
    <n v="0.25"/>
    <m/>
    <m/>
    <s v="NM200801-029"/>
    <n v="3500"/>
    <n v="3360"/>
    <n v="6860"/>
    <n v="1920"/>
    <m/>
    <m/>
    <m/>
    <x v="61"/>
    <x v="12"/>
    <m/>
    <m/>
    <m/>
    <s v="T0050N, R0230E, NPNM MERIDIAN"/>
    <s v="SEC 13, W2E2SE,W2SE; SEC 23, NE,S2NW,S2; SEC 24, W2E2NE,W2NE,SE"/>
    <m/>
    <m/>
  </r>
  <r>
    <s v="NMNM119728"/>
    <x v="0"/>
    <x v="0"/>
    <d v="2008-01-16T00:00:00"/>
    <d v="2008-05-01T00:00:00"/>
    <x v="32"/>
    <n v="1035.1199999999999"/>
    <x v="113"/>
    <x v="7"/>
    <n v="0.25"/>
    <m/>
    <m/>
    <s v="NM200801-030"/>
    <n v="3766"/>
    <n v="3108"/>
    <n v="6874"/>
    <n v="2072"/>
    <m/>
    <m/>
    <m/>
    <x v="61"/>
    <x v="12"/>
    <m/>
    <m/>
    <m/>
    <s v="T0050N, R0230E, NPNM MERIDIAN"/>
    <s v="SEC 17, W2; SEC 18, LOTS 1-4; W2E2,E2W2; SEC 19, LOTS 3,4; E2SW,S2SE"/>
    <m/>
    <m/>
  </r>
  <r>
    <s v="NMNM119729"/>
    <x v="0"/>
    <x v="0"/>
    <d v="2008-01-16T00:00:00"/>
    <d v="2008-05-01T00:00:00"/>
    <x v="32"/>
    <n v="480"/>
    <x v="113"/>
    <x v="7"/>
    <n v="0.25"/>
    <m/>
    <m/>
    <s v="NM200801-031"/>
    <n v="1820"/>
    <n v="2400"/>
    <n v="4220"/>
    <n v="960"/>
    <m/>
    <m/>
    <m/>
    <x v="61"/>
    <x v="12"/>
    <m/>
    <m/>
    <m/>
    <s v="T0050N, R0230E, NPNM MERIDIAN"/>
    <s v="SEC 21, N2NE,E2NW,S2SE; SEC 22, N2NW, S2S2"/>
    <m/>
    <m/>
  </r>
  <r>
    <s v="NMNM119730"/>
    <x v="0"/>
    <x v="0"/>
    <d v="2008-01-16T00:00:00"/>
    <d v="2008-05-01T00:00:00"/>
    <x v="32"/>
    <n v="1840"/>
    <x v="113"/>
    <x v="7"/>
    <n v="0.25"/>
    <m/>
    <m/>
    <s v="NM200801-032"/>
    <n v="6580"/>
    <n v="6440"/>
    <n v="13020"/>
    <n v="3680"/>
    <m/>
    <m/>
    <m/>
    <x v="61"/>
    <x v="12"/>
    <m/>
    <m/>
    <m/>
    <s v="T0050N, R0230E, NPNM MERIDIAN"/>
    <s v="SEC 25, ALL; SEC 26, NE,E2NW,S2; SEC 35, ALL"/>
    <m/>
    <m/>
  </r>
  <r>
    <s v="NMNM119731"/>
    <x v="0"/>
    <x v="0"/>
    <d v="2008-01-16T00:00:00"/>
    <d v="2008-05-01T00:00:00"/>
    <x v="32"/>
    <n v="1680"/>
    <x v="113"/>
    <x v="7"/>
    <n v="0.25"/>
    <m/>
    <m/>
    <s v="NM200801-03"/>
    <n v="6020"/>
    <n v="5880"/>
    <n v="11900"/>
    <n v="3360"/>
    <m/>
    <m/>
    <m/>
    <x v="61"/>
    <x v="12"/>
    <m/>
    <m/>
    <m/>
    <s v="T0050N, R0230E, NPNM MERIDIAN"/>
    <s v="SEC 27, N2NE,W2; SEC 28 W2NW,SW,S2SE; SEC 33, ALL; SEC 34 N2NE,E2NW,W2W2"/>
    <m/>
    <m/>
  </r>
  <r>
    <s v="NMNM119732"/>
    <x v="0"/>
    <x v="0"/>
    <d v="2008-01-16T00:00:00"/>
    <d v="2008-05-01T00:00:00"/>
    <x v="32"/>
    <n v="1917.08"/>
    <x v="113"/>
    <x v="7"/>
    <n v="0.25"/>
    <m/>
    <m/>
    <s v="NM200801-034"/>
    <n v="6853"/>
    <n v="6713"/>
    <n v="13566"/>
    <n v="3836"/>
    <m/>
    <m/>
    <m/>
    <x v="61"/>
    <x v="12"/>
    <m/>
    <m/>
    <m/>
    <s v="T0050N, R0230E, NPNM MERIDIAN"/>
    <s v="SEC 29, ALL; SEC 30, LOTS 1-4; E2,E2W2; SEC 31, LOTS 1-4; E2,E2W2 "/>
    <m/>
    <m/>
  </r>
  <r>
    <s v="NMNM119733"/>
    <x v="0"/>
    <x v="0"/>
    <d v="2008-01-16T00:00:00"/>
    <d v="2008-05-01T00:00:00"/>
    <x v="32"/>
    <n v="560"/>
    <x v="113"/>
    <x v="7"/>
    <n v="0.25"/>
    <m/>
    <m/>
    <s v="NM200801-035"/>
    <n v="2100"/>
    <n v="840"/>
    <n v="2940"/>
    <n v="1120"/>
    <m/>
    <m/>
    <m/>
    <x v="61"/>
    <x v="12"/>
    <m/>
    <m/>
    <m/>
    <s v="T0060N, R0230E, NPNM MERIDIAN"/>
    <s v="SEC 2, W2SW; SEC 3, S2SW,E2SE,SWSE; SEC 10 N2NW,SENW; SEC 11, W2SW; SEC 12, SWNE; SEC 15, NWNE"/>
    <m/>
    <m/>
  </r>
  <r>
    <s v="NMNM119734"/>
    <x v="0"/>
    <x v="0"/>
    <d v="2008-01-16T00:00:00"/>
    <d v="2008-05-01T00:00:00"/>
    <x v="32"/>
    <n v="1016.96"/>
    <x v="113"/>
    <x v="7"/>
    <n v="0.25"/>
    <m/>
    <m/>
    <s v="NM200801-036"/>
    <n v="3699.5"/>
    <n v="3559.5"/>
    <n v="7259"/>
    <n v="2034"/>
    <m/>
    <m/>
    <m/>
    <x v="61"/>
    <x v="12"/>
    <m/>
    <m/>
    <m/>
    <s v="T0060N, R0230E, NPNM MERIDIAN"/>
    <s v="SEC 4, SW; SEC 5, E2SE,SWSE; SEC 6, LOTS 1,2; SEC 7, LOT 1; SEC 8, NENE,E2SE,SWSE; SEE LSE FOR SEC 17 &amp; SEC 18 "/>
    <m/>
    <m/>
  </r>
  <r>
    <s v="NMNM119735"/>
    <x v="0"/>
    <x v="0"/>
    <d v="2008-01-16T00:00:00"/>
    <d v="2008-05-01T00:00:00"/>
    <x v="32"/>
    <n v="1057.3699999999999"/>
    <x v="113"/>
    <x v="7"/>
    <n v="0.25"/>
    <m/>
    <m/>
    <s v="NM200801-037"/>
    <n v="3843"/>
    <n v="5819"/>
    <n v="9662"/>
    <n v="2116"/>
    <m/>
    <m/>
    <m/>
    <x v="1"/>
    <x v="12"/>
    <m/>
    <m/>
    <m/>
    <s v="T0060N, R0230E, NPNM MERIDIAN"/>
    <s v="SEE ATTACHMENT TO LEASE"/>
    <m/>
    <m/>
  </r>
  <r>
    <s v="NMNM119736"/>
    <x v="0"/>
    <x v="0"/>
    <d v="2008-01-16T00:00:00"/>
    <d v="2008-05-01T00:00:00"/>
    <x v="32"/>
    <n v="360"/>
    <x v="113"/>
    <x v="7"/>
    <n v="0.25"/>
    <m/>
    <m/>
    <s v="NM200801-038"/>
    <n v="1400"/>
    <n v="540"/>
    <n v="1940"/>
    <n v="720"/>
    <m/>
    <m/>
    <m/>
    <x v="1"/>
    <x v="12"/>
    <m/>
    <m/>
    <m/>
    <s v="T0060N, R0230E, NPNM MERIDIAN"/>
    <s v="SEC 22, NWNE; SEC  23, E2"/>
    <m/>
    <m/>
  </r>
  <r>
    <s v="NMNM119737"/>
    <x v="0"/>
    <x v="0"/>
    <d v="2008-01-16T00:00:00"/>
    <d v="2008-05-01T00:00:00"/>
    <x v="32"/>
    <n v="1120"/>
    <x v="113"/>
    <x v="7"/>
    <n v="0.25"/>
    <m/>
    <m/>
    <s v="NM200801-039"/>
    <n v="4060"/>
    <n v="12880"/>
    <n v="16940"/>
    <n v="2240"/>
    <m/>
    <m/>
    <m/>
    <x v="1"/>
    <x v="12"/>
    <m/>
    <m/>
    <m/>
    <s v="T0070N, R0230E, NPNM MERIDIAN"/>
    <s v="SEC 11, SESW,NESE; SEC 13, W2SW; SEC 22, SWSW; SEC 24, N2NW,SWNW; SEC 25, NE; SEC 26, NWNW,W2SW; SEC 27, NENE; SEC34, N2; SEC 35, W2W2"/>
    <m/>
    <m/>
  </r>
  <r>
    <s v="NMNM119738"/>
    <x v="0"/>
    <x v="0"/>
    <d v="2008-01-16T00:00:00"/>
    <d v="2008-05-01T00:00:00"/>
    <x v="32"/>
    <n v="2025.18"/>
    <x v="113"/>
    <x v="7"/>
    <n v="0.25"/>
    <m/>
    <m/>
    <s v="NM200801-040"/>
    <n v="7231"/>
    <n v="23299"/>
    <n v="30530"/>
    <n v="4052"/>
    <m/>
    <m/>
    <m/>
    <x v="1"/>
    <x v="12"/>
    <m/>
    <m/>
    <m/>
    <s v="T0070N, R0230E, NPNM MERIDIAN"/>
    <s v="SEE DESCRIPTIONS IN LEASE"/>
    <m/>
    <m/>
  </r>
  <r>
    <s v="NMNM119739"/>
    <x v="0"/>
    <x v="0"/>
    <d v="2008-01-16T00:00:00"/>
    <d v="2008-03-01T00:00:00"/>
    <x v="31"/>
    <n v="400"/>
    <x v="113"/>
    <x v="7"/>
    <n v="0.25"/>
    <m/>
    <m/>
    <s v="NM200801-041"/>
    <n v="1540"/>
    <n v="12000"/>
    <n v="13540"/>
    <n v="800"/>
    <m/>
    <m/>
    <m/>
    <x v="1"/>
    <x v="12"/>
    <m/>
    <m/>
    <m/>
    <s v="T0080N, R0230E, NPNM MERIDIAN"/>
    <s v="SEC 1, SESE; SEC 12, E2NE,NESE; SEC 13, W2SW; SEC 23, NE"/>
    <m/>
    <m/>
  </r>
  <r>
    <s v="NMNM119740"/>
    <x v="0"/>
    <x v="0"/>
    <d v="2008-01-16T00:00:00"/>
    <d v="2008-03-01T00:00:00"/>
    <x v="31"/>
    <n v="868.12"/>
    <x v="113"/>
    <x v="7"/>
    <n v="0.25"/>
    <m/>
    <m/>
    <s v="NM200801-042"/>
    <n v="3181.5"/>
    <n v="16511"/>
    <n v="19692.5"/>
    <n v="1738"/>
    <m/>
    <m/>
    <m/>
    <x v="1"/>
    <x v="12"/>
    <m/>
    <m/>
    <m/>
    <s v="T0080N, R0230E, NPNM MERIDIAN"/>
    <s v="SEC 3, S2SW; SEC 4, S2; SEC 5, SWNE; SEC 7, LOTS 1,2; NWNE,NENW,SWSE; SEC 9, NE; SEC 10, N2NW"/>
    <m/>
    <m/>
  </r>
  <r>
    <s v="NMNM119741"/>
    <x v="0"/>
    <x v="0"/>
    <d v="2008-01-16T00:00:00"/>
    <d v="2008-03-01T00:00:00"/>
    <x v="31"/>
    <n v="547.96"/>
    <x v="113"/>
    <x v="7"/>
    <n v="0.25"/>
    <m/>
    <m/>
    <s v="NM200801-043"/>
    <n v="2058"/>
    <n v="12604"/>
    <n v="14662"/>
    <n v="1096"/>
    <m/>
    <m/>
    <m/>
    <x v="1"/>
    <x v="12"/>
    <m/>
    <m/>
    <m/>
    <s v="T0090N, R0230E, NPNM MERIDIAN"/>
    <s v="SEC 1, LOTS 1-3; SEC 11, E2SE; SEC 12, NESW; SEC 13, SENW,W2SW; SEC 14, W2NE,E2SE"/>
    <m/>
    <m/>
  </r>
  <r>
    <s v="NMNM119742"/>
    <x v="0"/>
    <x v="0"/>
    <d v="2008-01-16T00:00:00"/>
    <d v="2008-03-01T00:00:00"/>
    <x v="31"/>
    <n v="48.18"/>
    <x v="113"/>
    <x v="7"/>
    <n v="0.25"/>
    <m/>
    <m/>
    <s v="NM200801-044"/>
    <n v="311.5"/>
    <n v="1127"/>
    <n v="1438.5"/>
    <n v="98"/>
    <m/>
    <m/>
    <m/>
    <x v="1"/>
    <x v="12"/>
    <m/>
    <m/>
    <m/>
    <s v="T0090N, R0230E, NPNM MERIDIAN"/>
    <s v="SEC 6, LOT 3"/>
    <m/>
    <m/>
  </r>
  <r>
    <s v="NMNM119763"/>
    <x v="0"/>
    <x v="0"/>
    <d v="2008-01-16T00:00:00"/>
    <d v="2008-05-01T00:00:00"/>
    <x v="32"/>
    <n v="640"/>
    <x v="63"/>
    <x v="7"/>
    <n v="0.25"/>
    <m/>
    <m/>
    <s v="NM200801-065"/>
    <n v="2380"/>
    <n v="143040"/>
    <n v="145420"/>
    <n v="1280"/>
    <m/>
    <m/>
    <m/>
    <x v="62"/>
    <x v="12"/>
    <m/>
    <m/>
    <m/>
    <s v="T0260S, R0360E, NPNM MERIDIAN"/>
    <s v="SEC 24, E2,E2W2; SEC 25, N2NE,SENE,NENW"/>
    <s v="YES "/>
    <s v="Instrument#50527 Book 1806 Page 317"/>
  </r>
  <r>
    <s v="NMNM119766"/>
    <x v="0"/>
    <x v="0"/>
    <d v="2008-01-16T00:00:00"/>
    <d v="2008-05-01T00:00:00"/>
    <x v="32"/>
    <n v="625.98"/>
    <x v="114"/>
    <x v="7"/>
    <n v="0.25"/>
    <m/>
    <m/>
    <s v="NM200801-068"/>
    <n v="2331"/>
    <n v="313"/>
    <n v="2644"/>
    <n v="1252"/>
    <m/>
    <m/>
    <m/>
    <x v="1"/>
    <x v="12"/>
    <m/>
    <m/>
    <m/>
    <s v="T0210S, R0010W, NPNM MERIDIAN"/>
    <s v="SEC 31, LOTS 1-4;E2,E2W2"/>
    <m/>
    <m/>
  </r>
  <r>
    <s v="NMNM119767"/>
    <x v="0"/>
    <x v="0"/>
    <d v="2008-01-16T00:00:00"/>
    <d v="2008-05-01T00:00:00"/>
    <x v="32"/>
    <n v="2547.62"/>
    <x v="114"/>
    <x v="7"/>
    <n v="0.25"/>
    <m/>
    <m/>
    <s v="NM200801-069"/>
    <n v="9058"/>
    <n v="1274"/>
    <n v="10332"/>
    <n v="5096"/>
    <m/>
    <m/>
    <m/>
    <x v="1"/>
    <x v="12"/>
    <m/>
    <m/>
    <m/>
    <s v="T0220S, R0010W, NPNM MERIDIAN"/>
    <s v="SEC 5, LOTS 5-8; S2N2,S2; SEC 6, LOTS 8-14; S2NE,SENW,E2SW,SE; SEC 7, LOTS 5-8; E2,E2W2; SEC 8, ALL"/>
    <m/>
    <m/>
  </r>
  <r>
    <s v="NMNM119768"/>
    <x v="0"/>
    <x v="0"/>
    <d v="2008-01-16T00:00:00"/>
    <d v="2008-05-01T00:00:00"/>
    <x v="32"/>
    <n v="960"/>
    <x v="114"/>
    <x v="7"/>
    <n v="0.25"/>
    <m/>
    <m/>
    <s v="NM200801-070"/>
    <n v="3500"/>
    <n v="480"/>
    <n v="3980"/>
    <n v="1920"/>
    <m/>
    <m/>
    <m/>
    <x v="1"/>
    <x v="12"/>
    <m/>
    <m/>
    <m/>
    <s v="T0220S, R0010W, NPNM MERIDIAN"/>
    <s v="SEC 17, ALL; SEC 21, N2"/>
    <m/>
    <m/>
  </r>
  <r>
    <s v="NMNM119769"/>
    <x v="0"/>
    <x v="0"/>
    <d v="2008-01-16T00:00:00"/>
    <d v="2008-05-01T00:00:00"/>
    <x v="32"/>
    <n v="1920"/>
    <x v="114"/>
    <x v="7"/>
    <n v="0.25"/>
    <m/>
    <m/>
    <s v="NM200801-071"/>
    <n v="6860"/>
    <n v="960"/>
    <n v="7820"/>
    <n v="3840"/>
    <m/>
    <m/>
    <m/>
    <x v="1"/>
    <x v="12"/>
    <m/>
    <m/>
    <m/>
    <s v="T0220S, R0010W, NPNM MERIDIAN"/>
    <s v="SEC 27, W2; SEC 28, ALL; SEC 33, ALL; SEC 34, W2"/>
    <m/>
    <m/>
  </r>
  <r>
    <s v="NMNM119770"/>
    <x v="0"/>
    <x v="0"/>
    <d v="2008-01-16T00:00:00"/>
    <d v="2008-05-01T00:00:00"/>
    <x v="32"/>
    <n v="654.70000000000005"/>
    <x v="114"/>
    <x v="7"/>
    <n v="0.25"/>
    <m/>
    <m/>
    <s v="NM200801-072"/>
    <n v="2432.5"/>
    <n v="327.5"/>
    <n v="2760"/>
    <n v="1310"/>
    <m/>
    <m/>
    <m/>
    <x v="1"/>
    <x v="12"/>
    <m/>
    <m/>
    <m/>
    <s v="T0230S, R0010W, NPNM MERIDIAN"/>
    <s v="SEC 1, LOTS 1-7; S2NW,W2SW; SEC 2, LOTS 7-11; SENE,E2SE"/>
    <m/>
    <m/>
  </r>
  <r>
    <s v="NMNM119771"/>
    <x v="0"/>
    <x v="0"/>
    <d v="2008-01-16T00:00:00"/>
    <d v="2008-05-01T00:00:00"/>
    <x v="32"/>
    <n v="1913.76"/>
    <x v="114"/>
    <x v="7"/>
    <n v="0.25"/>
    <m/>
    <m/>
    <s v="NM200801-073"/>
    <n v="6839"/>
    <n v="957"/>
    <n v="7796"/>
    <n v="3828"/>
    <m/>
    <m/>
    <m/>
    <x v="1"/>
    <x v="12"/>
    <m/>
    <m/>
    <m/>
    <s v="T0230S, R0010W, NPNM MERIDIAN"/>
    <s v="SEC 3, LOTS 5-8; S2N2,S2; SEC 4, LOTS 5-8; S2N2,S2; SEC 5, LOTS 5-8, S2N2, S2"/>
    <m/>
    <m/>
  </r>
  <r>
    <s v="NMNM119772"/>
    <x v="0"/>
    <x v="0"/>
    <d v="2008-01-16T00:00:00"/>
    <d v="2008-05-01T00:00:00"/>
    <x v="32"/>
    <n v="647.09"/>
    <x v="114"/>
    <x v="7"/>
    <n v="0.25"/>
    <m/>
    <m/>
    <s v="NM200801-074"/>
    <n v="2408"/>
    <n v="324"/>
    <n v="2732"/>
    <n v="1296"/>
    <m/>
    <m/>
    <m/>
    <x v="1"/>
    <x v="12"/>
    <m/>
    <m/>
    <m/>
    <s v="T0230S, R0010W, NPNM MERIDIAN"/>
    <s v="SEC 6, LOTS 8-14; S2NE,SENEW,E2SW,SE"/>
    <m/>
    <m/>
  </r>
  <r>
    <s v="NMNM119773"/>
    <x v="0"/>
    <x v="0"/>
    <d v="2008-01-16T00:00:00"/>
    <d v="2008-05-01T00:00:00"/>
    <x v="32"/>
    <n v="2068.48"/>
    <x v="114"/>
    <x v="7"/>
    <n v="0.25"/>
    <m/>
    <m/>
    <s v="NM200801-083"/>
    <n v="7381.5"/>
    <n v="1034.5"/>
    <n v="8416"/>
    <n v="4138"/>
    <m/>
    <m/>
    <m/>
    <x v="1"/>
    <x v="12"/>
    <m/>
    <m/>
    <m/>
    <s v="T0210S, R0020W, NPNM MERIDIAN"/>
    <s v="SEC 31, LOTS 1-4; NE,E2W2; SEC 33, ALL; SEC 34, W2; SEC 35, ALL"/>
    <m/>
    <m/>
  </r>
  <r>
    <s v="NMNM119774"/>
    <x v="0"/>
    <x v="0"/>
    <d v="2008-01-16T00:00:00"/>
    <d v="2008-05-01T00:00:00"/>
    <x v="32"/>
    <n v="1920.64"/>
    <x v="114"/>
    <x v="7"/>
    <n v="0.25"/>
    <m/>
    <m/>
    <s v="NM200801-084"/>
    <n v="6863.5"/>
    <n v="960.5"/>
    <n v="7824"/>
    <n v="3842"/>
    <m/>
    <m/>
    <m/>
    <x v="1"/>
    <x v="12"/>
    <m/>
    <m/>
    <m/>
    <s v="T0220S, R0020W, NPNM MERIDIAN"/>
    <s v="SEC 1, LOTS 1-4; S2N2,S2; SEC 11, ALL; SEC 12, ALL"/>
    <m/>
    <m/>
  </r>
  <r>
    <s v="NMNM119775"/>
    <x v="0"/>
    <x v="0"/>
    <d v="2008-01-16T00:00:00"/>
    <d v="2008-05-01T00:00:00"/>
    <x v="32"/>
    <n v="1602.54"/>
    <x v="114"/>
    <x v="7"/>
    <n v="0.25"/>
    <m/>
    <m/>
    <s v="NM200801-085"/>
    <n v="5750.5"/>
    <n v="801.5"/>
    <n v="6552"/>
    <n v="3206"/>
    <m/>
    <m/>
    <m/>
    <x v="1"/>
    <x v="12"/>
    <m/>
    <m/>
    <m/>
    <s v="T0220S, R0020W, NPNM MERIDIAN"/>
    <s v="SEC 3, LOTS 3-4; S2NW,SW; SEC 4, LOTS 1-4; S2N2,S2; SEC 9, ALL"/>
    <m/>
    <m/>
  </r>
  <r>
    <s v="NMNM119776"/>
    <x v="0"/>
    <x v="0"/>
    <d v="2008-01-16T00:00:00"/>
    <d v="2008-05-01T00:00:00"/>
    <x v="32"/>
    <n v="2541.2399999999998"/>
    <x v="114"/>
    <x v="7"/>
    <n v="0.25"/>
    <m/>
    <m/>
    <s v="NM200801-086"/>
    <n v="9037"/>
    <n v="1271"/>
    <n v="10308"/>
    <n v="5084"/>
    <m/>
    <m/>
    <m/>
    <x v="1"/>
    <x v="12"/>
    <m/>
    <m/>
    <m/>
    <s v="T0220S, R0020W, NPNM MERIDIAN"/>
    <s v="SEC 5, LOTS 1-4; S2N2,S2; SEC 6, LOTS 1-7; S2NE,SENW,E2SW,SE; SEC 7, LOTS 1-4; E2,E2W2; SEC 8, ALL"/>
    <m/>
    <m/>
  </r>
  <r>
    <s v="NMNM119777"/>
    <x v="0"/>
    <x v="0"/>
    <d v="2008-01-16T00:00:00"/>
    <d v="2008-05-01T00:00:00"/>
    <x v="32"/>
    <n v="1600"/>
    <x v="114"/>
    <x v="7"/>
    <n v="0.25"/>
    <m/>
    <m/>
    <s v="NM200801-090"/>
    <n v="5740"/>
    <n v="800"/>
    <n v="6540"/>
    <n v="3200"/>
    <m/>
    <m/>
    <m/>
    <x v="1"/>
    <x v="12"/>
    <m/>
    <m/>
    <m/>
    <s v="T0210S, R0030W, NPNM MERIDIAN"/>
    <s v="SEC 25, N2; SEC 26, ALL; SEC 35, ALL"/>
    <m/>
    <m/>
  </r>
  <r>
    <s v="NMNM119778"/>
    <x v="0"/>
    <x v="0"/>
    <d v="2008-01-16T00:00:00"/>
    <d v="2008-05-01T00:00:00"/>
    <x v="32"/>
    <n v="1292.03"/>
    <x v="114"/>
    <x v="7"/>
    <n v="0.25"/>
    <m/>
    <m/>
    <s v="NM200801-091"/>
    <n v="4665.5"/>
    <n v="646.5"/>
    <n v="5312"/>
    <n v="2586"/>
    <m/>
    <m/>
    <m/>
    <x v="1"/>
    <x v="12"/>
    <m/>
    <m/>
    <m/>
    <s v="T0210S, R0030W, NPNM MERIDIAN"/>
    <s v="SEC 27, LOTS 1-4; E2SW; SEC 28, ALL"/>
    <m/>
    <m/>
  </r>
  <r>
    <s v="NMNM119779"/>
    <x v="0"/>
    <x v="0"/>
    <d v="2008-01-16T00:00:00"/>
    <d v="2008-05-01T00:00:00"/>
    <x v="32"/>
    <n v="1280"/>
    <x v="114"/>
    <x v="7"/>
    <n v="0.25"/>
    <m/>
    <m/>
    <s v="NM200801-092"/>
    <n v="4620"/>
    <n v="640"/>
    <n v="5260"/>
    <n v="2560"/>
    <m/>
    <m/>
    <m/>
    <x v="1"/>
    <x v="12"/>
    <m/>
    <m/>
    <m/>
    <s v="T0210S, R0030W, NPNM MERIDIAN"/>
    <s v="SEC 33, ALL; SEC 34, ALL"/>
    <m/>
    <m/>
  </r>
  <r>
    <s v="NMNM119780"/>
    <x v="0"/>
    <x v="0"/>
    <d v="2008-01-16T00:00:00"/>
    <d v="2008-05-01T00:00:00"/>
    <x v="32"/>
    <n v="1920.56"/>
    <x v="114"/>
    <x v="7"/>
    <n v="0.25"/>
    <m/>
    <m/>
    <s v="NM200801-093"/>
    <n v="6863.5"/>
    <n v="960.5"/>
    <n v="7824"/>
    <n v="3842"/>
    <m/>
    <m/>
    <m/>
    <x v="1"/>
    <x v="12"/>
    <m/>
    <m/>
    <m/>
    <s v="T0220S, R0030W, NPNM MERIDIAN"/>
    <s v="SEC 1, LOTS 1-4; S2N2,S2; SEC 11, ALL; SEC 12, ALL"/>
    <m/>
    <m/>
  </r>
  <r>
    <s v="NMNM119781"/>
    <x v="0"/>
    <x v="0"/>
    <d v="2008-01-16T00:00:00"/>
    <d v="2008-05-01T00:00:00"/>
    <x v="32"/>
    <n v="1927.52"/>
    <x v="114"/>
    <x v="7"/>
    <n v="0.25"/>
    <m/>
    <m/>
    <s v="NM200801-094"/>
    <n v="6888"/>
    <n v="964"/>
    <n v="7852"/>
    <n v="3856"/>
    <m/>
    <m/>
    <m/>
    <x v="1"/>
    <x v="12"/>
    <m/>
    <m/>
    <m/>
    <s v="T0220S, R0030W, NPNM MERIDIAN"/>
    <s v="SEC 3, LOTS 1-4; S2N2,SE; SEC 4, S2N2,S2; SEC 9, ALL"/>
    <m/>
    <m/>
  </r>
  <r>
    <s v="NMNM119782"/>
    <x v="0"/>
    <x v="0"/>
    <d v="2008-01-16T00:00:00"/>
    <d v="2008-05-01T00:00:00"/>
    <x v="32"/>
    <n v="640"/>
    <x v="114"/>
    <x v="7"/>
    <n v="0.25"/>
    <m/>
    <m/>
    <s v="NM200801-095"/>
    <n v="2380"/>
    <n v="320"/>
    <n v="2700"/>
    <n v="1280"/>
    <m/>
    <m/>
    <m/>
    <x v="1"/>
    <x v="12"/>
    <m/>
    <m/>
    <m/>
    <s v="T0220S, R0030W, NPNM MERIDIAN"/>
    <s v="SEC 10, ALL"/>
    <m/>
    <m/>
  </r>
  <r>
    <s v="NMNM119783"/>
    <x v="0"/>
    <x v="0"/>
    <d v="2008-01-16T00:00:00"/>
    <d v="2008-03-01T00:00:00"/>
    <x v="31"/>
    <n v="1120"/>
    <x v="47"/>
    <x v="7"/>
    <n v="0.25"/>
    <m/>
    <m/>
    <s v="NM200801-096"/>
    <n v="4060"/>
    <n v="11200"/>
    <n v="15260"/>
    <n v="2240"/>
    <m/>
    <m/>
    <m/>
    <x v="1"/>
    <x v="12"/>
    <m/>
    <m/>
    <m/>
    <s v="T0180S, R0060W, NPNM MERIDIAN"/>
    <s v="SEC 2, S2N2,S2; SEC 10, ALL"/>
    <m/>
    <m/>
  </r>
  <r>
    <s v="NMNM119784"/>
    <x v="0"/>
    <x v="0"/>
    <d v="2008-01-16T00:00:00"/>
    <d v="2008-03-01T00:00:00"/>
    <x v="31"/>
    <n v="637.12"/>
    <x v="47"/>
    <x v="7"/>
    <n v="0.25"/>
    <m/>
    <m/>
    <s v="NM200801-097"/>
    <n v="2373"/>
    <n v="5742"/>
    <n v="8115"/>
    <n v="1276"/>
    <m/>
    <m/>
    <m/>
    <x v="1"/>
    <x v="12"/>
    <m/>
    <m/>
    <m/>
    <s v="T0190S, R0070W, NPNM MERIDIAN"/>
    <s v="SEC 24, LOTS 1-4; W2E2,W2"/>
    <m/>
    <m/>
  </r>
  <r>
    <s v="OKNM119791"/>
    <x v="0"/>
    <x v="0"/>
    <d v="2008-01-16T00:00:00"/>
    <d v="2008-05-01T00:00:00"/>
    <x v="32"/>
    <n v="11.12"/>
    <x v="71"/>
    <x v="5"/>
    <n v="0.25"/>
    <m/>
    <m/>
    <s v="NM200801-104"/>
    <n v="182"/>
    <n v="2076"/>
    <n v="2258"/>
    <n v="24"/>
    <m/>
    <m/>
    <m/>
    <x v="1"/>
    <x v="12"/>
    <m/>
    <m/>
    <m/>
    <s v="T0220N, R0190W, IM MERIDIAN"/>
    <s v="SEC 6, LOT 2"/>
    <m/>
    <m/>
  </r>
  <r>
    <s v="OKNM119796"/>
    <x v="0"/>
    <x v="0"/>
    <d v="2008-01-16T00:00:00"/>
    <d v="2008-05-01T00:00:00"/>
    <x v="32"/>
    <n v="974.6"/>
    <x v="115"/>
    <x v="5"/>
    <n v="0.25"/>
    <m/>
    <m/>
    <s v="NM200801-109"/>
    <n v="3552.5"/>
    <n v="52162.5"/>
    <n v="55715"/>
    <n v="1950"/>
    <m/>
    <m/>
    <m/>
    <x v="1"/>
    <x v="12"/>
    <m/>
    <m/>
    <m/>
    <s v="T0050N, R0230E, IM MERIDIAN"/>
    <s v="SEE LEASE FOR TRACTS WITHIN SECS 4, 9 AND 16."/>
    <m/>
    <m/>
  </r>
  <r>
    <s v="OKNM119810"/>
    <x v="0"/>
    <x v="0"/>
    <d v="2008-01-16T00:00:00"/>
    <d v="2008-03-01T00:00:00"/>
    <x v="31"/>
    <n v="1246.3499999999999"/>
    <x v="115"/>
    <x v="5"/>
    <n v="0.25"/>
    <m/>
    <m/>
    <s v="NM200801-124"/>
    <n v="4504.5"/>
    <n v="0"/>
    <n v="4504.5"/>
    <n v="2494"/>
    <m/>
    <m/>
    <m/>
    <x v="1"/>
    <x v="12"/>
    <m/>
    <m/>
    <m/>
    <s v="T0030N, R0270E, IM MERIDIAN"/>
    <s v="SEE LEASE FOR TRACTS WITHIN SECS 27, 28, 29 AND 30.."/>
    <m/>
    <m/>
  </r>
  <r>
    <s v="TXNM119822"/>
    <x v="0"/>
    <x v="0"/>
    <d v="2008-01-16T00:00:00"/>
    <d v="2008-03-01T00:00:00"/>
    <x v="31"/>
    <n v="1959.97"/>
    <x v="5"/>
    <x v="0"/>
    <n v="0.25"/>
    <m/>
    <m/>
    <s v="NM200801-136"/>
    <n v="7000"/>
    <n v="74480"/>
    <n v="81480"/>
    <n v="3920"/>
    <m/>
    <m/>
    <m/>
    <x v="1"/>
    <x v="12"/>
    <m/>
    <m/>
    <s v="DAVY CROCKETT NATIONAL FOREST"/>
    <s v="TR K-I-II PRCEL # 5"/>
    <s v="SEE LEASE FOR METES AND BOUNDS DESCRIPTION"/>
    <s v="YES"/>
    <m/>
  </r>
  <r>
    <s v="TXNM119823"/>
    <x v="0"/>
    <x v="0"/>
    <d v="2008-01-16T00:00:00"/>
    <d v="2008-03-01T00:00:00"/>
    <x v="31"/>
    <n v="2293.69"/>
    <x v="5"/>
    <x v="0"/>
    <n v="0.25"/>
    <m/>
    <m/>
    <s v="NM200801-137"/>
    <n v="8169"/>
    <n v="87172"/>
    <n v="95341"/>
    <n v="4588"/>
    <m/>
    <m/>
    <m/>
    <x v="1"/>
    <x v="12"/>
    <m/>
    <m/>
    <s v="DAVY CROCKETT NATIONAL FOREST"/>
    <s v="TR K-I-II PRCEL # 6"/>
    <s v="SEE LEASE FOR METES AND BOUNDS DESCRIPTION"/>
    <s v="YES"/>
    <m/>
  </r>
  <r>
    <s v="TXNM119824"/>
    <x v="0"/>
    <x v="0"/>
    <d v="2008-01-16T00:00:00"/>
    <d v="2008-03-01T00:00:00"/>
    <x v="31"/>
    <n v="2419.69"/>
    <x v="5"/>
    <x v="0"/>
    <n v="0.25"/>
    <m/>
    <m/>
    <s v="NM200801-138"/>
    <n v="8610"/>
    <n v="212960"/>
    <n v="221570"/>
    <n v="4840"/>
    <m/>
    <m/>
    <m/>
    <x v="1"/>
    <x v="12"/>
    <m/>
    <m/>
    <s v="DAVY CROCKETT NATIONAL FOREST"/>
    <s v="TR K-I-II PRCEL # 7"/>
    <s v="SEE LEASE FOR METES AND BOUNDS DESCRIPTION"/>
    <s v="YES"/>
    <m/>
  </r>
  <r>
    <s v="TXNM119826"/>
    <x v="0"/>
    <x v="0"/>
    <d v="2008-01-16T00:00:00"/>
    <d v="2008-03-01T00:00:00"/>
    <x v="31"/>
    <n v="316.45"/>
    <x v="83"/>
    <x v="0"/>
    <n v="0.25"/>
    <m/>
    <m/>
    <s v="NM200801-140"/>
    <n v="1249.5"/>
    <n v="15216"/>
    <n v="16465.5"/>
    <n v="634"/>
    <m/>
    <m/>
    <m/>
    <x v="38"/>
    <x v="12"/>
    <m/>
    <m/>
    <s v="NUECES RIVER PROJECT"/>
    <s v="TR NR 9-2, NR 39-1, NR 47-4"/>
    <s v="NOTE:  TRACTS MAY HAVE A NPRI RESERVED"/>
    <m/>
    <m/>
  </r>
  <r>
    <m/>
    <x v="1"/>
    <x v="1"/>
    <m/>
    <m/>
    <x v="1"/>
    <m/>
    <x v="1"/>
    <x v="1"/>
    <m/>
    <m/>
    <m/>
    <m/>
    <n v="283230.5"/>
    <n v="885326"/>
    <n v="1168556.5"/>
    <m/>
    <m/>
    <m/>
    <m/>
    <x v="1"/>
    <x v="1"/>
    <m/>
    <m/>
    <m/>
    <m/>
    <m/>
    <m/>
    <m/>
  </r>
  <r>
    <m/>
    <x v="1"/>
    <x v="1"/>
    <m/>
    <m/>
    <x v="1"/>
    <m/>
    <x v="1"/>
    <x v="1"/>
    <m/>
    <m/>
    <m/>
    <s v="FROM BANK"/>
    <n v="-184000"/>
    <m/>
    <n v="-184000"/>
    <m/>
    <m/>
    <m/>
    <m/>
    <x v="1"/>
    <x v="1"/>
    <m/>
    <m/>
    <m/>
    <m/>
    <m/>
    <m/>
    <m/>
  </r>
  <r>
    <m/>
    <x v="1"/>
    <x v="1"/>
    <m/>
    <m/>
    <x v="1"/>
    <m/>
    <x v="1"/>
    <x v="1"/>
    <m/>
    <m/>
    <m/>
    <s v="CREDIT CARD"/>
    <n v="-99230.5"/>
    <m/>
    <n v="-99230.5"/>
    <m/>
    <m/>
    <m/>
    <m/>
    <x v="1"/>
    <x v="1"/>
    <m/>
    <m/>
    <m/>
    <m/>
    <m/>
    <m/>
    <m/>
  </r>
  <r>
    <m/>
    <x v="1"/>
    <x v="1"/>
    <m/>
    <m/>
    <x v="1"/>
    <m/>
    <x v="1"/>
    <x v="1"/>
    <m/>
    <m/>
    <m/>
    <s v="PD BY MPLP"/>
    <m/>
    <n v="-865215"/>
    <n v="-865215"/>
    <m/>
    <m/>
    <m/>
    <m/>
    <x v="1"/>
    <x v="1"/>
    <m/>
    <m/>
    <m/>
    <m/>
    <m/>
    <m/>
    <m/>
  </r>
  <r>
    <m/>
    <x v="1"/>
    <x v="1"/>
    <m/>
    <m/>
    <x v="1"/>
    <m/>
    <x v="1"/>
    <x v="1"/>
    <m/>
    <m/>
    <m/>
    <m/>
    <m/>
    <m/>
    <m/>
    <m/>
    <m/>
    <m/>
    <m/>
    <x v="1"/>
    <x v="1"/>
    <m/>
    <m/>
    <m/>
    <m/>
    <m/>
    <m/>
    <m/>
  </r>
  <r>
    <m/>
    <x v="1"/>
    <x v="1"/>
    <m/>
    <m/>
    <x v="1"/>
    <m/>
    <x v="1"/>
    <x v="1"/>
    <m/>
    <m/>
    <m/>
    <m/>
    <m/>
    <m/>
    <m/>
    <m/>
    <m/>
    <m/>
    <m/>
    <x v="1"/>
    <x v="1"/>
    <m/>
    <m/>
    <m/>
    <m/>
    <m/>
    <m/>
    <m/>
  </r>
  <r>
    <s v="NMNM120356"/>
    <x v="0"/>
    <x v="0"/>
    <d v="2008-04-16T00:00:00"/>
    <d v="2008-08-01T00:00:00"/>
    <x v="33"/>
    <n v="80"/>
    <x v="62"/>
    <x v="7"/>
    <n v="0"/>
    <m/>
    <m/>
    <s v="200804-015"/>
    <n v="420"/>
    <n v="13440"/>
    <n v="13860"/>
    <n v="160"/>
    <m/>
    <m/>
    <m/>
    <x v="1"/>
    <x v="12"/>
    <m/>
    <m/>
    <m/>
    <s v="T0140S,R0310E, NMPM MERIDIAN"/>
    <s v="SEC 8, W2NE"/>
    <m/>
    <m/>
  </r>
  <r>
    <s v="NMNM120358"/>
    <x v="0"/>
    <x v="0"/>
    <d v="2008-04-16T00:00:00"/>
    <d v="2008-08-01T00:00:00"/>
    <x v="33"/>
    <n v="480"/>
    <x v="63"/>
    <x v="7"/>
    <n v="0"/>
    <m/>
    <m/>
    <s v="200804-017"/>
    <n v="1820"/>
    <n v="123840"/>
    <n v="125660"/>
    <n v="960"/>
    <m/>
    <m/>
    <m/>
    <x v="63"/>
    <x v="12"/>
    <m/>
    <m/>
    <m/>
    <s v="T0120S,R0320E, NMPM MERIDIAN"/>
    <s v="SEC 21, NE; SEC 22, W2"/>
    <s v="YES "/>
    <s v="Instrument#50528 Book 1806 Page 325"/>
  </r>
  <r>
    <s v="NMNM120360"/>
    <x v="0"/>
    <x v="0"/>
    <d v="2008-04-16T00:00:00"/>
    <d v="2008-08-01T00:00:00"/>
    <x v="33"/>
    <n v="799.36"/>
    <x v="116"/>
    <x v="7"/>
    <n v="0"/>
    <m/>
    <m/>
    <s v="200804-019"/>
    <n v="2940"/>
    <n v="14400"/>
    <n v="17340"/>
    <n v="1600"/>
    <m/>
    <m/>
    <m/>
    <x v="1"/>
    <x v="12"/>
    <m/>
    <m/>
    <m/>
    <s v="T0080N,R0330E, NMPM MERIDIAN"/>
    <s v="SEC 7, NESE; SEC 8, W2SW,SESW,NESE; SEC 18, LOTS 2-3; SENW,NESW,N2SE,SESE; SEC 25, S2"/>
    <m/>
    <m/>
  </r>
  <r>
    <s v="NMNM120361"/>
    <x v="0"/>
    <x v="0"/>
    <d v="2008-04-16T00:00:00"/>
    <d v="2008-08-01T00:00:00"/>
    <x v="33"/>
    <n v="359.99"/>
    <x v="116"/>
    <x v="7"/>
    <n v="0"/>
    <m/>
    <m/>
    <s v="200804-020"/>
    <n v="1400"/>
    <n v="13680"/>
    <n v="15080"/>
    <n v="720"/>
    <m/>
    <m/>
    <m/>
    <x v="1"/>
    <x v="12"/>
    <m/>
    <m/>
    <m/>
    <s v="T0090N,R0330E, NMPM MERIDIAN"/>
    <s v="SEC 18, LOT 4; NWSE,SESE; SEC 19, LOT 3; SWNE; SEC 20, SWNW,E2SW,SWSE"/>
    <m/>
    <m/>
  </r>
  <r>
    <s v="NMNM120364"/>
    <x v="0"/>
    <x v="0"/>
    <d v="2008-04-16T00:00:00"/>
    <d v="2008-08-01T00:00:00"/>
    <x v="33"/>
    <n v="800"/>
    <x v="116"/>
    <x v="7"/>
    <n v="0"/>
    <m/>
    <m/>
    <s v="200804-023"/>
    <n v="2940"/>
    <n v="6400"/>
    <n v="9340"/>
    <n v="1600"/>
    <m/>
    <m/>
    <m/>
    <x v="1"/>
    <x v="12"/>
    <m/>
    <m/>
    <m/>
    <s v="T0090N,R0350E, NMPM MERIDIAN"/>
    <s v="SEC 9, E2SW; SEC 24, SW; SE  25, SWNE,SENW,SW; SEC34, E2NE,E2NW; SEC 35, SW"/>
    <m/>
    <m/>
  </r>
  <r>
    <s v="NMNM120366"/>
    <x v="0"/>
    <x v="0"/>
    <d v="2008-04-16T00:00:00"/>
    <d v="2008-08-01T00:00:00"/>
    <x v="33"/>
    <n v="320"/>
    <x v="63"/>
    <x v="7"/>
    <n v="0"/>
    <m/>
    <m/>
    <s v="200804-025"/>
    <n v="1260"/>
    <n v="50560"/>
    <n v="51820"/>
    <n v="640"/>
    <m/>
    <m/>
    <m/>
    <x v="63"/>
    <x v="12"/>
    <m/>
    <m/>
    <m/>
    <s v="T0100S,R0360E, NMPM MERIDIAN"/>
    <s v="SEC 20, W2"/>
    <s v="YES "/>
    <s v="Instrument#50529 Book 1806 Page 332"/>
  </r>
  <r>
    <s v="NMNM120367"/>
    <x v="0"/>
    <x v="0"/>
    <d v="2008-04-16T00:00:00"/>
    <d v="2008-08-01T00:00:00"/>
    <x v="33"/>
    <n v="50.68"/>
    <x v="63"/>
    <x v="7"/>
    <n v="0"/>
    <m/>
    <m/>
    <s v="200804-026"/>
    <n v="318.5"/>
    <n v="26418"/>
    <n v="26736.5"/>
    <n v="102"/>
    <m/>
    <m/>
    <m/>
    <x v="63"/>
    <x v="12"/>
    <m/>
    <m/>
    <m/>
    <s v="T0160S,R0360E, NMPM MERIDIAN"/>
    <s v="SEC 5, LOT 1"/>
    <s v="YES "/>
    <s v="Instrument#50530 Book 1806 Page 340"/>
  </r>
  <r>
    <s v="NMNM120368"/>
    <x v="0"/>
    <x v="0"/>
    <d v="2008-04-16T00:00:00"/>
    <d v="2008-08-01T00:00:00"/>
    <x v="33"/>
    <n v="640"/>
    <x v="47"/>
    <x v="7"/>
    <n v="0"/>
    <m/>
    <m/>
    <s v="200804-059"/>
    <n v="2380"/>
    <n v="17920"/>
    <n v="20300"/>
    <n v="1280"/>
    <m/>
    <m/>
    <m/>
    <x v="1"/>
    <x v="12"/>
    <m/>
    <m/>
    <m/>
    <s v="T0170N,R0050W, NMPM MERIDIAN"/>
    <s v="SEC 11, ALL"/>
    <m/>
    <m/>
  </r>
  <r>
    <s v="NMNM120369"/>
    <x v="0"/>
    <x v="0"/>
    <d v="2008-04-16T00:00:00"/>
    <d v="2008-08-01T00:00:00"/>
    <x v="33"/>
    <n v="480"/>
    <x v="47"/>
    <x v="7"/>
    <n v="0"/>
    <m/>
    <m/>
    <s v="200804-060"/>
    <n v="1820"/>
    <n v="13440"/>
    <n v="15260"/>
    <n v="960"/>
    <m/>
    <m/>
    <m/>
    <x v="1"/>
    <x v="12"/>
    <m/>
    <m/>
    <m/>
    <s v="T0170N,R0050W, NMPM MERIDIAN"/>
    <s v="SEC 13, N2,SE"/>
    <m/>
    <m/>
  </r>
  <r>
    <s v="NMNM120370"/>
    <x v="0"/>
    <x v="0"/>
    <d v="2008-04-16T00:00:00"/>
    <d v="2008-08-01T00:00:00"/>
    <x v="33"/>
    <n v="639.26"/>
    <x v="47"/>
    <x v="7"/>
    <n v="0"/>
    <m/>
    <m/>
    <s v="200804-061"/>
    <n v="2380"/>
    <n v="17920"/>
    <n v="20300"/>
    <n v="1280"/>
    <m/>
    <m/>
    <m/>
    <x v="1"/>
    <x v="12"/>
    <m/>
    <m/>
    <m/>
    <s v="T0200N,R0070W, NMPM MERIDIAN"/>
    <s v="SEC 1, LOTS 1-4; S2N2,S2"/>
    <m/>
    <m/>
  </r>
  <r>
    <s v="NMNM120371"/>
    <x v="0"/>
    <x v="0"/>
    <d v="2008-04-16T00:00:00"/>
    <d v="2008-08-01T00:00:00"/>
    <x v="33"/>
    <n v="1103.79"/>
    <x v="47"/>
    <x v="7"/>
    <n v="0"/>
    <m/>
    <m/>
    <s v="200804-062"/>
    <n v="4004"/>
    <n v="41952"/>
    <n v="45956"/>
    <n v="2208"/>
    <m/>
    <m/>
    <m/>
    <x v="1"/>
    <x v="12"/>
    <m/>
    <m/>
    <m/>
    <s v="T0200N,R0080W, NMPM MERIDIAN"/>
    <s v="SEC 13, TR 69; SEC 15, TR 73 ,77.78"/>
    <m/>
    <m/>
  </r>
  <r>
    <s v="NMNM120372"/>
    <x v="0"/>
    <x v="0"/>
    <d v="2008-04-16T00:00:00"/>
    <d v="2008-08-01T00:00:00"/>
    <x v="33"/>
    <n v="1442.01"/>
    <x v="47"/>
    <x v="7"/>
    <n v="0"/>
    <m/>
    <m/>
    <s v="200804-063"/>
    <n v="5190.5"/>
    <n v="54834"/>
    <n v="60024.5"/>
    <n v="2886"/>
    <m/>
    <m/>
    <m/>
    <x v="1"/>
    <x v="12"/>
    <m/>
    <m/>
    <m/>
    <s v="T0200N,R0080W, NMPM MERIDIAN"/>
    <s v="SEC 22, TR 92; SEC 23, TR 85; SEC 25, TR 95,96"/>
    <m/>
    <m/>
  </r>
  <r>
    <s v="NMNM120373"/>
    <x v="0"/>
    <x v="0"/>
    <d v="2008-04-16T00:00:00"/>
    <d v="2008-08-01T00:00:00"/>
    <x v="33"/>
    <n v="1914.21"/>
    <x v="47"/>
    <x v="7"/>
    <n v="0"/>
    <m/>
    <m/>
    <s v="200804-064"/>
    <n v="6842.5"/>
    <n v="53620"/>
    <n v="60462.5"/>
    <n v="3830"/>
    <m/>
    <m/>
    <m/>
    <x v="1"/>
    <x v="12"/>
    <m/>
    <m/>
    <m/>
    <s v="T0200N,R0080W, NMPM MERIDIAN"/>
    <s v="SEC 26, TR 97; SEC 27, TR 98,102; SEC 34, TR 105"/>
    <m/>
    <m/>
  </r>
  <r>
    <s v="NMNM120376"/>
    <x v="0"/>
    <x v="0"/>
    <d v="2008-04-16T00:00:00"/>
    <d v="2008-08-01T00:00:00"/>
    <x v="33"/>
    <n v="480"/>
    <x v="42"/>
    <x v="7"/>
    <n v="0"/>
    <m/>
    <m/>
    <s v="200804-067"/>
    <n v="1820"/>
    <n v="171840"/>
    <n v="173660"/>
    <n v="960"/>
    <m/>
    <m/>
    <m/>
    <x v="1"/>
    <x v="12"/>
    <m/>
    <m/>
    <m/>
    <s v="T0230N,R0080W, NMPM MERIDIAN"/>
    <s v="SEC 27, N2; SEC 34, SW"/>
    <m/>
    <m/>
  </r>
  <r>
    <s v="NMNM120377"/>
    <x v="0"/>
    <x v="0"/>
    <d v="2008-04-16T00:00:00"/>
    <d v="2008-08-01T00:00:00"/>
    <x v="33"/>
    <n v="643.12"/>
    <x v="42"/>
    <x v="7"/>
    <n v="0"/>
    <m/>
    <m/>
    <s v="200804-068"/>
    <n v="2394"/>
    <n v="185472"/>
    <n v="187866"/>
    <n v="1288"/>
    <m/>
    <m/>
    <m/>
    <x v="1"/>
    <x v="12"/>
    <m/>
    <m/>
    <m/>
    <s v="T0230N,R0080W, NMPM MERIDIAN"/>
    <s v="SEC 30, LOTS 1-4; NE,E2W2; SEC 31 SE"/>
    <m/>
    <m/>
  </r>
  <r>
    <s v="NMNM120379"/>
    <x v="0"/>
    <x v="0"/>
    <d v="2008-04-16T00:00:00"/>
    <d v="2008-08-01T00:00:00"/>
    <x v="33"/>
    <n v="960"/>
    <x v="42"/>
    <x v="7"/>
    <n v="0"/>
    <m/>
    <m/>
    <s v="200804-070"/>
    <n v="3500"/>
    <n v="36480"/>
    <n v="39980"/>
    <n v="1920"/>
    <m/>
    <m/>
    <m/>
    <x v="1"/>
    <x v="12"/>
    <m/>
    <m/>
    <m/>
    <s v="T0220N,R0100W, NMPM MERIDIAN"/>
    <s v="SEC 24, E2; SEC 25, ALL"/>
    <m/>
    <m/>
  </r>
  <r>
    <s v="OKNM120388"/>
    <x v="0"/>
    <x v="0"/>
    <d v="2008-04-16T00:00:00"/>
    <d v="2008-08-01T00:00:00"/>
    <x v="33"/>
    <n v="40"/>
    <x v="117"/>
    <x v="5"/>
    <n v="0"/>
    <m/>
    <m/>
    <s v="200804-086"/>
    <n v="280"/>
    <n v="37920"/>
    <n v="38200"/>
    <n v="60"/>
    <m/>
    <m/>
    <m/>
    <x v="64"/>
    <x v="12"/>
    <m/>
    <m/>
    <m/>
    <s v="T0290N,R0160W, IM MERIDIAN"/>
    <s v="SEC 34, NWSW"/>
    <m/>
    <m/>
  </r>
  <r>
    <s v="OKNM120389"/>
    <x v="0"/>
    <x v="0"/>
    <d v="2008-04-16T00:00:00"/>
    <d v="2008-08-01T00:00:00"/>
    <x v="33"/>
    <n v="51.88"/>
    <x v="118"/>
    <x v="5"/>
    <n v="0"/>
    <m/>
    <m/>
    <s v="200804-087"/>
    <n v="322"/>
    <n v="9256"/>
    <n v="9578"/>
    <n v="104"/>
    <m/>
    <m/>
    <m/>
    <x v="1"/>
    <x v="12"/>
    <m/>
    <m/>
    <m/>
    <s v="T0170N,R0230W,IM MERIDIAN"/>
    <s v="SEC 12 , SEE LEASE FOR DETAILS"/>
    <m/>
    <m/>
  </r>
  <r>
    <s v="OKNM120390"/>
    <x v="0"/>
    <x v="0"/>
    <d v="2008-04-16T00:00:00"/>
    <d v="2008-08-01T00:00:00"/>
    <x v="33"/>
    <n v="1230"/>
    <x v="101"/>
    <x v="5"/>
    <n v="0"/>
    <m/>
    <m/>
    <s v="200804-088"/>
    <n v="4445"/>
    <n v="2460"/>
    <n v="6905"/>
    <n v="2460"/>
    <m/>
    <m/>
    <m/>
    <x v="1"/>
    <x v="12"/>
    <m/>
    <m/>
    <s v="U S OWNS 50% MINERALS IN CERTAIN LANDS"/>
    <s v="T0030N,R0260E, IM MERIDIAN"/>
    <s v="SEE LEASE FOR DESCRIPTION OF TRACTS"/>
    <m/>
    <m/>
  </r>
  <r>
    <s v="OKNM120391"/>
    <x v="0"/>
    <x v="0"/>
    <d v="2008-04-16T00:00:00"/>
    <d v="2008-08-01T00:00:00"/>
    <x v="33"/>
    <n v="1720.11"/>
    <x v="101"/>
    <x v="5"/>
    <n v="0"/>
    <m/>
    <m/>
    <s v="200804-089"/>
    <n v="6163.5"/>
    <n v="3442"/>
    <n v="9605.5"/>
    <n v="3442"/>
    <m/>
    <m/>
    <m/>
    <x v="1"/>
    <x v="12"/>
    <m/>
    <m/>
    <s v="U S OWNS 50% MINERALS IN CERTAIN LANDS"/>
    <s v="T0030N,R0260E, IM MERIDIAN"/>
    <s v="SEE LEASE FOR DESCRIPTION OF TRACTS"/>
    <m/>
    <m/>
  </r>
  <r>
    <s v="OKNM120392"/>
    <x v="0"/>
    <x v="0"/>
    <d v="2008-04-16T00:00:00"/>
    <d v="2008-08-01T00:00:00"/>
    <x v="33"/>
    <n v="913.18"/>
    <x v="101"/>
    <x v="5"/>
    <n v="0"/>
    <m/>
    <m/>
    <s v="200804-090"/>
    <n v="3339"/>
    <n v="1828"/>
    <n v="5167"/>
    <n v="1828"/>
    <m/>
    <m/>
    <m/>
    <x v="1"/>
    <x v="12"/>
    <m/>
    <m/>
    <m/>
    <s v="T0010N,R0270E, IM MERIDIAN"/>
    <s v="SEC 4, LOTS 1-2; S2NE; SEC 5, LOTS 1-2; S2NE; SEC 8, S2; SEC 9, S2NE; SEC 10, LOTS 1-4 "/>
    <m/>
    <m/>
  </r>
  <r>
    <s v="OKNM120393"/>
    <x v="0"/>
    <x v="0"/>
    <d v="2008-04-16T00:00:00"/>
    <d v="2008-08-01T00:00:00"/>
    <x v="33"/>
    <n v="1558.88"/>
    <x v="101"/>
    <x v="5"/>
    <n v="0"/>
    <m/>
    <m/>
    <s v="200804-091"/>
    <n v="5596.5"/>
    <n v="0"/>
    <n v="5596.5"/>
    <n v="3118"/>
    <m/>
    <m/>
    <m/>
    <x v="1"/>
    <x v="12"/>
    <m/>
    <m/>
    <s v="U S OWNS 50% MINERALS IN CERTAIN LANDS"/>
    <s v="T0010N,R0270E, IM MERIDIAN"/>
    <s v="SEE LEASE FOR DESCRIPTION OF TRACTS"/>
    <m/>
    <m/>
  </r>
  <r>
    <s v="OKNM120394"/>
    <x v="0"/>
    <x v="0"/>
    <d v="2008-04-16T00:00:00"/>
    <d v="2008-08-01T00:00:00"/>
    <x v="33"/>
    <n v="1817.87"/>
    <x v="101"/>
    <x v="5"/>
    <n v="0"/>
    <m/>
    <m/>
    <s v="200804-092"/>
    <n v="6503"/>
    <n v="0"/>
    <n v="6503"/>
    <n v="3636"/>
    <m/>
    <m/>
    <m/>
    <x v="1"/>
    <x v="12"/>
    <m/>
    <m/>
    <s v="U S OWNS 50% MINERALS IN CERTAIN LANDS"/>
    <s v="T0010N,R0270E, IM MERIDIAN"/>
    <s v="SEE LEASE FOR DESCRIPTION OF TRACTS"/>
    <m/>
    <m/>
  </r>
  <r>
    <s v="TXNM120399"/>
    <x v="0"/>
    <x v="0"/>
    <d v="2008-04-16T00:00:00"/>
    <d v="2008-08-01T00:00:00"/>
    <x v="33"/>
    <n v="122"/>
    <x v="58"/>
    <x v="0"/>
    <n v="0"/>
    <m/>
    <m/>
    <s v="200804-097"/>
    <n v="567"/>
    <n v="26596"/>
    <n v="27163"/>
    <n v="244"/>
    <m/>
    <m/>
    <m/>
    <x v="1"/>
    <x v="12"/>
    <m/>
    <m/>
    <s v="SABINE NATIONAL FOREST"/>
    <s v="SEE LEASE FOR DETAILS"/>
    <m/>
    <s v="YES"/>
    <m/>
  </r>
  <r>
    <s v="TXNM120400"/>
    <x v="0"/>
    <x v="0"/>
    <d v="2008-04-16T00:00:00"/>
    <d v="2008-08-01T00:00:00"/>
    <x v="33"/>
    <n v="142"/>
    <x v="58"/>
    <x v="0"/>
    <n v="0"/>
    <m/>
    <m/>
    <s v="200804-098"/>
    <n v="637"/>
    <n v="29536"/>
    <n v="30173"/>
    <n v="284"/>
    <m/>
    <m/>
    <m/>
    <x v="1"/>
    <x v="12"/>
    <m/>
    <m/>
    <s v="SABINE NATIONAL FOREST"/>
    <s v="TR S-2N; SEE LSE ATTACHMENT "/>
    <m/>
    <s v="YES"/>
    <m/>
  </r>
  <r>
    <s v="TXNM120401"/>
    <x v="0"/>
    <x v="0"/>
    <d v="2008-04-16T00:00:00"/>
    <d v="2008-08-01T00:00:00"/>
    <x v="33"/>
    <n v="547"/>
    <x v="58"/>
    <x v="0"/>
    <n v="0"/>
    <m/>
    <m/>
    <s v="200804-099"/>
    <n v="2054.5"/>
    <n v="124716"/>
    <n v="126770.5"/>
    <n v="1094"/>
    <m/>
    <m/>
    <m/>
    <x v="1"/>
    <x v="12"/>
    <m/>
    <m/>
    <s v="SABINE NATIONAL FOREST"/>
    <s v="TR S-2K-VIII; ; SEE LSE ATTACHMENT "/>
    <m/>
    <s v="YES"/>
    <m/>
  </r>
  <r>
    <m/>
    <x v="1"/>
    <x v="1"/>
    <m/>
    <m/>
    <x v="1"/>
    <m/>
    <x v="1"/>
    <x v="1"/>
    <m/>
    <m/>
    <m/>
    <m/>
    <n v="71337"/>
    <n v="1077970"/>
    <n v="1149307"/>
    <m/>
    <m/>
    <m/>
    <m/>
    <x v="1"/>
    <x v="1"/>
    <m/>
    <m/>
    <m/>
    <m/>
    <m/>
    <m/>
    <m/>
  </r>
  <r>
    <m/>
    <x v="1"/>
    <x v="1"/>
    <m/>
    <m/>
    <x v="1"/>
    <m/>
    <x v="1"/>
    <x v="1"/>
    <m/>
    <m/>
    <m/>
    <s v="CREDIT CARD"/>
    <n v="-71337"/>
    <n v="-28000"/>
    <n v="-99337"/>
    <m/>
    <m/>
    <m/>
    <m/>
    <x v="1"/>
    <x v="1"/>
    <m/>
    <m/>
    <m/>
    <m/>
    <m/>
    <m/>
    <m/>
  </r>
  <r>
    <m/>
    <x v="1"/>
    <x v="1"/>
    <m/>
    <m/>
    <x v="1"/>
    <m/>
    <x v="1"/>
    <x v="1"/>
    <m/>
    <m/>
    <m/>
    <s v="CK DE 1100-1190"/>
    <m/>
    <n v="-1049970"/>
    <n v="-1049970"/>
    <m/>
    <m/>
    <m/>
    <m/>
    <x v="1"/>
    <x v="1"/>
    <m/>
    <m/>
    <m/>
    <m/>
    <m/>
    <m/>
    <m/>
  </r>
  <r>
    <m/>
    <x v="1"/>
    <x v="1"/>
    <m/>
    <m/>
    <x v="1"/>
    <m/>
    <x v="1"/>
    <x v="1"/>
    <m/>
    <m/>
    <m/>
    <m/>
    <m/>
    <m/>
    <m/>
    <m/>
    <m/>
    <m/>
    <m/>
    <x v="1"/>
    <x v="1"/>
    <m/>
    <m/>
    <m/>
    <m/>
    <m/>
    <m/>
    <m/>
  </r>
  <r>
    <s v="ARES53220"/>
    <x v="0"/>
    <x v="0"/>
    <d v="2008-04-24T00:00:00"/>
    <m/>
    <x v="1"/>
    <m/>
    <x v="1"/>
    <x v="1"/>
    <m/>
    <m/>
    <m/>
    <m/>
    <m/>
    <m/>
    <m/>
    <m/>
    <m/>
    <m/>
    <m/>
    <x v="65"/>
    <x v="1"/>
    <m/>
    <m/>
    <m/>
    <m/>
    <m/>
    <m/>
    <m/>
  </r>
  <r>
    <s v="ARES55231"/>
    <x v="0"/>
    <x v="0"/>
    <d v="2008-04-24T00:00:00"/>
    <m/>
    <x v="1"/>
    <m/>
    <x v="1"/>
    <x v="1"/>
    <m/>
    <m/>
    <m/>
    <m/>
    <m/>
    <m/>
    <m/>
    <m/>
    <m/>
    <m/>
    <m/>
    <x v="66"/>
    <x v="1"/>
    <m/>
    <m/>
    <m/>
    <m/>
    <m/>
    <m/>
    <m/>
  </r>
  <r>
    <s v="ARES55232"/>
    <x v="0"/>
    <x v="0"/>
    <d v="2008-04-24T00:00:00"/>
    <m/>
    <x v="1"/>
    <m/>
    <x v="1"/>
    <x v="1"/>
    <m/>
    <m/>
    <m/>
    <m/>
    <m/>
    <m/>
    <m/>
    <m/>
    <m/>
    <m/>
    <m/>
    <x v="67"/>
    <x v="1"/>
    <m/>
    <m/>
    <m/>
    <m/>
    <m/>
    <m/>
    <m/>
  </r>
  <r>
    <s v="LAES55245"/>
    <x v="0"/>
    <x v="0"/>
    <d v="2008-04-24T00:00:00"/>
    <m/>
    <x v="1"/>
    <m/>
    <x v="1"/>
    <x v="1"/>
    <m/>
    <m/>
    <m/>
    <m/>
    <m/>
    <m/>
    <m/>
    <m/>
    <m/>
    <m/>
    <m/>
    <x v="68"/>
    <x v="1"/>
    <m/>
    <m/>
    <m/>
    <m/>
    <m/>
    <m/>
    <m/>
  </r>
  <r>
    <s v="MIES55247"/>
    <x v="0"/>
    <x v="0"/>
    <d v="2008-04-24T00:00:00"/>
    <m/>
    <x v="1"/>
    <m/>
    <x v="1"/>
    <x v="1"/>
    <m/>
    <m/>
    <m/>
    <m/>
    <m/>
    <m/>
    <m/>
    <m/>
    <m/>
    <m/>
    <m/>
    <x v="69"/>
    <x v="1"/>
    <m/>
    <m/>
    <m/>
    <m/>
    <m/>
    <m/>
    <m/>
  </r>
  <r>
    <s v="MIES55248"/>
    <x v="0"/>
    <x v="0"/>
    <d v="2008-04-24T00:00:00"/>
    <m/>
    <x v="1"/>
    <m/>
    <x v="1"/>
    <x v="1"/>
    <m/>
    <m/>
    <m/>
    <m/>
    <m/>
    <m/>
    <m/>
    <m/>
    <m/>
    <m/>
    <m/>
    <x v="70"/>
    <x v="1"/>
    <m/>
    <m/>
    <m/>
    <m/>
    <m/>
    <m/>
    <m/>
  </r>
  <r>
    <s v="MIES55249"/>
    <x v="0"/>
    <x v="0"/>
    <d v="2008-04-24T00:00:00"/>
    <m/>
    <x v="1"/>
    <m/>
    <x v="1"/>
    <x v="1"/>
    <m/>
    <m/>
    <m/>
    <m/>
    <m/>
    <m/>
    <m/>
    <m/>
    <m/>
    <m/>
    <m/>
    <x v="1"/>
    <x v="1"/>
    <m/>
    <m/>
    <m/>
    <m/>
    <m/>
    <m/>
    <m/>
  </r>
  <r>
    <s v="MIES55250"/>
    <x v="0"/>
    <x v="0"/>
    <d v="2008-04-24T00:00:00"/>
    <m/>
    <x v="1"/>
    <m/>
    <x v="1"/>
    <x v="1"/>
    <m/>
    <m/>
    <m/>
    <m/>
    <m/>
    <m/>
    <m/>
    <m/>
    <m/>
    <m/>
    <m/>
    <x v="1"/>
    <x v="1"/>
    <m/>
    <m/>
    <m/>
    <m/>
    <m/>
    <m/>
    <m/>
  </r>
  <r>
    <s v="MIES55251"/>
    <x v="0"/>
    <x v="0"/>
    <d v="2008-04-24T00:00:00"/>
    <m/>
    <x v="1"/>
    <m/>
    <x v="1"/>
    <x v="1"/>
    <m/>
    <m/>
    <m/>
    <m/>
    <m/>
    <m/>
    <m/>
    <m/>
    <m/>
    <m/>
    <m/>
    <x v="1"/>
    <x v="1"/>
    <m/>
    <m/>
    <m/>
    <m/>
    <m/>
    <m/>
    <m/>
  </r>
  <r>
    <s v="MIES55253"/>
    <x v="0"/>
    <x v="0"/>
    <d v="2008-04-24T00:00:00"/>
    <m/>
    <x v="1"/>
    <m/>
    <x v="1"/>
    <x v="1"/>
    <m/>
    <m/>
    <m/>
    <m/>
    <m/>
    <m/>
    <m/>
    <m/>
    <m/>
    <m/>
    <m/>
    <x v="1"/>
    <x v="1"/>
    <m/>
    <m/>
    <m/>
    <m/>
    <m/>
    <m/>
    <m/>
  </r>
  <r>
    <s v="MIES55254"/>
    <x v="0"/>
    <x v="0"/>
    <d v="2008-04-24T00:00:00"/>
    <m/>
    <x v="1"/>
    <m/>
    <x v="1"/>
    <x v="1"/>
    <m/>
    <m/>
    <m/>
    <m/>
    <m/>
    <m/>
    <m/>
    <m/>
    <m/>
    <m/>
    <m/>
    <x v="1"/>
    <x v="1"/>
    <m/>
    <m/>
    <m/>
    <m/>
    <m/>
    <m/>
    <m/>
  </r>
  <r>
    <s v="MIES55255"/>
    <x v="0"/>
    <x v="0"/>
    <d v="2008-04-24T00:00:00"/>
    <m/>
    <x v="1"/>
    <m/>
    <x v="1"/>
    <x v="1"/>
    <m/>
    <m/>
    <m/>
    <m/>
    <m/>
    <m/>
    <m/>
    <m/>
    <m/>
    <m/>
    <m/>
    <x v="1"/>
    <x v="1"/>
    <m/>
    <m/>
    <m/>
    <m/>
    <m/>
    <m/>
    <m/>
  </r>
  <r>
    <s v="MIES55256"/>
    <x v="0"/>
    <x v="0"/>
    <d v="2008-04-24T00:00:00"/>
    <m/>
    <x v="1"/>
    <m/>
    <x v="1"/>
    <x v="1"/>
    <m/>
    <m/>
    <m/>
    <m/>
    <m/>
    <m/>
    <m/>
    <m/>
    <m/>
    <m/>
    <m/>
    <x v="1"/>
    <x v="1"/>
    <m/>
    <m/>
    <m/>
    <m/>
    <m/>
    <m/>
    <m/>
  </r>
  <r>
    <s v="MIES55257"/>
    <x v="0"/>
    <x v="0"/>
    <d v="2008-04-24T00:00:00"/>
    <m/>
    <x v="1"/>
    <m/>
    <x v="1"/>
    <x v="1"/>
    <m/>
    <m/>
    <m/>
    <m/>
    <m/>
    <m/>
    <m/>
    <m/>
    <m/>
    <m/>
    <m/>
    <x v="1"/>
    <x v="1"/>
    <m/>
    <m/>
    <m/>
    <m/>
    <m/>
    <m/>
    <m/>
  </r>
  <r>
    <s v="MIES55258"/>
    <x v="0"/>
    <x v="0"/>
    <d v="2008-04-24T00:00:00"/>
    <m/>
    <x v="1"/>
    <m/>
    <x v="1"/>
    <x v="1"/>
    <m/>
    <m/>
    <m/>
    <m/>
    <m/>
    <m/>
    <m/>
    <m/>
    <m/>
    <m/>
    <m/>
    <x v="1"/>
    <x v="1"/>
    <m/>
    <m/>
    <m/>
    <m/>
    <m/>
    <m/>
    <m/>
  </r>
  <r>
    <s v="MIES55259"/>
    <x v="0"/>
    <x v="0"/>
    <d v="2008-04-24T00:00:00"/>
    <m/>
    <x v="1"/>
    <m/>
    <x v="1"/>
    <x v="1"/>
    <m/>
    <m/>
    <m/>
    <m/>
    <m/>
    <m/>
    <m/>
    <m/>
    <m/>
    <m/>
    <m/>
    <x v="1"/>
    <x v="1"/>
    <m/>
    <m/>
    <m/>
    <m/>
    <m/>
    <m/>
    <m/>
  </r>
  <r>
    <s v="MIES55260"/>
    <x v="0"/>
    <x v="0"/>
    <d v="2008-04-24T00:00:00"/>
    <m/>
    <x v="1"/>
    <m/>
    <x v="1"/>
    <x v="1"/>
    <m/>
    <m/>
    <m/>
    <m/>
    <m/>
    <m/>
    <m/>
    <m/>
    <m/>
    <m/>
    <m/>
    <x v="1"/>
    <x v="1"/>
    <m/>
    <m/>
    <m/>
    <m/>
    <m/>
    <m/>
    <m/>
  </r>
  <r>
    <s v="MIES55261"/>
    <x v="0"/>
    <x v="0"/>
    <d v="2008-04-24T00:00:00"/>
    <m/>
    <x v="1"/>
    <m/>
    <x v="1"/>
    <x v="1"/>
    <m/>
    <m/>
    <m/>
    <m/>
    <m/>
    <m/>
    <m/>
    <m/>
    <m/>
    <m/>
    <m/>
    <x v="1"/>
    <x v="1"/>
    <m/>
    <m/>
    <m/>
    <m/>
    <m/>
    <m/>
    <m/>
  </r>
  <r>
    <s v="MIES55262"/>
    <x v="0"/>
    <x v="0"/>
    <d v="2008-04-24T00:00:00"/>
    <m/>
    <x v="1"/>
    <m/>
    <x v="1"/>
    <x v="1"/>
    <m/>
    <m/>
    <m/>
    <m/>
    <m/>
    <m/>
    <m/>
    <m/>
    <m/>
    <m/>
    <m/>
    <x v="1"/>
    <x v="1"/>
    <m/>
    <m/>
    <m/>
    <m/>
    <m/>
    <m/>
    <m/>
  </r>
  <r>
    <s v="MIES55263"/>
    <x v="0"/>
    <x v="0"/>
    <d v="2008-04-24T00:00:00"/>
    <m/>
    <x v="1"/>
    <m/>
    <x v="1"/>
    <x v="1"/>
    <m/>
    <m/>
    <m/>
    <m/>
    <m/>
    <m/>
    <m/>
    <m/>
    <m/>
    <m/>
    <m/>
    <x v="1"/>
    <x v="1"/>
    <m/>
    <m/>
    <m/>
    <m/>
    <m/>
    <m/>
    <m/>
  </r>
  <r>
    <s v="MIES55264"/>
    <x v="0"/>
    <x v="0"/>
    <d v="2008-04-24T00:00:00"/>
    <m/>
    <x v="1"/>
    <m/>
    <x v="1"/>
    <x v="1"/>
    <m/>
    <m/>
    <m/>
    <m/>
    <m/>
    <m/>
    <m/>
    <m/>
    <m/>
    <m/>
    <m/>
    <x v="1"/>
    <x v="1"/>
    <m/>
    <m/>
    <m/>
    <m/>
    <m/>
    <m/>
    <m/>
  </r>
  <r>
    <s v="MIES55266"/>
    <x v="0"/>
    <x v="0"/>
    <d v="2008-04-24T00:00:00"/>
    <m/>
    <x v="1"/>
    <m/>
    <x v="1"/>
    <x v="1"/>
    <m/>
    <m/>
    <m/>
    <m/>
    <m/>
    <m/>
    <m/>
    <m/>
    <m/>
    <m/>
    <m/>
    <x v="1"/>
    <x v="1"/>
    <m/>
    <m/>
    <m/>
    <m/>
    <m/>
    <m/>
    <m/>
  </r>
  <r>
    <s v="MIES55267"/>
    <x v="0"/>
    <x v="0"/>
    <d v="2008-04-24T00:00:00"/>
    <m/>
    <x v="1"/>
    <m/>
    <x v="1"/>
    <x v="1"/>
    <m/>
    <m/>
    <m/>
    <m/>
    <m/>
    <m/>
    <m/>
    <m/>
    <m/>
    <m/>
    <m/>
    <x v="1"/>
    <x v="1"/>
    <m/>
    <m/>
    <m/>
    <m/>
    <m/>
    <m/>
    <m/>
  </r>
  <r>
    <s v="MIES55268"/>
    <x v="0"/>
    <x v="0"/>
    <d v="2008-04-24T00:00:00"/>
    <m/>
    <x v="1"/>
    <m/>
    <x v="1"/>
    <x v="1"/>
    <m/>
    <m/>
    <m/>
    <m/>
    <m/>
    <m/>
    <m/>
    <m/>
    <m/>
    <m/>
    <m/>
    <x v="1"/>
    <x v="1"/>
    <m/>
    <m/>
    <m/>
    <m/>
    <m/>
    <m/>
    <m/>
  </r>
  <r>
    <s v="MIES55269"/>
    <x v="0"/>
    <x v="0"/>
    <d v="2008-04-24T00:00:00"/>
    <m/>
    <x v="1"/>
    <m/>
    <x v="1"/>
    <x v="1"/>
    <m/>
    <m/>
    <m/>
    <m/>
    <m/>
    <m/>
    <m/>
    <m/>
    <m/>
    <m/>
    <m/>
    <x v="1"/>
    <x v="1"/>
    <m/>
    <m/>
    <m/>
    <m/>
    <m/>
    <m/>
    <m/>
  </r>
  <r>
    <s v="MIES55270"/>
    <x v="0"/>
    <x v="0"/>
    <d v="2008-04-24T00:00:00"/>
    <m/>
    <x v="1"/>
    <m/>
    <x v="1"/>
    <x v="1"/>
    <m/>
    <m/>
    <m/>
    <m/>
    <m/>
    <m/>
    <m/>
    <m/>
    <m/>
    <m/>
    <m/>
    <x v="1"/>
    <x v="1"/>
    <m/>
    <m/>
    <m/>
    <m/>
    <m/>
    <m/>
    <m/>
  </r>
  <r>
    <s v="MIES55272"/>
    <x v="0"/>
    <x v="0"/>
    <d v="2008-04-24T00:00:00"/>
    <m/>
    <x v="1"/>
    <m/>
    <x v="1"/>
    <x v="1"/>
    <m/>
    <m/>
    <m/>
    <m/>
    <m/>
    <m/>
    <m/>
    <m/>
    <m/>
    <m/>
    <m/>
    <x v="1"/>
    <x v="1"/>
    <m/>
    <m/>
    <m/>
    <m/>
    <m/>
    <m/>
    <m/>
  </r>
  <r>
    <s v="MIES55273"/>
    <x v="0"/>
    <x v="0"/>
    <d v="2008-04-24T00:00:00"/>
    <m/>
    <x v="1"/>
    <m/>
    <x v="1"/>
    <x v="1"/>
    <m/>
    <m/>
    <m/>
    <m/>
    <m/>
    <m/>
    <m/>
    <m/>
    <m/>
    <m/>
    <m/>
    <x v="1"/>
    <x v="1"/>
    <m/>
    <m/>
    <m/>
    <m/>
    <m/>
    <m/>
    <m/>
  </r>
  <r>
    <s v="MIES55274"/>
    <x v="0"/>
    <x v="0"/>
    <d v="2008-04-24T00:00:00"/>
    <m/>
    <x v="1"/>
    <m/>
    <x v="1"/>
    <x v="1"/>
    <m/>
    <m/>
    <m/>
    <m/>
    <m/>
    <m/>
    <m/>
    <m/>
    <m/>
    <m/>
    <m/>
    <x v="1"/>
    <x v="1"/>
    <m/>
    <m/>
    <m/>
    <m/>
    <m/>
    <m/>
    <m/>
  </r>
  <r>
    <s v="MIES55275"/>
    <x v="0"/>
    <x v="0"/>
    <d v="2008-04-24T00:00:00"/>
    <m/>
    <x v="1"/>
    <m/>
    <x v="1"/>
    <x v="1"/>
    <m/>
    <m/>
    <m/>
    <m/>
    <m/>
    <m/>
    <m/>
    <m/>
    <m/>
    <m/>
    <m/>
    <x v="1"/>
    <x v="1"/>
    <m/>
    <m/>
    <m/>
    <m/>
    <m/>
    <m/>
    <m/>
  </r>
  <r>
    <s v="MIES55277"/>
    <x v="0"/>
    <x v="0"/>
    <d v="2008-04-24T00:00:00"/>
    <m/>
    <x v="1"/>
    <m/>
    <x v="1"/>
    <x v="1"/>
    <m/>
    <m/>
    <m/>
    <m/>
    <m/>
    <m/>
    <m/>
    <m/>
    <m/>
    <m/>
    <m/>
    <x v="1"/>
    <x v="1"/>
    <m/>
    <m/>
    <m/>
    <m/>
    <m/>
    <m/>
    <m/>
  </r>
  <r>
    <s v="WVES55281"/>
    <x v="0"/>
    <x v="0"/>
    <d v="2008-04-24T00:00:00"/>
    <m/>
    <x v="1"/>
    <m/>
    <x v="1"/>
    <x v="1"/>
    <m/>
    <m/>
    <m/>
    <m/>
    <m/>
    <m/>
    <m/>
    <m/>
    <m/>
    <m/>
    <m/>
    <x v="1"/>
    <x v="1"/>
    <m/>
    <m/>
    <m/>
    <m/>
    <m/>
    <m/>
    <m/>
  </r>
  <r>
    <m/>
    <x v="1"/>
    <x v="1"/>
    <m/>
    <m/>
    <x v="1"/>
    <m/>
    <x v="1"/>
    <x v="1"/>
    <m/>
    <m/>
    <m/>
    <m/>
    <m/>
    <m/>
    <m/>
    <m/>
    <m/>
    <m/>
    <m/>
    <x v="1"/>
    <x v="1"/>
    <m/>
    <m/>
    <m/>
    <m/>
    <m/>
    <m/>
    <m/>
  </r>
  <r>
    <s v="ALES55311"/>
    <x v="2"/>
    <x v="0"/>
    <d v="2008-06-19T00:00:00"/>
    <d v="2008-09-01T00:00:00"/>
    <x v="34"/>
    <n v="550.48"/>
    <x v="105"/>
    <x v="6"/>
    <n v="0"/>
    <m/>
    <m/>
    <m/>
    <n v="2068.5"/>
    <n v="2204"/>
    <n v="4272.5"/>
    <n v="826.5"/>
    <m/>
    <m/>
    <m/>
    <x v="59"/>
    <x v="12"/>
    <m/>
    <m/>
    <s v="Conecuh National Forest"/>
    <s v="T2N R13E St. Stephens Meridian"/>
    <s v="Sec. 22, NWNENE, S2NENE, SENE, W2NE, E2NW, S2; Subject to F.S. Notice to Lessee No. 3 and No. 4"/>
    <m/>
    <m/>
  </r>
  <r>
    <s v="ARES55315"/>
    <x v="2"/>
    <x v="0"/>
    <d v="2008-06-19T00:00:00"/>
    <d v="2008-09-01T00:00:00"/>
    <x v="34"/>
    <n v="401.13"/>
    <x v="51"/>
    <x v="2"/>
    <n v="0"/>
    <m/>
    <m/>
    <m/>
    <n v="1547"/>
    <m/>
    <n v="1547"/>
    <n v="603"/>
    <m/>
    <m/>
    <m/>
    <x v="1"/>
    <x v="12"/>
    <m/>
    <m/>
    <s v="Ozark National Forest"/>
    <s v="T12N, R33W, 5th Principal Meridian"/>
    <s v="Sec. 1, NENE, E2NW, SWSW, S2SE; Sec. 2, SENE, S2SE; Subject to F.S. Controlled Surface Use Stipulations #1, #1A and #1B"/>
    <m/>
    <m/>
  </r>
  <r>
    <s v="ARES55316"/>
    <x v="2"/>
    <x v="0"/>
    <d v="2008-06-19T00:00:00"/>
    <d v="2008-09-01T00:00:00"/>
    <x v="34"/>
    <n v="590.54"/>
    <x v="51"/>
    <x v="2"/>
    <n v="0"/>
    <m/>
    <m/>
    <m/>
    <n v="2208.5"/>
    <m/>
    <n v="2208.5"/>
    <n v="886.5"/>
    <m/>
    <m/>
    <m/>
    <x v="1"/>
    <x v="12"/>
    <m/>
    <m/>
    <s v="Ozark National Forest"/>
    <s v="T12N, R33W, 5th Principal Meridian"/>
    <s v="Sec, 10, SENE, Frl. SE; Sec. 11, N2NE, SENE, NENW, S2NW, NESW, NESE, W2SE; Subject to F.S. Controlled Surface Use Stipulations #1, #1A and #1B"/>
    <m/>
    <m/>
  </r>
  <r>
    <s v="ARES55317"/>
    <x v="2"/>
    <x v="0"/>
    <d v="2008-06-19T00:00:00"/>
    <d v="2008-09-01T00:00:00"/>
    <x v="34"/>
    <n v="560"/>
    <x v="51"/>
    <x v="2"/>
    <n v="0"/>
    <m/>
    <m/>
    <m/>
    <n v="2100"/>
    <m/>
    <n v="2100"/>
    <n v="840"/>
    <m/>
    <m/>
    <m/>
    <x v="1"/>
    <x v="12"/>
    <m/>
    <m/>
    <s v="Ozark National Forest"/>
    <s v="T12N, R33W, 5th Principal Meridian"/>
    <s v="Sec. 12, NE, NENW, S2NW, SW, N2SE, SESE; Subject to Controlled Surface Use Stipulation #1"/>
    <m/>
    <m/>
  </r>
  <r>
    <s v="ARES55318"/>
    <x v="2"/>
    <x v="0"/>
    <d v="2008-06-19T00:00:00"/>
    <d v="2008-09-01T00:00:00"/>
    <x v="34"/>
    <n v="520"/>
    <x v="51"/>
    <x v="2"/>
    <n v="0"/>
    <m/>
    <m/>
    <m/>
    <n v="1960"/>
    <m/>
    <n v="1960"/>
    <n v="780"/>
    <m/>
    <m/>
    <m/>
    <x v="1"/>
    <x v="12"/>
    <m/>
    <m/>
    <s v="Ozark National Forest"/>
    <s v="T12N, R33W, 5th Principal Meridian"/>
    <s v="Sec. 13, N2, SW, NWSE; Subject to F.S. Controlled Surface Use Stipulations #1 and #1A"/>
    <m/>
    <m/>
  </r>
  <r>
    <s v="ARES55319"/>
    <x v="2"/>
    <x v="0"/>
    <d v="2008-06-19T00:00:00"/>
    <d v="2008-09-01T00:00:00"/>
    <x v="34"/>
    <n v="524"/>
    <x v="51"/>
    <x v="2"/>
    <n v="0"/>
    <m/>
    <m/>
    <m/>
    <n v="1974"/>
    <m/>
    <n v="1974"/>
    <n v="786"/>
    <m/>
    <m/>
    <m/>
    <x v="1"/>
    <x v="12"/>
    <m/>
    <m/>
    <s v="Ozark National Forest"/>
    <s v="T12N, R33W, 5th Principal Meridian"/>
    <s v="Sec. 14, E2, E2SW; Sec. 15, Frl. N2; Subject to F.S. Controlled Surface Use Stipulations #1 and #1A"/>
    <m/>
    <m/>
  </r>
  <r>
    <s v="ARES55320"/>
    <x v="2"/>
    <x v="0"/>
    <d v="2008-06-19T00:00:00"/>
    <d v="2008-09-01T00:00:00"/>
    <x v="34"/>
    <n v="640"/>
    <x v="51"/>
    <x v="2"/>
    <n v="0"/>
    <m/>
    <m/>
    <m/>
    <n v="2380"/>
    <m/>
    <n v="2380"/>
    <n v="960"/>
    <m/>
    <m/>
    <m/>
    <x v="1"/>
    <x v="12"/>
    <m/>
    <m/>
    <s v="Ozark National Forest"/>
    <s v="T12N, R33W, 5th Principal Meridian"/>
    <s v="Sec. 23, All; Subject to F.S. Controlled Surface Use Stipulations #1 and #1A"/>
    <m/>
    <m/>
  </r>
  <r>
    <s v="ARES55321"/>
    <x v="2"/>
    <x v="0"/>
    <d v="2008-06-19T00:00:00"/>
    <d v="2008-09-01T00:00:00"/>
    <x v="34"/>
    <n v="520"/>
    <x v="51"/>
    <x v="2"/>
    <n v="0"/>
    <m/>
    <m/>
    <m/>
    <n v="1960"/>
    <m/>
    <n v="1960"/>
    <n v="780"/>
    <m/>
    <m/>
    <m/>
    <x v="1"/>
    <x v="12"/>
    <m/>
    <m/>
    <s v="Ozark National Forest"/>
    <s v="T12N, R33W, 5th Principal Meridian"/>
    <s v="Sec. 24, SENE, NW, S2; Subject to F.S. Controlled Surface Use Stipulations #1 and #1B"/>
    <m/>
    <m/>
  </r>
  <r>
    <s v="ARES55322"/>
    <x v="2"/>
    <x v="0"/>
    <d v="2008-06-19T00:00:00"/>
    <d v="2008-09-01T00:00:00"/>
    <x v="34"/>
    <n v="400"/>
    <x v="51"/>
    <x v="2"/>
    <n v="0"/>
    <m/>
    <m/>
    <m/>
    <n v="1540"/>
    <m/>
    <n v="1540"/>
    <n v="600"/>
    <m/>
    <m/>
    <m/>
    <x v="1"/>
    <x v="12"/>
    <m/>
    <m/>
    <s v="Ozark National Forest"/>
    <s v="T12N, R33W, 5th Principal Meridian"/>
    <s v="Sec. 25, NWNE, S2NE, NW, NESE, S2SE; Subject to F.S. Controlled Surface Use Stipulations #1, #1A and #1B"/>
    <m/>
    <m/>
  </r>
  <r>
    <s v="ARES55323"/>
    <x v="2"/>
    <x v="0"/>
    <d v="2008-06-19T00:00:00"/>
    <d v="2008-09-01T00:00:00"/>
    <x v="34"/>
    <n v="387.79"/>
    <x v="51"/>
    <x v="2"/>
    <n v="0"/>
    <m/>
    <m/>
    <m/>
    <n v="1498"/>
    <m/>
    <n v="1498"/>
    <n v="582"/>
    <m/>
    <m/>
    <m/>
    <x v="1"/>
    <x v="12"/>
    <m/>
    <m/>
    <s v="Ozark National Forest"/>
    <s v="T12N, R33W, 5th Principal Meridian"/>
    <s v="Sec. 26, See Lease for Details; Subject to F.S. Controlled Surface Use Stipulations #1 and #1A"/>
    <m/>
    <m/>
  </r>
  <r>
    <s v="ARES55324"/>
    <x v="2"/>
    <x v="0"/>
    <d v="2008-06-19T00:00:00"/>
    <d v="2008-09-01T00:00:00"/>
    <x v="34"/>
    <n v="442.03"/>
    <x v="51"/>
    <x v="2"/>
    <n v="0"/>
    <m/>
    <m/>
    <m/>
    <n v="1690.5"/>
    <m/>
    <n v="1690.5"/>
    <n v="664.5"/>
    <m/>
    <m/>
    <m/>
    <x v="1"/>
    <x v="12"/>
    <m/>
    <m/>
    <s v="Ozark National Forest"/>
    <s v="T12N, R33W, 5th Principal Meridian"/>
    <s v="Sec. 35, S2NE, NWNE, Frl. NW, SESW, SE; Subject to F.S. Controlled Surface Use Stipulation #1"/>
    <m/>
    <m/>
  </r>
  <r>
    <s v="ARES55325"/>
    <x v="2"/>
    <x v="0"/>
    <d v="2008-06-19T00:00:00"/>
    <d v="2008-09-01T00:00:00"/>
    <x v="34"/>
    <n v="10"/>
    <x v="51"/>
    <x v="2"/>
    <n v="0"/>
    <m/>
    <m/>
    <m/>
    <n v="175"/>
    <m/>
    <n v="175"/>
    <n v="15"/>
    <m/>
    <m/>
    <m/>
    <x v="1"/>
    <x v="12"/>
    <m/>
    <m/>
    <s v="Ozark National Forest"/>
    <s v="T12N, R33W, 5th Principal Meridian"/>
    <s v="Sec. 36, *N2N2SENE. *50% U.S. Mineral Interests; Subject to F.S. Controlled Surface Use Stipulation"/>
    <m/>
    <m/>
  </r>
  <r>
    <s v="ARES55326"/>
    <x v="2"/>
    <x v="0"/>
    <d v="2008-06-19T00:00:00"/>
    <d v="2008-09-01T00:00:00"/>
    <x v="34"/>
    <n v="489"/>
    <x v="51"/>
    <x v="2"/>
    <n v="0"/>
    <m/>
    <m/>
    <m/>
    <n v="1851.5"/>
    <m/>
    <n v="1851.5"/>
    <n v="733.5"/>
    <m/>
    <m/>
    <m/>
    <x v="1"/>
    <x v="12"/>
    <m/>
    <m/>
    <s v="Ozark National Forest"/>
    <s v="T12N, R33W, 5th Principal Meridian"/>
    <s v="Sec. 36, See Lease for Details; Subject to F.S. Controlled Surface Use Stipulations #1 and #1A"/>
    <m/>
    <m/>
  </r>
  <r>
    <s v="ARES55327"/>
    <x v="2"/>
    <x v="0"/>
    <d v="2008-06-19T00:00:00"/>
    <d v="2008-09-01T00:00:00"/>
    <x v="34"/>
    <n v="428.64"/>
    <x v="51"/>
    <x v="2"/>
    <n v="0"/>
    <m/>
    <m/>
    <m/>
    <n v="1641.5"/>
    <m/>
    <n v="1641.5"/>
    <n v="643.5"/>
    <m/>
    <m/>
    <m/>
    <x v="1"/>
    <x v="12"/>
    <m/>
    <m/>
    <s v="Ozark National Forest"/>
    <s v="T12N, R33W, 5th Principal Meridian"/>
    <s v="Sec. 1, SENE, W2NW, NESE; Sec. 2, NENE, S2SW, Sec. 3, W2NE, Frl. E2NW; Subject to F.S. Controlled Surface Use Stipulations #1C and #1D"/>
    <m/>
    <m/>
  </r>
  <r>
    <s v="ARES55328"/>
    <x v="2"/>
    <x v="0"/>
    <d v="2008-06-19T00:00:00"/>
    <d v="2008-09-01T00:00:00"/>
    <x v="34"/>
    <n v="120"/>
    <x v="51"/>
    <x v="2"/>
    <n v="0"/>
    <m/>
    <m/>
    <m/>
    <n v="560"/>
    <m/>
    <n v="560"/>
    <n v="180"/>
    <m/>
    <m/>
    <m/>
    <x v="1"/>
    <x v="12"/>
    <m/>
    <m/>
    <s v="Ozark National Forest"/>
    <s v="T12N, R33W, 5th Principal Meridian"/>
    <s v="Sec. 11, NWNW, NWSW; Sec. 12, SWSW; Subject to Controlled Surface Use Stipulation #1D"/>
    <m/>
    <m/>
  </r>
  <r>
    <s v="ARES55329"/>
    <x v="2"/>
    <x v="0"/>
    <d v="2008-06-19T00:00:00"/>
    <d v="2008-09-01T00:00:00"/>
    <x v="34"/>
    <n v="80"/>
    <x v="51"/>
    <x v="2"/>
    <n v="0"/>
    <m/>
    <m/>
    <m/>
    <n v="420"/>
    <n v="160"/>
    <n v="580"/>
    <n v="120"/>
    <m/>
    <m/>
    <m/>
    <x v="1"/>
    <x v="12"/>
    <m/>
    <m/>
    <s v="Ozark National Forest"/>
    <s v="T12N, R33W, 5th Principal Meridian"/>
    <s v="Sec. 26, SWSE; Sec. 36, NENW; Subject to F.S. Controlled Surface Use Stipulation #1D"/>
    <m/>
    <m/>
  </r>
  <r>
    <s v="KYES55330"/>
    <x v="0"/>
    <x v="0"/>
    <d v="2008-06-19T00:00:00"/>
    <d v="2008-09-01T00:00:00"/>
    <x v="34"/>
    <n v="451.97"/>
    <x v="119"/>
    <x v="12"/>
    <n v="0"/>
    <m/>
    <m/>
    <m/>
    <n v="1722"/>
    <n v="4068"/>
    <n v="5790"/>
    <n v="678"/>
    <m/>
    <m/>
    <m/>
    <x v="71"/>
    <x v="12"/>
    <m/>
    <m/>
    <s v="Daniel Boone National Forest"/>
    <s v="Tract T-1042C."/>
    <m/>
    <m/>
    <m/>
  </r>
  <r>
    <s v="LAES55332"/>
    <x v="2"/>
    <x v="0"/>
    <d v="2008-06-19T00:00:00"/>
    <d v="2008-09-01T00:00:00"/>
    <x v="35"/>
    <n v="480.94"/>
    <x v="32"/>
    <x v="3"/>
    <n v="0"/>
    <m/>
    <m/>
    <m/>
    <n v="1823.5"/>
    <m/>
    <n v="1823.5"/>
    <n v="721.5"/>
    <m/>
    <m/>
    <m/>
    <x v="72"/>
    <x v="13"/>
    <m/>
    <m/>
    <s v="Kisatchie National Forest"/>
    <s v="T1N, R2W, Louisiana Meridian"/>
    <s v="Sec. 1, W2NE, NW, NWSW, S2SW, W2NESE, W2SE; Subject to F.S. Controlled Surface Use Stipulations #1 and #2; Subject to F.S. Lease Notice No. 3"/>
    <m/>
    <m/>
  </r>
  <r>
    <s v="LAES55333"/>
    <x v="2"/>
    <x v="0"/>
    <d v="2008-06-19T00:00:00"/>
    <d v="2008-09-01T00:00:00"/>
    <x v="35"/>
    <n v="40"/>
    <x v="32"/>
    <x v="3"/>
    <n v="0"/>
    <m/>
    <m/>
    <m/>
    <n v="280"/>
    <n v="80"/>
    <n v="360"/>
    <n v="60"/>
    <m/>
    <m/>
    <m/>
    <x v="72"/>
    <x v="13"/>
    <m/>
    <m/>
    <s v="Kisatchie National Forest"/>
    <s v="T1N, R2W, Louisiana Meridian"/>
    <s v="Sec. 1, *NESW; *50% U.S. Mineral Interests; Subject to F.S. Controlled Surface Use Stipulations #1 and #2; Subject to F.S. Lease Notice No. 3"/>
    <m/>
    <m/>
  </r>
  <r>
    <s v="LAES55334"/>
    <x v="2"/>
    <x v="0"/>
    <d v="2008-06-19T00:00:00"/>
    <d v="2008-09-01T00:00:00"/>
    <x v="35"/>
    <n v="585.41"/>
    <x v="32"/>
    <x v="3"/>
    <n v="0"/>
    <m/>
    <m/>
    <m/>
    <n v="2191"/>
    <m/>
    <n v="2191"/>
    <n v="879"/>
    <m/>
    <m/>
    <m/>
    <x v="72"/>
    <x v="13"/>
    <m/>
    <m/>
    <s v="Kisatchie National Forest"/>
    <s v="T1N, R2W, Louisiana Meridian"/>
    <s v="Sec. 2, N2NE, SENE, W2, S2SE, NWSE; Subject to F.S. Controlled Surface Use Stipulations #1 and @3; Subject to F.S. Lease Notice No. 3"/>
    <m/>
    <m/>
  </r>
  <r>
    <s v="LAES55335"/>
    <x v="2"/>
    <x v="0"/>
    <d v="2008-06-19T00:00:00"/>
    <d v="2008-09-01T00:00:00"/>
    <x v="35"/>
    <n v="650.48"/>
    <x v="32"/>
    <x v="3"/>
    <n v="0"/>
    <m/>
    <m/>
    <m/>
    <n v="2418.5"/>
    <m/>
    <n v="2418.5"/>
    <n v="976.5"/>
    <m/>
    <m/>
    <m/>
    <x v="72"/>
    <x v="13"/>
    <m/>
    <m/>
    <s v="Kisatchie National Forest"/>
    <s v="T1N, R2W, Louisiana Meridian"/>
    <s v="Sec. 3, All. Subject to F.S. No Surface Occupancy Stipulation #1; Subject to F.S. Controlled Surface Use Stipulation; Subject to F.S. Lease Notice No. 3"/>
    <m/>
    <m/>
  </r>
  <r>
    <s v="LAES55336"/>
    <x v="2"/>
    <x v="0"/>
    <d v="2008-06-19T00:00:00"/>
    <d v="2008-09-01T00:00:00"/>
    <x v="35"/>
    <n v="648.88"/>
    <x v="32"/>
    <x v="3"/>
    <n v="0"/>
    <m/>
    <m/>
    <m/>
    <n v="2411.5"/>
    <m/>
    <n v="2411.5"/>
    <n v="973.5"/>
    <m/>
    <m/>
    <m/>
    <x v="72"/>
    <x v="13"/>
    <m/>
    <m/>
    <s v="Kisatchie National Forest"/>
    <s v="T1N, R2W, Louisiana Meridian"/>
    <s v="Sec. 4, All. Subject to F.S. No Surface Occupancy Stipulation #1; Subject to F.S. Controlled Surface Use Stipulations #1 and #2; Subject to F.S. Lease Notice No. 3"/>
    <m/>
    <m/>
  </r>
  <r>
    <s v="LAES55337"/>
    <x v="2"/>
    <x v="0"/>
    <d v="2008-06-19T00:00:00"/>
    <d v="2008-09-01T00:00:00"/>
    <x v="35"/>
    <n v="394.48"/>
    <x v="32"/>
    <x v="3"/>
    <n v="0"/>
    <m/>
    <m/>
    <m/>
    <n v="1522.5"/>
    <m/>
    <n v="1522.5"/>
    <n v="592.5"/>
    <m/>
    <m/>
    <m/>
    <x v="72"/>
    <x v="13"/>
    <m/>
    <m/>
    <s v="Kisatchie National Forest"/>
    <s v="T1N, R2W, Louisiana Meridian"/>
    <s v="Sec. 5, S2NE, W2NWNE, NENW, N2NWNW, E2SW, SE; Subject to F.S. Controlled Surface Use Stipulations #1 and #2; Subject to F.S. Lease Notice No. 3"/>
    <m/>
    <m/>
  </r>
  <r>
    <s v="LAES55338"/>
    <x v="2"/>
    <x v="0"/>
    <d v="2008-06-19T00:00:00"/>
    <d v="2008-09-01T00:00:00"/>
    <x v="35"/>
    <n v="540.19000000000005"/>
    <x v="32"/>
    <x v="3"/>
    <n v="0"/>
    <m/>
    <m/>
    <m/>
    <n v="2033.5"/>
    <n v="6492"/>
    <n v="8525.5"/>
    <n v="811.5"/>
    <m/>
    <m/>
    <m/>
    <x v="72"/>
    <x v="13"/>
    <m/>
    <m/>
    <s v="Kisatchie National Forest"/>
    <s v="T1N, R2W, Louisiana Meridian"/>
    <s v="Sec. 6, N2NE, SWNE, NWSE; Sec. 7, SENE, E2NW, N2S2N2SW, N2N2SW, SE; Subject to F.S. Controlled Surface Use Stipulations #1 and #2; Subject to F.S. Lease Notice No. 3"/>
    <m/>
    <m/>
  </r>
  <r>
    <s v="LAES55339"/>
    <x v="2"/>
    <x v="0"/>
    <d v="2008-06-19T00:00:00"/>
    <d v="2008-09-01T00:00:00"/>
    <x v="35"/>
    <n v="623.84"/>
    <x v="32"/>
    <x v="3"/>
    <n v="0"/>
    <m/>
    <m/>
    <m/>
    <n v="2324"/>
    <n v="12480"/>
    <n v="14804"/>
    <n v="936"/>
    <m/>
    <m/>
    <m/>
    <x v="72"/>
    <x v="13"/>
    <m/>
    <m/>
    <s v="Kisatchie National Forest"/>
    <s v="T1N, R2W, Louisiana Meridian"/>
    <s v="Sec.8, All. Subject to F.S. Controlled Surface Use Stipulations #1 and #2; Subject to F.S. Lease Notice No. 3"/>
    <m/>
    <m/>
  </r>
  <r>
    <s v="LAES55340"/>
    <x v="2"/>
    <x v="0"/>
    <d v="2008-06-19T00:00:00"/>
    <d v="2008-09-01T00:00:00"/>
    <x v="35"/>
    <n v="687.34"/>
    <x v="32"/>
    <x v="3"/>
    <n v="0"/>
    <m/>
    <m/>
    <m/>
    <n v="2548"/>
    <n v="8256"/>
    <n v="10804"/>
    <n v="1032"/>
    <m/>
    <m/>
    <m/>
    <x v="72"/>
    <x v="13"/>
    <m/>
    <m/>
    <s v="Kisatchie National Forest"/>
    <s v="T1N, R2W, Louisiana Meridian"/>
    <s v="Sec. 9, All.  Subject to F.S. No Surface Occupancy Stipulation #1; Subject to F.S. Controlled Surface Use Stipulations #1 and #2; Subject to F.S. Lease Notice #3"/>
    <m/>
    <m/>
  </r>
  <r>
    <s v="LAES55341"/>
    <x v="2"/>
    <x v="0"/>
    <d v="2008-06-19T00:00:00"/>
    <d v="2008-09-01T00:00:00"/>
    <x v="35"/>
    <n v="638.91999999999996"/>
    <x v="32"/>
    <x v="3"/>
    <n v="0"/>
    <m/>
    <m/>
    <m/>
    <n v="2376.5"/>
    <m/>
    <n v="2376.5"/>
    <n v="958.5"/>
    <m/>
    <m/>
    <m/>
    <x v="72"/>
    <x v="13"/>
    <m/>
    <m/>
    <s v="Kisatchie National Forest"/>
    <s v="T1N, R2W, Louisiana Meridian"/>
    <s v="Sec. 10, All. Subject to F.S. Controlled Surface Use Stipulations #1 and #2; Subject to F.S. Lease Notice No. 3"/>
    <m/>
    <m/>
  </r>
  <r>
    <s v="LAES55342"/>
    <x v="2"/>
    <x v="0"/>
    <d v="2008-06-19T00:00:00"/>
    <d v="2008-09-01T00:00:00"/>
    <x v="35"/>
    <n v="690.54"/>
    <x v="32"/>
    <x v="3"/>
    <n v="0"/>
    <m/>
    <m/>
    <m/>
    <n v="2558.5"/>
    <n v="8292"/>
    <n v="10850.5"/>
    <n v="1036.5"/>
    <m/>
    <m/>
    <m/>
    <x v="72"/>
    <x v="13"/>
    <m/>
    <m/>
    <s v="Kisatchie National Forest"/>
    <s v="T1N, R2W, Louisiana Meridian"/>
    <s v="Sec. 11, All. Subject to F.S. Controlled Surface Use Stipulation #1; Subject to F.S. Lease Notice No. 3"/>
    <m/>
    <m/>
  </r>
  <r>
    <s v="LAES55344"/>
    <x v="2"/>
    <x v="0"/>
    <d v="2008-06-19T00:00:00"/>
    <d v="2008-09-01T00:00:00"/>
    <x v="35"/>
    <n v="687.67"/>
    <x v="32"/>
    <x v="3"/>
    <n v="0"/>
    <m/>
    <m/>
    <m/>
    <n v="2548"/>
    <m/>
    <n v="2548"/>
    <n v="1032"/>
    <m/>
    <m/>
    <m/>
    <x v="72"/>
    <x v="13"/>
    <m/>
    <m/>
    <s v="Kisatchie National Forest"/>
    <s v="T1N, R2W, Louisiana Meridian"/>
    <s v="Sec. 13; Sec. 14; See Lease for Details"/>
    <m/>
    <m/>
  </r>
  <r>
    <s v="LAES55345"/>
    <x v="2"/>
    <x v="0"/>
    <d v="2008-06-19T00:00:00"/>
    <d v="2008-09-01T00:00:00"/>
    <x v="35"/>
    <n v="635.04"/>
    <x v="32"/>
    <x v="3"/>
    <n v="0"/>
    <m/>
    <m/>
    <m/>
    <n v="2366"/>
    <n v="17808"/>
    <n v="20174"/>
    <n v="954"/>
    <m/>
    <m/>
    <m/>
    <x v="72"/>
    <x v="13"/>
    <m/>
    <m/>
    <s v="Kisatchie National Forest"/>
    <s v="T1N, R2W, Louisiana Meridian"/>
    <s v="Sec. 15; All. Subject to F.S. Controlled Surface Use Stipulations #1 and #2; Subject to F.S. Lease Notice No. 3"/>
    <m/>
    <m/>
  </r>
  <r>
    <s v="LAES55347"/>
    <x v="2"/>
    <x v="0"/>
    <d v="2008-06-19T00:00:00"/>
    <d v="2008-09-01T00:00:00"/>
    <x v="35"/>
    <n v="81.209999999999994"/>
    <x v="32"/>
    <x v="3"/>
    <n v="0"/>
    <m/>
    <m/>
    <m/>
    <n v="427"/>
    <n v="164"/>
    <n v="591"/>
    <n v="123"/>
    <m/>
    <m/>
    <m/>
    <x v="72"/>
    <x v="13"/>
    <m/>
    <m/>
    <s v="Kisatchie National Forest"/>
    <s v="T2N, R2W, Louisiana Meridian"/>
    <s v="Sec. 6, NWNW; Sec. 8, NESW, Subject to F.S. Controlled Surface Use Stipulations #1 and #2; Subject to F.S. Lease Notices Nos. 3 and 4"/>
    <m/>
    <m/>
  </r>
  <r>
    <s v="LAES55348"/>
    <x v="2"/>
    <x v="0"/>
    <d v="2008-06-19T00:00:00"/>
    <d v="2008-09-01T00:00:00"/>
    <x v="35"/>
    <n v="80.97"/>
    <x v="32"/>
    <x v="3"/>
    <n v="0"/>
    <m/>
    <m/>
    <m/>
    <n v="423.5"/>
    <n v="162"/>
    <n v="585.5"/>
    <n v="121.5"/>
    <m/>
    <m/>
    <m/>
    <x v="72"/>
    <x v="13"/>
    <m/>
    <m/>
    <s v="Kisatchie National Forest"/>
    <s v="T2N, R2W, Louisiana Meridian"/>
    <s v="Sec. 29, N2SW; Subject to F.S. Controlled Surface Use Stipulations #1 and #2; Subject to F.S. Lease Notices Nos. 3 and 4"/>
    <m/>
    <m/>
  </r>
  <r>
    <s v="LAES55349"/>
    <x v="2"/>
    <x v="0"/>
    <d v="2008-06-19T00:00:00"/>
    <d v="2008-09-01T00:00:00"/>
    <x v="35"/>
    <n v="630.32000000000005"/>
    <x v="32"/>
    <x v="3"/>
    <n v="0"/>
    <m/>
    <m/>
    <m/>
    <n v="2348.5"/>
    <m/>
    <n v="2348.5"/>
    <n v="946.5"/>
    <m/>
    <m/>
    <m/>
    <x v="72"/>
    <x v="13"/>
    <m/>
    <m/>
    <s v="Kisatchie National Forest"/>
    <s v="T2N, R2W, Louisiana Meridian"/>
    <s v="Sec. 1, All, except 2 ac. In NENE (Tr. E-08); Subject to F.S. Controlled Surface Use Stipulations #1 and #2; Subject to F.S. Lease Notice Nos. 3 and 4"/>
    <m/>
    <m/>
  </r>
  <r>
    <s v="LAES55350"/>
    <x v="2"/>
    <x v="0"/>
    <d v="2008-06-19T00:00:00"/>
    <d v="2008-09-01T00:00:00"/>
    <x v="35"/>
    <n v="632.89"/>
    <x v="32"/>
    <x v="3"/>
    <n v="0"/>
    <m/>
    <m/>
    <m/>
    <n v="2355.5"/>
    <m/>
    <n v="2355.5"/>
    <n v="949.5"/>
    <m/>
    <m/>
    <m/>
    <x v="72"/>
    <x v="13"/>
    <m/>
    <m/>
    <s v="Kisatchie National Forest"/>
    <s v="T2N, R2W, Louisiana Meridian"/>
    <s v="Sec. 2, All. Subject to F.S. Controlled Surface Use Stipulation #1; Subject to F.S. Lease Notice Nos. 3 and 4"/>
    <m/>
    <m/>
  </r>
  <r>
    <s v="LAES55351"/>
    <x v="2"/>
    <x v="0"/>
    <d v="2008-06-19T00:00:00"/>
    <d v="2008-09-01T00:00:00"/>
    <x v="35"/>
    <n v="646.22"/>
    <x v="32"/>
    <x v="3"/>
    <n v="0"/>
    <m/>
    <m/>
    <m/>
    <n v="2404.5"/>
    <n v="1294"/>
    <n v="3698.5"/>
    <n v="970.5"/>
    <m/>
    <m/>
    <m/>
    <x v="72"/>
    <x v="13"/>
    <m/>
    <m/>
    <s v="Kisatchie National Forest"/>
    <s v="T2N, R2W, Louisiana Meridian"/>
    <s v="Sec. 3, All. Subject to F.S. Controlled Surface Use Stipulation #1; Subject to F.S. Lease Notice Nos. 3 and 4"/>
    <m/>
    <m/>
  </r>
  <r>
    <s v="LAES55352"/>
    <x v="2"/>
    <x v="0"/>
    <d v="2008-06-19T00:00:00"/>
    <d v="2008-09-01T00:00:00"/>
    <x v="35"/>
    <n v="643.44000000000005"/>
    <x v="32"/>
    <x v="3"/>
    <n v="0"/>
    <m/>
    <m/>
    <m/>
    <n v="2394"/>
    <m/>
    <n v="2394"/>
    <n v="966"/>
    <m/>
    <m/>
    <m/>
    <x v="72"/>
    <x v="13"/>
    <m/>
    <m/>
    <s v="Kisatchie National Forest"/>
    <s v="T2N, R2W, Louisiana Meridian"/>
    <s v="Sec. 4, All. Subject to F.S. Controlled Surface Use Stipulation #1; Subject to F.S. Lease Notice Nos. 3 and 4"/>
    <m/>
    <m/>
  </r>
  <r>
    <s v="LAES55353"/>
    <x v="2"/>
    <x v="0"/>
    <d v="2008-06-19T00:00:00"/>
    <d v="2008-09-01T00:00:00"/>
    <x v="35"/>
    <n v="645.28"/>
    <x v="32"/>
    <x v="3"/>
    <n v="0"/>
    <m/>
    <m/>
    <m/>
    <n v="2401"/>
    <m/>
    <n v="2401"/>
    <n v="969"/>
    <m/>
    <m/>
    <m/>
    <x v="72"/>
    <x v="13"/>
    <m/>
    <m/>
    <s v="Kisatchie National Forest"/>
    <s v="T2N, R2W, Louisiana Meridian"/>
    <s v="Sec. 5, All. Subject to F.S. Controlled Surface Use Stipulations #1 and #2; Subject to F.S. Lease Notice Nos. 3 and 4"/>
    <m/>
    <m/>
  </r>
  <r>
    <s v="LAES55354"/>
    <x v="2"/>
    <x v="0"/>
    <d v="2008-06-19T00:00:00"/>
    <d v="2008-09-01T00:00:00"/>
    <x v="35"/>
    <n v="606.29"/>
    <x v="32"/>
    <x v="3"/>
    <n v="0"/>
    <m/>
    <m/>
    <m/>
    <n v="2264.5"/>
    <m/>
    <n v="2264.5"/>
    <n v="910.5"/>
    <m/>
    <m/>
    <m/>
    <x v="72"/>
    <x v="13"/>
    <m/>
    <m/>
    <s v="Kisatchie National Forest"/>
    <s v="T2N, R2W, Louisiana Meridian"/>
    <s v="Sec. 6, NE, E2NW, SWNW, S2; Subject to F.S. Controlled Surface Use Stipulations #1, #2 and #3; Subject to F.S. Lease Notice Nos. 3 and 4"/>
    <m/>
    <m/>
  </r>
  <r>
    <s v="LAES55355"/>
    <x v="2"/>
    <x v="0"/>
    <d v="2008-06-19T00:00:00"/>
    <d v="2008-09-01T00:00:00"/>
    <x v="35"/>
    <n v="647.22"/>
    <x v="32"/>
    <x v="3"/>
    <n v="0"/>
    <m/>
    <m/>
    <m/>
    <n v="2408"/>
    <m/>
    <n v="2408"/>
    <n v="972"/>
    <m/>
    <m/>
    <m/>
    <x v="72"/>
    <x v="13"/>
    <m/>
    <m/>
    <s v="Kisatchie National Forest"/>
    <s v="T2N, R2W, Louisiana Meridian"/>
    <s v="Sec. 7, All. Subject to F.S. Controlled Surface Use Stipulations #1, #2 and #3; Subject to F.S. Lease Notices Nos. 3 and 4"/>
    <m/>
    <m/>
  </r>
  <r>
    <s v="LAES55356"/>
    <x v="2"/>
    <x v="0"/>
    <d v="2008-06-19T00:00:00"/>
    <d v="2008-09-01T00:00:00"/>
    <x v="35"/>
    <n v="489.3"/>
    <x v="32"/>
    <x v="3"/>
    <n v="0"/>
    <m/>
    <m/>
    <m/>
    <n v="1855"/>
    <m/>
    <n v="1855"/>
    <n v="735"/>
    <m/>
    <m/>
    <m/>
    <x v="72"/>
    <x v="13"/>
    <m/>
    <m/>
    <s v="Kisatchie National Forest"/>
    <s v="T2N, R2W, Louisiana Meridian"/>
    <s v="Sec. 8, NENE, NW, NESW, S2S2; Subject to F.S. Controlled Surface Use Stipulations #1, #2 and #3; Subject to F.S. Lease Notices Nos. 3 and 4"/>
    <m/>
    <m/>
  </r>
  <r>
    <s v="LAES55357"/>
    <x v="2"/>
    <x v="0"/>
    <d v="2008-06-19T00:00:00"/>
    <d v="2008-09-01T00:00:00"/>
    <x v="35"/>
    <n v="644.72"/>
    <x v="32"/>
    <x v="3"/>
    <n v="0"/>
    <m/>
    <m/>
    <m/>
    <n v="2397.5"/>
    <m/>
    <n v="2397.5"/>
    <n v="967.5"/>
    <m/>
    <m/>
    <m/>
    <x v="72"/>
    <x v="13"/>
    <m/>
    <m/>
    <s v="Kisatchie National Forest"/>
    <s v="T2N, R2W, Louisiana Meridian"/>
    <s v="Sec. 9, All.  Subject to F.S. Controlled Surface Use Stipulation #1; Subject to F.S. Lease Notices Nos. 3 and 4"/>
    <m/>
    <m/>
  </r>
  <r>
    <s v="LAES55358"/>
    <x v="2"/>
    <x v="0"/>
    <d v="2008-06-19T00:00:00"/>
    <d v="2008-09-01T00:00:00"/>
    <x v="35"/>
    <n v="648.96"/>
    <x v="32"/>
    <x v="3"/>
    <n v="0"/>
    <m/>
    <m/>
    <m/>
    <n v="2411.5"/>
    <m/>
    <n v="2411.5"/>
    <n v="973.5"/>
    <m/>
    <m/>
    <m/>
    <x v="72"/>
    <x v="13"/>
    <m/>
    <m/>
    <s v="Kisatchie National Forest"/>
    <s v="T2N, R2W, Louisiana Meridian"/>
    <s v="Sec. 10, All. Subject to F.S. Controlled Surface Use Stipulation #1; Subject to F.S. Lease Notices Nos. 3 and 4"/>
    <m/>
    <m/>
  </r>
  <r>
    <s v="LAES55359"/>
    <x v="2"/>
    <x v="0"/>
    <d v="2008-06-19T00:00:00"/>
    <d v="2008-09-01T00:00:00"/>
    <x v="35"/>
    <n v="641.12"/>
    <x v="32"/>
    <x v="3"/>
    <n v="0"/>
    <m/>
    <m/>
    <m/>
    <n v="2387"/>
    <n v="5136"/>
    <n v="7523"/>
    <n v="963"/>
    <m/>
    <m/>
    <m/>
    <x v="72"/>
    <x v="13"/>
    <m/>
    <m/>
    <s v="Kisatchie National Forest"/>
    <s v="T2N, R2W, Louisiana Meridian"/>
    <s v="Sec. 11, All. Subject to F.S. Controlled Surface Use Stipulation #1; Subject to F.S. Lease Notices Nos. 3 and 4"/>
    <m/>
    <m/>
  </r>
  <r>
    <s v="LAES55360"/>
    <x v="2"/>
    <x v="0"/>
    <d v="2008-06-19T00:00:00"/>
    <d v="2008-09-01T00:00:00"/>
    <x v="35"/>
    <n v="646"/>
    <x v="32"/>
    <x v="3"/>
    <n v="0"/>
    <m/>
    <m/>
    <m/>
    <n v="2401"/>
    <n v="4522"/>
    <n v="6923"/>
    <n v="969"/>
    <m/>
    <m/>
    <m/>
    <x v="72"/>
    <x v="13"/>
    <m/>
    <m/>
    <s v="Kisatchie National Forest"/>
    <s v="T2N, R2W, Louisiana Meridian"/>
    <s v="Sec. 12, All. Subject to F.S. Controlled Surface Use Stipulation #1; Subject to F.S. Lease Notices Nos. 3 and 4"/>
    <m/>
    <m/>
  </r>
  <r>
    <s v="LAES55361"/>
    <x v="2"/>
    <x v="0"/>
    <d v="2008-06-19T00:00:00"/>
    <d v="2008-09-01T00:00:00"/>
    <x v="35"/>
    <n v="482.34"/>
    <x v="32"/>
    <x v="3"/>
    <n v="0"/>
    <m/>
    <m/>
    <m/>
    <n v="1830.5"/>
    <n v="1932"/>
    <n v="3762.5"/>
    <n v="724.5"/>
    <m/>
    <m/>
    <m/>
    <x v="72"/>
    <x v="13"/>
    <m/>
    <m/>
    <s v="Kisatchie National Forest"/>
    <s v="T2N, R2W, Louisiana Meridian"/>
    <s v="Sec. 13, NW, S2; Subject to F.S. Controlled Surface Use Stipulation #1; Subject to F.S. Lease Notices Nos. 3 and 4"/>
    <m/>
    <m/>
  </r>
  <r>
    <s v="LAES55362"/>
    <x v="2"/>
    <x v="0"/>
    <d v="2008-06-19T00:00:00"/>
    <d v="2008-09-01T00:00:00"/>
    <x v="35"/>
    <n v="641.44000000000005"/>
    <x v="32"/>
    <x v="3"/>
    <n v="0"/>
    <m/>
    <m/>
    <m/>
    <n v="2387"/>
    <n v="3210"/>
    <n v="5597"/>
    <n v="963"/>
    <m/>
    <m/>
    <m/>
    <x v="72"/>
    <x v="13"/>
    <m/>
    <m/>
    <s v="Kisatchie National Forest"/>
    <s v="T2N, R2W, Louisiana Meridian"/>
    <s v="Sec. 14, All. Subject to F.S. Controlled Surface Use Stipulation #1; Subject to F.S. Lease Notices Nos. 3 and 4"/>
    <m/>
    <m/>
  </r>
  <r>
    <s v="LAES55363"/>
    <x v="2"/>
    <x v="0"/>
    <d v="2008-06-19T00:00:00"/>
    <d v="2008-09-01T00:00:00"/>
    <x v="35"/>
    <n v="649.76"/>
    <x v="32"/>
    <x v="3"/>
    <n v="0"/>
    <m/>
    <m/>
    <m/>
    <n v="2415"/>
    <n v="2600"/>
    <n v="5015"/>
    <n v="975"/>
    <m/>
    <m/>
    <m/>
    <x v="72"/>
    <x v="13"/>
    <m/>
    <m/>
    <s v="Kisatchie National Forest"/>
    <s v="T2N, R2W, Louisiana Meridian"/>
    <s v="Sec, 15, All. Subject to F.S. Controlled Surface Use Stipulation #1; Subject to F.S. Lease Notices Nos. 3 and 4"/>
    <m/>
    <m/>
  </r>
  <r>
    <s v="LAES55364"/>
    <x v="2"/>
    <x v="0"/>
    <d v="2008-06-19T00:00:00"/>
    <d v="2008-09-01T00:00:00"/>
    <x v="35"/>
    <n v="642.64"/>
    <x v="32"/>
    <x v="3"/>
    <n v="0"/>
    <m/>
    <m/>
    <m/>
    <n v="2390.5"/>
    <m/>
    <n v="2390.5"/>
    <n v="964.5"/>
    <m/>
    <m/>
    <m/>
    <x v="72"/>
    <x v="13"/>
    <m/>
    <m/>
    <s v="Kisatchie National Forest"/>
    <s v="T2N, R2W, Louisiana Meridian"/>
    <s v="Sec. 16, All.  Subject to F.S. Controlled Suface Use Stipulation #1; Subject to F.S. Lease Notices Nos. 3 and 4"/>
    <m/>
    <m/>
  </r>
  <r>
    <s v="LAES55365"/>
    <x v="2"/>
    <x v="0"/>
    <d v="2008-06-19T00:00:00"/>
    <d v="2008-09-01T00:00:00"/>
    <x v="35"/>
    <n v="643.52"/>
    <x v="32"/>
    <x v="3"/>
    <n v="0"/>
    <m/>
    <m/>
    <m/>
    <n v="2394"/>
    <m/>
    <n v="2394"/>
    <n v="966"/>
    <m/>
    <m/>
    <m/>
    <x v="72"/>
    <x v="13"/>
    <m/>
    <m/>
    <s v="Kisatchie National Forest"/>
    <s v="T2N, R2W, Louisiana Meridian"/>
    <s v="Sec. 17, All. Subject to F.S. Controlled Surface Use Stipulations #1, #2 and #3; Subjet to F.S. Lease Notices Nos. 3 and 4"/>
    <m/>
    <m/>
  </r>
  <r>
    <s v="LAES55366"/>
    <x v="2"/>
    <x v="0"/>
    <d v="2008-06-19T00:00:00"/>
    <d v="2008-09-01T00:00:00"/>
    <x v="35"/>
    <n v="601.12"/>
    <x v="32"/>
    <x v="3"/>
    <n v="0"/>
    <m/>
    <m/>
    <m/>
    <n v="2247"/>
    <m/>
    <n v="2247"/>
    <n v="903"/>
    <m/>
    <m/>
    <m/>
    <x v="72"/>
    <x v="13"/>
    <m/>
    <m/>
    <s v="Kisatchie National Forest"/>
    <s v="T2N, R2W, Louisiana Meridian"/>
    <s v="Sec. 18, NE, N2SE, SWSE, W2; Subject to F.S. Controlled Surface Use Stipulations #1, #2 and #3; Subject to F.S. Lease Notices Nos. 3 and 4"/>
    <m/>
    <m/>
  </r>
  <r>
    <s v="LAES55367"/>
    <x v="2"/>
    <x v="0"/>
    <d v="2008-06-19T00:00:00"/>
    <d v="2008-09-01T00:00:00"/>
    <x v="35"/>
    <n v="639.6"/>
    <x v="32"/>
    <x v="3"/>
    <n v="0"/>
    <m/>
    <m/>
    <m/>
    <n v="2380"/>
    <m/>
    <n v="2380"/>
    <n v="960"/>
    <m/>
    <m/>
    <m/>
    <x v="72"/>
    <x v="13"/>
    <m/>
    <m/>
    <s v="Kisatchie National Forest"/>
    <s v="T2N, R2W, Louisiana Meridian"/>
    <s v="Sec. 19, All; Subject to F.S. Controlled Surface Use Stipulations #1 and #2; Subject to F.S. Lease Notices Nos. 3 and 4"/>
    <m/>
    <m/>
  </r>
  <r>
    <s v="LAES55368"/>
    <x v="2"/>
    <x v="0"/>
    <d v="2008-06-19T00:00:00"/>
    <d v="2008-09-01T00:00:00"/>
    <x v="35"/>
    <n v="641.34"/>
    <x v="32"/>
    <x v="3"/>
    <n v="0"/>
    <m/>
    <m/>
    <m/>
    <n v="2387"/>
    <m/>
    <n v="2387"/>
    <n v="963"/>
    <m/>
    <m/>
    <m/>
    <x v="72"/>
    <x v="13"/>
    <m/>
    <m/>
    <s v="Kisatchie National Forest"/>
    <s v="T2N, R2W, Louisiana Meridian"/>
    <s v="Sec. 20, All; Subject to F.S. Controlled Surface Use Stipulations #1 and #2; Subject to F.S. Lease Notices Nos. 3 and 4"/>
    <m/>
    <m/>
  </r>
  <r>
    <s v="LAES55369"/>
    <x v="2"/>
    <x v="0"/>
    <d v="2008-06-19T00:00:00"/>
    <d v="2008-09-01T00:00:00"/>
    <x v="35"/>
    <n v="642.78"/>
    <x v="32"/>
    <x v="3"/>
    <n v="0"/>
    <m/>
    <m/>
    <m/>
    <n v="2390.5"/>
    <m/>
    <n v="2390.5"/>
    <n v="964.5"/>
    <m/>
    <m/>
    <m/>
    <x v="72"/>
    <x v="13"/>
    <m/>
    <m/>
    <s v="Kisatchie National Forest"/>
    <s v="T2N, R2W, Louisiana Meridian"/>
    <s v="Sec. 21; All.  Subject to F.S. Controlled Surface Use Stipulations #1 and #2; Subject to F.S. Lease Notices Nos. 3 and 4"/>
    <m/>
    <m/>
  </r>
  <r>
    <s v="LAES55370"/>
    <x v="2"/>
    <x v="0"/>
    <d v="2008-06-19T00:00:00"/>
    <d v="2008-09-01T00:00:00"/>
    <x v="35"/>
    <n v="407.22"/>
    <x v="32"/>
    <x v="3"/>
    <n v="0"/>
    <m/>
    <m/>
    <m/>
    <n v="1568"/>
    <m/>
    <n v="1568"/>
    <n v="612"/>
    <m/>
    <m/>
    <m/>
    <x v="72"/>
    <x v="13"/>
    <m/>
    <m/>
    <s v="Kisatchie National Forest"/>
    <s v="T2N, R2W, Louisiana Meridian"/>
    <s v="Sec. 22, NE, N2NW, SW. Subject to F.S. Controlled Surface Use Stipulation #1; Subject to F.S. Lease Notices Nos. 3 and 4"/>
    <m/>
    <m/>
  </r>
  <r>
    <s v="LAES55371"/>
    <x v="2"/>
    <x v="0"/>
    <d v="2008-06-19T00:00:00"/>
    <d v="2008-09-01T00:00:00"/>
    <x v="35"/>
    <n v="465.01"/>
    <x v="32"/>
    <x v="3"/>
    <n v="0"/>
    <m/>
    <m/>
    <m/>
    <n v="1771"/>
    <m/>
    <n v="1771"/>
    <n v="699"/>
    <m/>
    <m/>
    <m/>
    <x v="72"/>
    <x v="13"/>
    <m/>
    <m/>
    <s v="Kisatchie National Forest"/>
    <s v="T2N, R2W, Louisiana Meridian"/>
    <s v="Sec. 23, N2NE, W2SENE, SENE, NW NESW; Subject to F.S. Controlled Surface Use Stipulation #1; Subject to F.S. Lease Notices Nos. 3 and 4"/>
    <m/>
    <m/>
  </r>
  <r>
    <s v="LAES55372"/>
    <x v="2"/>
    <x v="0"/>
    <d v="2008-06-19T00:00:00"/>
    <d v="2008-09-01T00:00:00"/>
    <x v="35"/>
    <n v="181.1"/>
    <x v="32"/>
    <x v="3"/>
    <n v="0"/>
    <m/>
    <m/>
    <m/>
    <n v="777"/>
    <n v="364"/>
    <n v="1141"/>
    <n v="273"/>
    <m/>
    <m/>
    <m/>
    <x v="72"/>
    <x v="13"/>
    <m/>
    <m/>
    <s v="Kisatchie National Forest"/>
    <s v="T2N, R2W, Louisiana Meridian"/>
    <s v="Sec. 24, NENE, N2NWNE, N2NW, E2SWNW, W2SENW; See Lease for Details"/>
    <m/>
    <m/>
  </r>
  <r>
    <s v="LAES55373"/>
    <x v="2"/>
    <x v="0"/>
    <d v="2008-06-19T00:00:00"/>
    <d v="2008-09-01T00:00:00"/>
    <x v="35"/>
    <n v="649.20000000000005"/>
    <x v="32"/>
    <x v="3"/>
    <n v="0"/>
    <m/>
    <m/>
    <m/>
    <n v="2415"/>
    <m/>
    <n v="2415"/>
    <n v="975"/>
    <m/>
    <m/>
    <m/>
    <x v="72"/>
    <x v="13"/>
    <m/>
    <m/>
    <s v="Kisatchie National Forest"/>
    <s v="T2N, R2W, Louisiana Meridian"/>
    <s v="Sec. 27, All. Subject to F.S. Lease Notices Nos. 3 and 4"/>
    <m/>
    <m/>
  </r>
  <r>
    <s v="LAES55374"/>
    <x v="2"/>
    <x v="0"/>
    <d v="2008-06-19T00:00:00"/>
    <d v="2008-09-01T00:00:00"/>
    <x v="35"/>
    <n v="648.34"/>
    <x v="32"/>
    <x v="3"/>
    <n v="0"/>
    <m/>
    <m/>
    <m/>
    <n v="2411.5"/>
    <m/>
    <n v="2411.5"/>
    <n v="973.5"/>
    <m/>
    <m/>
    <m/>
    <x v="72"/>
    <x v="13"/>
    <m/>
    <m/>
    <s v="Kisatchie National Forest"/>
    <s v="T2N, R2W, Louisiana Meridian"/>
    <s v="Sec. 28, All. Subject to F.S. Lease Notices Nos. 3 and 4"/>
    <m/>
    <m/>
  </r>
  <r>
    <s v="LAES55375"/>
    <x v="2"/>
    <x v="0"/>
    <d v="2008-06-19T00:00:00"/>
    <d v="2008-09-01T00:00:00"/>
    <x v="35"/>
    <n v="567.77"/>
    <x v="32"/>
    <x v="3"/>
    <n v="0"/>
    <m/>
    <m/>
    <m/>
    <n v="2128"/>
    <m/>
    <n v="2128"/>
    <n v="852"/>
    <m/>
    <m/>
    <m/>
    <x v="72"/>
    <x v="13"/>
    <m/>
    <m/>
    <s v="Kisatchie National Forest"/>
    <s v="T2N, R2W, Louisiana Meridian"/>
    <s v="Sec. 29, N2, S2SW, SE; Subject F.S. Lease Notices Nos. 3 and 4"/>
    <m/>
    <m/>
  </r>
  <r>
    <s v="LAES55376"/>
    <x v="2"/>
    <x v="0"/>
    <d v="2008-06-19T00:00:00"/>
    <d v="2008-09-01T00:00:00"/>
    <x v="35"/>
    <n v="644.08000000000004"/>
    <x v="32"/>
    <x v="3"/>
    <n v="0"/>
    <m/>
    <m/>
    <m/>
    <n v="2397.5"/>
    <n v="3870"/>
    <n v="6267.5"/>
    <n v="967.5"/>
    <m/>
    <m/>
    <m/>
    <x v="72"/>
    <x v="13"/>
    <m/>
    <m/>
    <s v="Kisatchie National Forest"/>
    <s v="T2N, R2W, Louisiana Meridian"/>
    <s v="Sec. 30, All.  Subject to F.S. Controlled Surface Use Stipulations #1 and #2; Subject to F.S. Lease Notices Nos. 3 and 4"/>
    <m/>
    <m/>
  </r>
  <r>
    <s v="LAES55377"/>
    <x v="2"/>
    <x v="0"/>
    <d v="2008-06-19T00:00:00"/>
    <d v="2008-09-01T00:00:00"/>
    <x v="35"/>
    <n v="634.57000000000005"/>
    <x v="32"/>
    <x v="3"/>
    <n v="0"/>
    <m/>
    <m/>
    <m/>
    <n v="2362.5"/>
    <m/>
    <n v="2362.5"/>
    <n v="952.5"/>
    <m/>
    <m/>
    <m/>
    <x v="72"/>
    <x v="13"/>
    <m/>
    <m/>
    <s v="Kisatchie National Forest"/>
    <s v="T2N, R2W, Louisiana Meridian"/>
    <s v="Sec. 32, N2, E2SWSW, N2SE, W 12 acres in W2SWSW, SE. Subject to F.S. Controlled Surface Use Stipulations #1 and #2; Subject to F.S. Lease Notices Nos. 3 and 4"/>
    <m/>
    <m/>
  </r>
  <r>
    <s v="LAES55378"/>
    <x v="2"/>
    <x v="0"/>
    <d v="2008-06-19T00:00:00"/>
    <d v="2008-09-01T00:00:00"/>
    <x v="35"/>
    <n v="640.46"/>
    <x v="32"/>
    <x v="3"/>
    <n v="0"/>
    <m/>
    <m/>
    <m/>
    <n v="2383.5"/>
    <n v="5128"/>
    <n v="7511.5"/>
    <n v="961.5"/>
    <m/>
    <m/>
    <m/>
    <x v="72"/>
    <x v="13"/>
    <m/>
    <m/>
    <s v="Kisatchie National Forest"/>
    <s v="T2N, R2W, Louisiana Meridian"/>
    <s v="Sec. 33, All. See Lease for Details."/>
    <m/>
    <m/>
  </r>
  <r>
    <s v="LAES55379"/>
    <x v="2"/>
    <x v="0"/>
    <d v="2008-06-19T00:00:00"/>
    <d v="2008-09-01T00:00:00"/>
    <x v="35"/>
    <n v="641.82000000000005"/>
    <x v="32"/>
    <x v="3"/>
    <n v="0"/>
    <m/>
    <m/>
    <m/>
    <n v="2387"/>
    <n v="5778"/>
    <n v="8165"/>
    <n v="963"/>
    <m/>
    <m/>
    <m/>
    <x v="72"/>
    <x v="13"/>
    <m/>
    <m/>
    <s v="Kisatchie National Forest"/>
    <s v="T2N, R2W, Louisiana Meridian"/>
    <s v="Sec. 34, All. See Lease for Details."/>
    <m/>
    <m/>
  </r>
  <r>
    <s v="LAES55380"/>
    <x v="2"/>
    <x v="0"/>
    <d v="2008-06-19T00:00:00"/>
    <d v="2008-09-01T00:00:00"/>
    <x v="35"/>
    <n v="613.97"/>
    <x v="32"/>
    <x v="3"/>
    <n v="0"/>
    <m/>
    <m/>
    <m/>
    <n v="2289"/>
    <m/>
    <n v="2289"/>
    <n v="921"/>
    <m/>
    <m/>
    <m/>
    <x v="72"/>
    <x v="13"/>
    <m/>
    <m/>
    <s v="Kisatchie National Forest"/>
    <s v="T2N, R2W, Louisiana Meridian"/>
    <s v="Sec. 35; S2NE, NWNE, NW, S2. Subject to F.S. Controlled Surface Use Stipulation #1; Subject to F.S. Lease Notices Nos. 3 and 4. "/>
    <m/>
    <m/>
  </r>
  <r>
    <s v="MSES55381"/>
    <x v="2"/>
    <x v="0"/>
    <d v="2008-06-19T00:00:00"/>
    <d v="2008-09-01T00:00:00"/>
    <x v="34"/>
    <n v="200"/>
    <x v="55"/>
    <x v="4"/>
    <n v="0"/>
    <m/>
    <m/>
    <m/>
    <n v="840"/>
    <n v="21600"/>
    <n v="22440"/>
    <n v="300"/>
    <m/>
    <m/>
    <m/>
    <x v="1"/>
    <x v="12"/>
    <m/>
    <m/>
    <s v="BLM"/>
    <s v="T1N, R9E, Choctaw Meridian"/>
    <s v="Sec. 1, W2NE, SENE, N2SE; Sec. 4, SESW; Sec. 6, pt of NWSW. Subject to BLM Controlled Surface Use Stipulations and Lease Notices"/>
    <m/>
    <m/>
  </r>
  <r>
    <s v="MSES55384"/>
    <x v="2"/>
    <x v="0"/>
    <d v="2008-06-19T00:00:00"/>
    <d v="2008-09-01T00:00:00"/>
    <x v="34"/>
    <n v="50"/>
    <x v="55"/>
    <x v="4"/>
    <n v="0"/>
    <m/>
    <m/>
    <m/>
    <n v="315"/>
    <n v="1400"/>
    <n v="1715"/>
    <n v="75"/>
    <m/>
    <m/>
    <m/>
    <x v="1"/>
    <x v="12"/>
    <m/>
    <m/>
    <s v="BLM"/>
    <s v="T3N, R7E, Choctaw Meridian"/>
    <s v="Sec. 36, NESE, N2W2SESE; Subject to BLM Controlled Surface Use Stipulations and Lease Notices"/>
    <m/>
    <m/>
  </r>
  <r>
    <s v="MSES55385"/>
    <x v="2"/>
    <x v="0"/>
    <d v="2008-06-19T00:00:00"/>
    <d v="2008-09-01T00:00:00"/>
    <x v="34"/>
    <n v="80"/>
    <x v="55"/>
    <x v="4"/>
    <n v="0"/>
    <m/>
    <m/>
    <m/>
    <n v="420"/>
    <n v="2240"/>
    <n v="2660"/>
    <n v="120"/>
    <m/>
    <m/>
    <m/>
    <x v="1"/>
    <x v="12"/>
    <m/>
    <m/>
    <s v="BLM"/>
    <s v="T4N, R6E, Choctaw Meridian"/>
    <s v="Sec. 15, N2SE; Subject to BLM Controlled Surface Use Stipulations and Lease Notices"/>
    <m/>
    <m/>
  </r>
  <r>
    <s v="MSES55386"/>
    <x v="2"/>
    <x v="0"/>
    <d v="2008-06-19T00:00:00"/>
    <d v="2008-09-01T00:00:00"/>
    <x v="34"/>
    <n v="24.96"/>
    <x v="55"/>
    <x v="4"/>
    <n v="0"/>
    <m/>
    <m/>
    <m/>
    <n v="227.5"/>
    <n v="450"/>
    <n v="677.5"/>
    <n v="37.5"/>
    <m/>
    <m/>
    <m/>
    <x v="1"/>
    <x v="12"/>
    <m/>
    <m/>
    <s v="Bienville National Forest"/>
    <s v="T4N, R7E, Choctaw Meridian"/>
    <s v="Sec. 23, See Lease for Details"/>
    <m/>
    <m/>
  </r>
  <r>
    <s v="MSES55387"/>
    <x v="2"/>
    <x v="0"/>
    <d v="2008-06-19T00:00:00"/>
    <d v="2008-09-01T00:00:00"/>
    <x v="34"/>
    <n v="39.979999999999997"/>
    <x v="55"/>
    <x v="4"/>
    <n v="0"/>
    <m/>
    <m/>
    <m/>
    <n v="280"/>
    <m/>
    <n v="280"/>
    <n v="60"/>
    <m/>
    <m/>
    <m/>
    <x v="1"/>
    <x v="12"/>
    <m/>
    <m/>
    <s v="BLM"/>
    <s v="T4N, R9E, Choctaw Meridian"/>
    <s v="Sec. 31, NENE; Subject to BLM Controlled Surface Use Stipulations and Lease Notices"/>
    <m/>
    <m/>
  </r>
  <r>
    <s v="MSES55391"/>
    <x v="0"/>
    <x v="0"/>
    <d v="2008-06-19T00:00:00"/>
    <d v="2008-09-01T00:00:00"/>
    <x v="34"/>
    <n v="40"/>
    <x v="11"/>
    <x v="4"/>
    <n v="0"/>
    <m/>
    <m/>
    <m/>
    <n v="280"/>
    <m/>
    <n v="280"/>
    <n v="60"/>
    <m/>
    <m/>
    <m/>
    <x v="36"/>
    <x v="12"/>
    <m/>
    <m/>
    <s v="BLM"/>
    <s v="T1S, R12W, St. Stephens Meridian"/>
    <s v="Sec. 21, SESW; Subject to BLM Controlled Surface Use Stipulations and Lease Notices"/>
    <m/>
    <m/>
  </r>
  <r>
    <s v="MSES55392"/>
    <x v="0"/>
    <x v="0"/>
    <d v="2008-06-19T00:00:00"/>
    <d v="2008-09-01T00:00:00"/>
    <x v="34"/>
    <n v="80"/>
    <x v="11"/>
    <x v="4"/>
    <n v="0"/>
    <m/>
    <m/>
    <m/>
    <n v="420"/>
    <n v="8640"/>
    <n v="9060"/>
    <n v="120"/>
    <m/>
    <m/>
    <m/>
    <x v="36"/>
    <x v="12"/>
    <m/>
    <m/>
    <s v="BLM"/>
    <s v="T1S, R13W, St. Stephens Meridian"/>
    <s v="Sec. 9, E2NW; Subject to BLM Controlled Suface Use Stipulations and Lease Notices"/>
    <m/>
    <m/>
  </r>
  <r>
    <s v="MSES55393"/>
    <x v="0"/>
    <x v="0"/>
    <d v="2008-06-19T00:00:00"/>
    <d v="2008-09-01T00:00:00"/>
    <x v="34"/>
    <n v="40.24"/>
    <x v="11"/>
    <x v="4"/>
    <n v="0"/>
    <m/>
    <m/>
    <m/>
    <n v="283.5"/>
    <n v="11398"/>
    <n v="11681.5"/>
    <n v="61.5"/>
    <m/>
    <m/>
    <m/>
    <x v="36"/>
    <x v="12"/>
    <m/>
    <m/>
    <s v="DeSoto National Forest"/>
    <s v="T1S, R13W, St. Stephens Meridian"/>
    <s v="Sec. 10, NESE; Subject to BLM Controlled Surface Use Stipulations and Lease Notices"/>
    <m/>
    <m/>
  </r>
  <r>
    <m/>
    <x v="1"/>
    <x v="0"/>
    <m/>
    <m/>
    <x v="1"/>
    <m/>
    <x v="1"/>
    <x v="1"/>
    <m/>
    <m/>
    <m/>
    <s v="POSTED FROM RECEIPTS"/>
    <n v="130354"/>
    <n v="139728"/>
    <n v="270082"/>
    <m/>
    <m/>
    <m/>
    <m/>
    <x v="1"/>
    <x v="1"/>
    <m/>
    <m/>
    <m/>
    <m/>
    <m/>
    <m/>
    <m/>
  </r>
  <r>
    <m/>
    <x v="1"/>
    <x v="1"/>
    <m/>
    <m/>
    <x v="1"/>
    <m/>
    <x v="1"/>
    <x v="1"/>
    <m/>
    <m/>
    <m/>
    <s v="MPLP AXP"/>
    <n v="-99000"/>
    <m/>
    <n v="-99000"/>
    <m/>
    <m/>
    <m/>
    <m/>
    <x v="1"/>
    <x v="1"/>
    <m/>
    <m/>
    <m/>
    <m/>
    <m/>
    <m/>
    <m/>
  </r>
  <r>
    <m/>
    <x v="1"/>
    <x v="1"/>
    <m/>
    <m/>
    <x v="1"/>
    <m/>
    <x v="1"/>
    <x v="1"/>
    <m/>
    <m/>
    <m/>
    <s v="CK 3374"/>
    <n v="-171082"/>
    <m/>
    <n v="-171082"/>
    <m/>
    <m/>
    <m/>
    <m/>
    <x v="1"/>
    <x v="1"/>
    <m/>
    <m/>
    <m/>
    <m/>
    <m/>
    <m/>
    <m/>
  </r>
  <r>
    <m/>
    <x v="1"/>
    <x v="1"/>
    <m/>
    <m/>
    <x v="1"/>
    <m/>
    <x v="1"/>
    <x v="1"/>
    <m/>
    <m/>
    <m/>
    <m/>
    <m/>
    <m/>
    <m/>
    <m/>
    <m/>
    <m/>
    <m/>
    <x v="1"/>
    <x v="1"/>
    <m/>
    <m/>
    <m/>
    <m/>
    <m/>
    <m/>
    <m/>
  </r>
  <r>
    <s v="TXNM105598"/>
    <x v="0"/>
    <x v="0"/>
    <m/>
    <m/>
    <x v="1"/>
    <m/>
    <x v="1"/>
    <x v="1"/>
    <m/>
    <m/>
    <m/>
    <m/>
    <m/>
    <m/>
    <n v="-11941"/>
    <m/>
    <m/>
    <m/>
    <m/>
    <x v="73"/>
    <x v="1"/>
    <m/>
    <m/>
    <m/>
    <m/>
    <m/>
    <m/>
    <m/>
  </r>
  <r>
    <s v="TXNM117621"/>
    <x v="0"/>
    <x v="0"/>
    <m/>
    <m/>
    <x v="1"/>
    <m/>
    <x v="1"/>
    <x v="1"/>
    <m/>
    <m/>
    <m/>
    <m/>
    <m/>
    <m/>
    <n v="-10399"/>
    <m/>
    <m/>
    <m/>
    <m/>
    <x v="73"/>
    <x v="1"/>
    <m/>
    <m/>
    <m/>
    <m/>
    <m/>
    <m/>
    <m/>
  </r>
  <r>
    <m/>
    <x v="1"/>
    <x v="1"/>
    <m/>
    <m/>
    <x v="1"/>
    <m/>
    <x v="1"/>
    <x v="1"/>
    <m/>
    <m/>
    <m/>
    <m/>
    <m/>
    <m/>
    <m/>
    <m/>
    <m/>
    <m/>
    <m/>
    <x v="1"/>
    <x v="1"/>
    <m/>
    <m/>
    <m/>
    <m/>
    <m/>
    <m/>
    <m/>
  </r>
  <r>
    <m/>
    <x v="1"/>
    <x v="1"/>
    <m/>
    <m/>
    <x v="1"/>
    <m/>
    <x v="1"/>
    <x v="1"/>
    <m/>
    <m/>
    <m/>
    <m/>
    <m/>
    <m/>
    <m/>
    <m/>
    <m/>
    <m/>
    <m/>
    <x v="1"/>
    <x v="1"/>
    <m/>
    <m/>
    <m/>
    <m/>
    <m/>
    <m/>
    <m/>
  </r>
  <r>
    <m/>
    <x v="1"/>
    <x v="1"/>
    <m/>
    <m/>
    <x v="1"/>
    <m/>
    <x v="1"/>
    <x v="1"/>
    <m/>
    <m/>
    <m/>
    <m/>
    <m/>
    <m/>
    <m/>
    <m/>
    <m/>
    <m/>
    <m/>
    <x v="1"/>
    <x v="1"/>
    <m/>
    <m/>
    <m/>
    <m/>
    <m/>
    <m/>
    <m/>
  </r>
  <r>
    <m/>
    <x v="1"/>
    <x v="1"/>
    <m/>
    <m/>
    <x v="1"/>
    <m/>
    <x v="1"/>
    <x v="1"/>
    <m/>
    <m/>
    <m/>
    <m/>
    <m/>
    <m/>
    <m/>
    <m/>
    <m/>
    <m/>
    <m/>
    <x v="1"/>
    <x v="1"/>
    <m/>
    <m/>
    <m/>
    <m/>
    <m/>
    <m/>
    <m/>
  </r>
  <r>
    <s v="NMNM120889"/>
    <x v="2"/>
    <x v="0"/>
    <d v="2008-07-16T00:00:00"/>
    <d v="2008-11-01T00:00:00"/>
    <x v="36"/>
    <n v="40"/>
    <x v="40"/>
    <x v="7"/>
    <n v="0.5"/>
    <m/>
    <m/>
    <s v="200807-007"/>
    <n v="280"/>
    <n v="151920"/>
    <n v="152200"/>
    <n v="80"/>
    <m/>
    <m/>
    <m/>
    <x v="74"/>
    <x v="12"/>
    <m/>
    <m/>
    <s v="BLM"/>
    <s v="T0250S,R0280E, NMPM Meridian"/>
    <s v="Sec. 025, SENE"/>
    <m/>
    <s v="Rec. at Book 911 Page 609"/>
  </r>
  <r>
    <s v="NMNM120896"/>
    <x v="2"/>
    <x v="0"/>
    <d v="2008-07-16T00:00:00"/>
    <d v="2008-11-01T00:00:00"/>
    <x v="36"/>
    <n v="80"/>
    <x v="40"/>
    <x v="7"/>
    <n v="0.5"/>
    <m/>
    <m/>
    <s v="200807-014"/>
    <n v="420"/>
    <n v="399840"/>
    <n v="400260"/>
    <n v="160"/>
    <m/>
    <m/>
    <m/>
    <x v="1"/>
    <x v="12"/>
    <m/>
    <m/>
    <s v="BLM"/>
    <s v="T0160S, R0300E, NMPM Meridian"/>
    <s v="Sec. 025, S2NW"/>
    <m/>
    <s v="Rec. at Book 911 Page 618"/>
  </r>
  <r>
    <s v="NMNM120905"/>
    <x v="2"/>
    <x v="0"/>
    <d v="2008-07-16T00:00:00"/>
    <d v="2008-11-01T00:00:00"/>
    <x v="36"/>
    <n v="320"/>
    <x v="63"/>
    <x v="7"/>
    <n v="0.5"/>
    <m/>
    <m/>
    <s v="200807-023"/>
    <n v="1260"/>
    <n v="111360"/>
    <n v="112620"/>
    <n v="640"/>
    <m/>
    <m/>
    <m/>
    <x v="75"/>
    <x v="12"/>
    <m/>
    <m/>
    <s v="BLM"/>
    <s v="T0210S, R0320E, NMPM Meridian"/>
    <s v="Sec. 035, N2"/>
    <s v="YES"/>
    <s v="Instrument#50531 Book 1806 Page 346"/>
  </r>
  <r>
    <s v="NMNM120911"/>
    <x v="2"/>
    <x v="0"/>
    <d v="2008-07-16T00:00:00"/>
    <d v="2008-11-01T00:00:00"/>
    <x v="36"/>
    <n v="1680"/>
    <x v="116"/>
    <x v="7"/>
    <n v="0.5"/>
    <m/>
    <m/>
    <s v="200807-029"/>
    <n v="6020"/>
    <n v="63840"/>
    <n v="69860"/>
    <n v="3360"/>
    <m/>
    <m/>
    <m/>
    <x v="1"/>
    <x v="12"/>
    <m/>
    <m/>
    <s v="BLM"/>
    <s v="T0090N, R0330E, NMPM Meridian"/>
    <s v="Sec. 027, N2NE, E2NW, SW, S2SE; Sec. 028, S2; Sec. 033, S2NE, W2, SE; Sec. 034, NE, S2NW, SW"/>
    <m/>
    <m/>
  </r>
  <r>
    <s v="NMNM120915"/>
    <x v="2"/>
    <x v="0"/>
    <d v="2008-07-16T00:00:00"/>
    <d v="2008-11-01T00:00:00"/>
    <x v="36"/>
    <n v="160"/>
    <x v="63"/>
    <x v="7"/>
    <n v="0.5"/>
    <m/>
    <m/>
    <s v="200807-033"/>
    <n v="700"/>
    <n v="15680"/>
    <n v="16380"/>
    <n v="320"/>
    <m/>
    <m/>
    <m/>
    <x v="39"/>
    <x v="12"/>
    <m/>
    <m/>
    <s v="BLM"/>
    <s v="T0250S, R0380E, NMPM Meridian"/>
    <s v="Sec. 017, SE"/>
    <s v="YES "/>
    <s v="Instrument#50532 Book 1806 Page 355"/>
  </r>
  <r>
    <s v="NMNM120917"/>
    <x v="2"/>
    <x v="0"/>
    <d v="2008-07-16T00:00:00"/>
    <d v="2008-11-01T00:00:00"/>
    <x v="36"/>
    <n v="945.11"/>
    <x v="47"/>
    <x v="7"/>
    <n v="0.5"/>
    <m/>
    <m/>
    <s v="200807-035"/>
    <n v="3451"/>
    <n v="26488"/>
    <n v="29939"/>
    <n v="1892"/>
    <m/>
    <m/>
    <m/>
    <x v="1"/>
    <x v="12"/>
    <m/>
    <m/>
    <s v="BIA"/>
    <s v="T0200N, R0080W, NMPM Meridian"/>
    <s v="Sec. 001, TR 37; Sec. 003, TR 40, 41, 48"/>
    <m/>
    <m/>
  </r>
  <r>
    <s v="NMNM120920"/>
    <x v="2"/>
    <x v="0"/>
    <d v="2008-07-16T00:00:00"/>
    <d v="2008-11-01T00:00:00"/>
    <x v="36"/>
    <n v="1285.5899999999999"/>
    <x v="42"/>
    <x v="7"/>
    <n v="0.5"/>
    <m/>
    <m/>
    <s v="200807-038"/>
    <n v="4641"/>
    <n v="151748"/>
    <n v="156389"/>
    <n v="2572"/>
    <m/>
    <m/>
    <m/>
    <x v="1"/>
    <x v="12"/>
    <m/>
    <m/>
    <s v="BIA"/>
    <s v="T0210N, R0080W, NMPM Meridian"/>
    <s v="Sec. 025, All; Sec. 027, Lots 1-4; Sec. 027, SE"/>
    <m/>
    <m/>
  </r>
  <r>
    <s v="NMNM120921"/>
    <x v="2"/>
    <x v="0"/>
    <d v="2008-07-16T00:00:00"/>
    <d v="2008-11-01T00:00:00"/>
    <x v="36"/>
    <n v="640"/>
    <x v="42"/>
    <x v="7"/>
    <n v="0.5"/>
    <m/>
    <m/>
    <s v="200807-039"/>
    <n v="2380"/>
    <n v="75520"/>
    <n v="77900"/>
    <n v="1280"/>
    <m/>
    <m/>
    <m/>
    <x v="1"/>
    <x v="12"/>
    <m/>
    <m/>
    <s v="BIA"/>
    <s v="T0210N, R0080W, NMPM Meridian"/>
    <s v="Sec. 035, All"/>
    <m/>
    <m/>
  </r>
  <r>
    <s v="OKNM120939"/>
    <x v="2"/>
    <x v="0"/>
    <d v="2008-07-16T00:00:00"/>
    <d v="2008-11-01T00:00:00"/>
    <x v="36"/>
    <n v="1137.97"/>
    <x v="101"/>
    <x v="5"/>
    <n v="0.5"/>
    <m/>
    <m/>
    <s v="200807-059"/>
    <n v="4123"/>
    <n v="31864"/>
    <n v="35987"/>
    <n v="2276"/>
    <m/>
    <m/>
    <m/>
    <x v="1"/>
    <x v="12"/>
    <m/>
    <m/>
    <s v="USDA Forest Service; Ouachita National Forest"/>
    <s v="T0030N, R0260E, IM Meridian"/>
    <s v="Sec. 025, 026, 035, 036, See lease for details"/>
    <m/>
    <m/>
  </r>
  <r>
    <s v="OKNM120940"/>
    <x v="2"/>
    <x v="0"/>
    <d v="2008-07-16T00:00:00"/>
    <d v="2008-11-01T00:00:00"/>
    <x v="36"/>
    <n v="1046.45"/>
    <x v="101"/>
    <x v="5"/>
    <n v="0.5"/>
    <m/>
    <m/>
    <s v="200807-060"/>
    <n v="3804.5"/>
    <n v="29316"/>
    <n v="33120.5"/>
    <n v="2094"/>
    <m/>
    <m/>
    <m/>
    <x v="1"/>
    <x v="12"/>
    <m/>
    <m/>
    <s v="USDA Forest Service; Ouachita National Forest"/>
    <s v="T0040N, R0270E, IM Meridian"/>
    <s v="Sec. 021, All; Sec. 022, Lots 1, 2; Sec. 022, W2"/>
    <m/>
    <m/>
  </r>
  <r>
    <s v="OKNM120941"/>
    <x v="2"/>
    <x v="0"/>
    <d v="2008-07-16T00:00:00"/>
    <d v="2008-11-01T00:00:00"/>
    <x v="36"/>
    <n v="1765.55"/>
    <x v="101"/>
    <x v="5"/>
    <n v="0.5"/>
    <m/>
    <m/>
    <s v="200807-061"/>
    <n v="6321"/>
    <n v="40618"/>
    <n v="46939"/>
    <n v="3532"/>
    <m/>
    <m/>
    <m/>
    <x v="1"/>
    <x v="12"/>
    <m/>
    <m/>
    <s v="USDA Forest Service; Ouachita National Forest"/>
    <s v="T0040N, R0270E, IM Meridian"/>
    <s v="Sec. 027, Lots 1, 3; Sec. 027, SW; Sec. 028, N2NE, NW, NESW, SE; Sec. 033, All; Sec. 034, Lots 1-4; Sec. 034, W2"/>
    <m/>
    <m/>
  </r>
  <r>
    <s v="OKNM120942"/>
    <x v="2"/>
    <x v="0"/>
    <d v="2008-07-16T00:00:00"/>
    <d v="2008-11-01T00:00:00"/>
    <x v="36"/>
    <n v="960"/>
    <x v="101"/>
    <x v="5"/>
    <n v="0.5"/>
    <m/>
    <m/>
    <s v="200807-062"/>
    <n v="3500"/>
    <n v="26880"/>
    <n v="30380"/>
    <n v="1920"/>
    <m/>
    <m/>
    <m/>
    <x v="1"/>
    <x v="12"/>
    <m/>
    <m/>
    <s v="USDA Forest Service; Ouachita National Forest"/>
    <s v="T0040N, R0270E, IM Meridian"/>
    <s v="Sec. 029, W2, W2SE, SESE; Sec. 030, N2NE, S2SE; Sec. 031, N2NE; Sec. 032, N2N2, SENE; Sec. 032, E2NESE, S2SWSE; Sec. 032, SESE"/>
    <m/>
    <m/>
  </r>
  <r>
    <s v="TXNM120950"/>
    <x v="2"/>
    <x v="0"/>
    <d v="2008-07-16T00:00:00"/>
    <d v="2008-11-01T00:00:00"/>
    <x v="36"/>
    <n v="283.60000000000002"/>
    <x v="120"/>
    <x v="0"/>
    <n v="0.5"/>
    <m/>
    <m/>
    <s v="200807-070"/>
    <n v="1134"/>
    <n v="266392"/>
    <n v="267526"/>
    <n v="568"/>
    <m/>
    <m/>
    <m/>
    <x v="76"/>
    <x v="12"/>
    <m/>
    <m/>
    <s v="Corps of Engineers; Somerville Lake"/>
    <s v="TX Meridian"/>
    <s v="TR 107, 108, 109, 110, 111; TR 146, 147"/>
    <s v="YES"/>
    <m/>
  </r>
  <r>
    <s v="TXNM120951"/>
    <x v="2"/>
    <x v="0"/>
    <d v="2008-07-16T00:00:00"/>
    <d v="2008-11-01T00:00:00"/>
    <x v="36"/>
    <n v="2272.88"/>
    <x v="19"/>
    <x v="0"/>
    <n v="0.5"/>
    <m/>
    <m/>
    <s v="200807-071"/>
    <n v="8095.5"/>
    <n v="290944"/>
    <n v="299039.5"/>
    <n v="4546"/>
    <m/>
    <m/>
    <m/>
    <x v="1"/>
    <x v="12"/>
    <m/>
    <m/>
    <s v="USDA Forest Service; Sam Houston National Forest"/>
    <s v="TX Meridian"/>
    <s v="TR J-1B Parcel #2; See lease for details"/>
    <m/>
    <m/>
  </r>
  <r>
    <s v="TXNM120952"/>
    <x v="2"/>
    <x v="0"/>
    <d v="2008-07-16T00:00:00"/>
    <d v="2008-11-01T00:00:00"/>
    <x v="36"/>
    <n v="1493.85"/>
    <x v="19"/>
    <x v="0"/>
    <n v="0.5"/>
    <m/>
    <m/>
    <s v="200807-072"/>
    <n v="5369"/>
    <n v="191232"/>
    <n v="196601"/>
    <n v="2988"/>
    <m/>
    <m/>
    <m/>
    <x v="1"/>
    <x v="12"/>
    <m/>
    <m/>
    <s v="USDA Forest Service, Sam Houston National Forest"/>
    <s v="TX Meridian"/>
    <s v="TR J-1B Parcel #3; See lease for details"/>
    <m/>
    <m/>
  </r>
  <r>
    <s v="TXNM120953"/>
    <x v="2"/>
    <x v="0"/>
    <d v="2008-07-16T00:00:00"/>
    <d v="2008-11-01T00:00:00"/>
    <x v="36"/>
    <n v="183.19"/>
    <x v="19"/>
    <x v="0"/>
    <n v="0.5"/>
    <m/>
    <m/>
    <s v="200807-073"/>
    <n v="784"/>
    <n v="41032"/>
    <n v="41816"/>
    <n v="368"/>
    <m/>
    <m/>
    <m/>
    <x v="1"/>
    <x v="12"/>
    <m/>
    <m/>
    <s v="USDA Forest Service, Sam Houston National Forest"/>
    <s v="TX Meridian"/>
    <s v="TR J-1B Parcel #5; See lease for details"/>
    <m/>
    <m/>
  </r>
  <r>
    <s v="TXNM120954"/>
    <x v="2"/>
    <x v="0"/>
    <d v="2008-07-16T00:00:00"/>
    <d v="2008-11-01T00:00:00"/>
    <x v="36"/>
    <n v="1237.06"/>
    <x v="37"/>
    <x v="0"/>
    <n v="0.5"/>
    <m/>
    <m/>
    <s v="200807-074"/>
    <n v="4473"/>
    <n v="443204"/>
    <n v="447677"/>
    <n v="2476"/>
    <m/>
    <m/>
    <m/>
    <x v="1"/>
    <x v="12"/>
    <m/>
    <m/>
    <s v="USDA Forest Service; Sam Houston National Forest"/>
    <s v="TX Meridian"/>
    <s v="TR J-1-III Parcel #2; See lease for details"/>
    <m/>
    <s v="Doc#2018098546"/>
  </r>
  <r>
    <s v="TXNM120959"/>
    <x v="0"/>
    <x v="0"/>
    <d v="2008-07-16T00:00:00"/>
    <d v="2008-11-01T00:00:00"/>
    <x v="36"/>
    <n v="579.02"/>
    <x v="80"/>
    <x v="0"/>
    <n v="0.5"/>
    <m/>
    <m/>
    <s v="200807-079"/>
    <n v="2691.5"/>
    <n v="202662"/>
    <n v="205353.5"/>
    <n v="1160"/>
    <m/>
    <m/>
    <m/>
    <x v="77"/>
    <x v="12"/>
    <m/>
    <m/>
    <s v="Corps of Engineers; Whitney Lake, Mid-Brazos"/>
    <s v="TX Meridian"/>
    <s v="TR W-G 601, 604, 605, 606, 608; TR 609, 616, 619-1, 619-2; TR 619-3, 619-4, 619-5, 619-6; TR 619-7, 619-8, 619-9, 619-10; TR 619-11; See lease for details"/>
    <s v="YES"/>
    <m/>
  </r>
  <r>
    <s v="TXNM120960"/>
    <x v="0"/>
    <x v="0"/>
    <d v="2008-07-16T00:00:00"/>
    <d v="2008-11-01T00:00:00"/>
    <x v="36"/>
    <n v="644.36"/>
    <x v="80"/>
    <x v="0"/>
    <n v="0.5"/>
    <m/>
    <m/>
    <s v="200807-080"/>
    <n v="2397.5"/>
    <n v="185760"/>
    <n v="188157.5"/>
    <n v="1290"/>
    <m/>
    <m/>
    <m/>
    <x v="1"/>
    <x v="12"/>
    <m/>
    <m/>
    <s v="Corps of Engineers; Whitney Lake, Mid-Brazos"/>
    <s v="TX Meridian"/>
    <s v="See lease for details"/>
    <s v="YES"/>
    <m/>
  </r>
  <r>
    <m/>
    <x v="1"/>
    <x v="1"/>
    <m/>
    <m/>
    <x v="1"/>
    <m/>
    <x v="1"/>
    <x v="1"/>
    <m/>
    <m/>
    <m/>
    <m/>
    <n v="61845"/>
    <n v="2746300"/>
    <n v="2808145"/>
    <m/>
    <m/>
    <m/>
    <m/>
    <x v="1"/>
    <x v="1"/>
    <m/>
    <m/>
    <m/>
    <m/>
    <m/>
    <m/>
    <m/>
  </r>
  <r>
    <m/>
    <x v="1"/>
    <x v="1"/>
    <m/>
    <m/>
    <x v="1"/>
    <m/>
    <x v="1"/>
    <x v="1"/>
    <m/>
    <m/>
    <m/>
    <s v="AXP 07-17-08"/>
    <n v="61845"/>
    <m/>
    <n v="61845"/>
    <m/>
    <m/>
    <m/>
    <m/>
    <x v="1"/>
    <x v="1"/>
    <m/>
    <m/>
    <m/>
    <m/>
    <m/>
    <m/>
    <m/>
  </r>
  <r>
    <m/>
    <x v="1"/>
    <x v="1"/>
    <m/>
    <m/>
    <x v="1"/>
    <m/>
    <x v="1"/>
    <x v="1"/>
    <m/>
    <m/>
    <m/>
    <s v="AXP 7-22-08"/>
    <m/>
    <n v="37000"/>
    <n v="37000"/>
    <m/>
    <m/>
    <m/>
    <m/>
    <x v="1"/>
    <x v="1"/>
    <m/>
    <m/>
    <m/>
    <m/>
    <m/>
    <m/>
    <m/>
  </r>
  <r>
    <m/>
    <x v="1"/>
    <x v="1"/>
    <m/>
    <m/>
    <x v="1"/>
    <m/>
    <x v="1"/>
    <x v="1"/>
    <m/>
    <m/>
    <m/>
    <s v="ACA CK 1263 WACHOVIA "/>
    <m/>
    <n v="2709300"/>
    <n v="2709300"/>
    <m/>
    <m/>
    <m/>
    <m/>
    <x v="1"/>
    <x v="1"/>
    <m/>
    <m/>
    <m/>
    <m/>
    <m/>
    <m/>
    <m/>
  </r>
  <r>
    <m/>
    <x v="1"/>
    <x v="1"/>
    <m/>
    <m/>
    <x v="1"/>
    <m/>
    <x v="1"/>
    <x v="1"/>
    <m/>
    <m/>
    <m/>
    <m/>
    <m/>
    <m/>
    <m/>
    <m/>
    <m/>
    <m/>
    <m/>
    <x v="1"/>
    <x v="1"/>
    <m/>
    <m/>
    <m/>
    <m/>
    <m/>
    <m/>
    <m/>
  </r>
  <r>
    <m/>
    <x v="1"/>
    <x v="1"/>
    <m/>
    <m/>
    <x v="1"/>
    <m/>
    <x v="1"/>
    <x v="1"/>
    <m/>
    <m/>
    <m/>
    <m/>
    <m/>
    <m/>
    <m/>
    <m/>
    <m/>
    <m/>
    <m/>
    <x v="1"/>
    <x v="1"/>
    <m/>
    <m/>
    <m/>
    <m/>
    <m/>
    <m/>
    <m/>
  </r>
  <r>
    <s v="LAES55447"/>
    <x v="2"/>
    <x v="0"/>
    <d v="2008-09-25T00:00:00"/>
    <d v="2008-12-01T00:00:00"/>
    <x v="37"/>
    <n v="40.090000000000003"/>
    <x v="121"/>
    <x v="3"/>
    <n v="0.45"/>
    <n v="0.1"/>
    <m/>
    <s v="ES-025-09/08"/>
    <m/>
    <m/>
    <n v="693.5"/>
    <n v="82"/>
    <m/>
    <m/>
    <m/>
    <x v="1"/>
    <x v="12"/>
    <m/>
    <m/>
    <s v="KISATCHIE NATIONAL FOREST"/>
    <s v="T9N, R4W, LA MERIDIAN"/>
    <s v="SEC 16, NWSE"/>
    <m/>
    <m/>
  </r>
  <r>
    <s v="LAES55448"/>
    <x v="2"/>
    <x v="0"/>
    <d v="2008-09-25T00:00:00"/>
    <d v="2008-12-01T00:00:00"/>
    <x v="37"/>
    <n v="494.6"/>
    <x v="12"/>
    <x v="3"/>
    <n v="0.45"/>
    <n v="0.1"/>
    <m/>
    <s v="ES-026-09/08"/>
    <m/>
    <m/>
    <n v="6822.5"/>
    <n v="990"/>
    <m/>
    <m/>
    <m/>
    <x v="1"/>
    <x v="12"/>
    <m/>
    <m/>
    <s v="KISATCHIE NATIONAL FOREST"/>
    <s v="T20N, R9W, LA MERIDIAN"/>
    <s v="SEE LEASE 494.6 A IN SEC 1"/>
    <m/>
    <m/>
  </r>
  <r>
    <s v="LAES55449"/>
    <x v="2"/>
    <x v="0"/>
    <d v="2008-09-25T00:00:00"/>
    <d v="2008-12-01T00:00:00"/>
    <x v="37"/>
    <n v="436.34"/>
    <x v="12"/>
    <x v="3"/>
    <n v="0.45"/>
    <n v="0.1"/>
    <m/>
    <s v="ES-027-09/08"/>
    <m/>
    <m/>
    <n v="6039.5"/>
    <n v="874"/>
    <m/>
    <m/>
    <m/>
    <x v="1"/>
    <x v="12"/>
    <m/>
    <m/>
    <s v="KISATCHIE NATIONAL FOREST"/>
    <s v="T20N, R9W, LA MERIDIAN"/>
    <s v="SEC 2, N2N2, W2SE, SW; SEC 3, NENE"/>
    <m/>
    <m/>
  </r>
  <r>
    <s v="LAES55450"/>
    <x v="2"/>
    <x v="0"/>
    <d v="2008-09-25T00:00:00"/>
    <d v="2008-12-01T00:00:00"/>
    <x v="37"/>
    <n v="606.899"/>
    <x v="12"/>
    <x v="3"/>
    <n v="0.45"/>
    <n v="0.1"/>
    <m/>
    <s v="ES-028-09/08"/>
    <m/>
    <m/>
    <n v="8941.5"/>
    <n v="1214"/>
    <m/>
    <m/>
    <m/>
    <x v="1"/>
    <x v="12"/>
    <m/>
    <m/>
    <s v="KISATCHIE NATIONAL FOREST"/>
    <s v="T20N, R9W, LA MERIDIAN"/>
    <s v="SEC 9, SESE; SEC 10, E2, NESW, S2SW, NENW, SENW, NWNW"/>
    <m/>
    <m/>
  </r>
  <r>
    <s v="LAES55452"/>
    <x v="2"/>
    <x v="0"/>
    <d v="2008-09-25T00:00:00"/>
    <d v="2008-12-01T00:00:00"/>
    <x v="37"/>
    <n v="597.87"/>
    <x v="12"/>
    <x v="3"/>
    <n v="0.45"/>
    <n v="0.1"/>
    <m/>
    <s v="ES-030-09/08"/>
    <m/>
    <m/>
    <n v="8213"/>
    <n v="1196"/>
    <m/>
    <m/>
    <m/>
    <x v="1"/>
    <x v="12"/>
    <m/>
    <m/>
    <s v="KISATCHIE NATIONAL FOREST"/>
    <s v="T20N, R9W, LA MERIDIAN"/>
    <s v="SEC 13, NE, S2, SENW; SEC 14, W2NW"/>
    <m/>
    <m/>
  </r>
  <r>
    <s v="LAES55453"/>
    <x v="2"/>
    <x v="0"/>
    <d v="2008-09-25T00:00:00"/>
    <d v="2008-12-01T00:00:00"/>
    <x v="37"/>
    <n v="438.58"/>
    <x v="12"/>
    <x v="3"/>
    <n v="0.45"/>
    <n v="0.1"/>
    <m/>
    <s v="ES-031-09/08"/>
    <m/>
    <m/>
    <n v="6066.5"/>
    <n v="878"/>
    <m/>
    <m/>
    <m/>
    <x v="1"/>
    <x v="12"/>
    <m/>
    <m/>
    <s v="KISATCHIE NATIONAL FOREST"/>
    <s v="T20N, R9W, LA MERIDIAN"/>
    <s v="SEC 15, NE, NESE, W2SE, S2SW, N2NW"/>
    <m/>
    <m/>
  </r>
  <r>
    <s v="LAES55454"/>
    <x v="2"/>
    <x v="0"/>
    <d v="2008-09-25T00:00:00"/>
    <d v="2008-12-01T00:00:00"/>
    <x v="37"/>
    <n v="311.89"/>
    <x v="12"/>
    <x v="3"/>
    <n v="0.45"/>
    <n v="0.1"/>
    <m/>
    <s v="ES-032-09/08"/>
    <m/>
    <m/>
    <n v="4352"/>
    <n v="624"/>
    <m/>
    <m/>
    <m/>
    <x v="1"/>
    <x v="12"/>
    <m/>
    <m/>
    <s v="KISATCHIE NATIONAL FOREST"/>
    <s v="T20N, R9W, LA MERIDIAN"/>
    <s v="SEC 16, S2"/>
    <m/>
    <m/>
  </r>
  <r>
    <s v="LAES55455"/>
    <x v="2"/>
    <x v="0"/>
    <d v="2008-09-25T00:00:00"/>
    <d v="2008-12-01T00:00:00"/>
    <x v="37"/>
    <n v="308.14"/>
    <x v="12"/>
    <x v="3"/>
    <n v="0.45"/>
    <n v="0.1"/>
    <m/>
    <s v="ES-033-09/08"/>
    <m/>
    <m/>
    <n v="4311.5"/>
    <n v="618"/>
    <m/>
    <m/>
    <m/>
    <x v="1"/>
    <x v="12"/>
    <m/>
    <m/>
    <s v="KISATCHIE NATIONAL FOREST"/>
    <s v="T20N, R9W, LA MERIDIAN"/>
    <s v="SEC 20, E2SWNE, SENE, NESE, S2S2, NESW"/>
    <m/>
    <m/>
  </r>
  <r>
    <s v="LAES55457"/>
    <x v="2"/>
    <x v="0"/>
    <d v="2008-09-25T00:00:00"/>
    <d v="2008-12-01T00:00:00"/>
    <x v="37"/>
    <n v="592.17999999999995"/>
    <x v="12"/>
    <x v="3"/>
    <n v="0.45"/>
    <n v="0.1"/>
    <m/>
    <s v="ES-035-09/08"/>
    <m/>
    <m/>
    <n v="8145.5"/>
    <n v="1186"/>
    <m/>
    <m/>
    <m/>
    <x v="1"/>
    <x v="12"/>
    <m/>
    <m/>
    <s v="KISATCHIE NATIONAL FOREST"/>
    <s v="T20N, R9W, LA MERIDIAN"/>
    <s v="SEC 22, W2N2, SENE, SE (LESS 12 A-SEE LSE), SW, NW"/>
    <m/>
    <m/>
  </r>
  <r>
    <s v="LAES55458"/>
    <x v="2"/>
    <x v="0"/>
    <d v="2008-09-25T00:00:00"/>
    <d v="2008-12-01T00:00:00"/>
    <x v="37"/>
    <n v="601.91999999999996"/>
    <x v="12"/>
    <x v="3"/>
    <n v="0.45"/>
    <n v="0.1"/>
    <m/>
    <s v="ES-036-09/08"/>
    <m/>
    <m/>
    <n v="8267"/>
    <n v="1204"/>
    <m/>
    <m/>
    <m/>
    <x v="1"/>
    <x v="12"/>
    <m/>
    <m/>
    <s v="KISATCHIE NATIONAL FOREST"/>
    <s v="T20N, R9W, LA MERIDIAN"/>
    <s v="SEC23, N2N2, SESE, SENE, NESE (LESS 1A -SEE LSE), N2SWNE, S2SWNE, W2SE, N2SW, SESW, S2NW"/>
    <m/>
    <m/>
  </r>
  <r>
    <s v="LAES55459"/>
    <x v="2"/>
    <x v="0"/>
    <d v="2008-09-25T00:00:00"/>
    <d v="2008-12-01T00:00:00"/>
    <x v="37"/>
    <n v="591.19000000000005"/>
    <x v="12"/>
    <x v="3"/>
    <n v="0.45"/>
    <n v="0.1"/>
    <m/>
    <s v="ES-037-09/08"/>
    <m/>
    <m/>
    <n v="8132"/>
    <n v="1184"/>
    <m/>
    <m/>
    <m/>
    <x v="1"/>
    <x v="12"/>
    <m/>
    <m/>
    <s v="KISATCHIE NATIONAL FOREST"/>
    <s v="T20N, R9W, LA MERIDIAN"/>
    <s v="SEC 24, E, SE, SW, E2NW, SWNW (LESS 0.71A FOR CEMETERY)"/>
    <m/>
    <m/>
  </r>
  <r>
    <s v="LAES55460"/>
    <x v="2"/>
    <x v="0"/>
    <d v="2008-09-25T00:00:00"/>
    <d v="2008-12-01T00:00:00"/>
    <x v="37"/>
    <n v="573.37"/>
    <x v="12"/>
    <x v="3"/>
    <n v="0.45"/>
    <n v="0.1"/>
    <m/>
    <s v="ES-038-09/08"/>
    <m/>
    <m/>
    <n v="7889"/>
    <n v="1148"/>
    <m/>
    <m/>
    <m/>
    <x v="1"/>
    <x v="12"/>
    <m/>
    <m/>
    <s v="KISATCHIE NATIONAL FOREST"/>
    <s v="T20N, R9W, LA MERIDIAN"/>
    <s v="SEC 25, N2; SEC 26, NENE, SENE, NWNE, &amp; TRACT IN SWNW, N2NW"/>
    <m/>
    <m/>
  </r>
  <r>
    <s v="LAES55461"/>
    <x v="2"/>
    <x v="0"/>
    <d v="2008-09-25T00:00:00"/>
    <d v="2008-12-01T00:00:00"/>
    <x v="37"/>
    <n v="519.21"/>
    <x v="12"/>
    <x v="3"/>
    <n v="0.45"/>
    <n v="0.1"/>
    <m/>
    <s v="ES-039-09/08"/>
    <m/>
    <m/>
    <n v="7160"/>
    <n v="1040"/>
    <m/>
    <m/>
    <m/>
    <x v="1"/>
    <x v="12"/>
    <m/>
    <m/>
    <s v="KISATCHIE NATIONAL FOREST"/>
    <s v="T20N, R9W, LA MERIDIAN"/>
    <s v="SEC 27, W2SW; SEC 28, NE, SE, S2SW, NENW "/>
    <m/>
    <m/>
  </r>
  <r>
    <s v="LAES55462"/>
    <x v="2"/>
    <x v="0"/>
    <d v="2008-09-25T00:00:00"/>
    <d v="2008-12-01T00:00:00"/>
    <x v="37"/>
    <n v="319.07"/>
    <x v="12"/>
    <x v="3"/>
    <n v="0.45"/>
    <n v="0.1"/>
    <m/>
    <s v="ES-040-09/08"/>
    <m/>
    <m/>
    <n v="4460"/>
    <n v="640"/>
    <m/>
    <m/>
    <m/>
    <x v="1"/>
    <x v="12"/>
    <m/>
    <m/>
    <s v="KISATCHIE NATIONAL FOREST"/>
    <s v="T20N, R9W, LA MERIDIAN"/>
    <s v="SEC 29, N2N2, SESE; SEC 32, NENE, S2SE"/>
    <m/>
    <m/>
  </r>
  <r>
    <s v="LAES55463"/>
    <x v="2"/>
    <x v="0"/>
    <d v="2008-09-25T00:00:00"/>
    <d v="2008-12-01T00:00:00"/>
    <x v="37"/>
    <n v="478.64"/>
    <x v="12"/>
    <x v="3"/>
    <n v="0.45"/>
    <n v="0.1"/>
    <m/>
    <s v="ES-041-09/08"/>
    <m/>
    <m/>
    <n v="6606.5"/>
    <n v="958"/>
    <m/>
    <m/>
    <m/>
    <x v="1"/>
    <x v="12"/>
    <m/>
    <m/>
    <s v="KISATCHIE NATIONAL FOREST"/>
    <s v="T20N, R9W, LA MERIDIAN"/>
    <s v="SEC 33, NE, NESE, S2S2, E2NWSE, N2SENW, N2NW"/>
    <m/>
    <m/>
  </r>
  <r>
    <s v="LAES55464"/>
    <x v="2"/>
    <x v="0"/>
    <d v="2008-09-25T00:00:00"/>
    <d v="2008-12-01T00:00:00"/>
    <x v="37"/>
    <n v="521.63"/>
    <x v="12"/>
    <x v="3"/>
    <n v="0.45"/>
    <n v="0.1"/>
    <m/>
    <s v="ES-042-09/08"/>
    <m/>
    <m/>
    <n v="7187"/>
    <n v="1044"/>
    <m/>
    <m/>
    <m/>
    <x v="1"/>
    <x v="12"/>
    <m/>
    <m/>
    <s v="KISATCHIE NATIONAL FOREST"/>
    <s v="T20N, R9W, LA MERIDIAN"/>
    <s v="SEC 34. SWNE, SE, SW, SENW, W2NW"/>
    <m/>
    <m/>
  </r>
  <r>
    <s v="LAES55465"/>
    <x v="2"/>
    <x v="0"/>
    <d v="2008-09-25T00:00:00"/>
    <d v="2008-12-01T00:00:00"/>
    <x v="37"/>
    <n v="390.59"/>
    <x v="12"/>
    <x v="3"/>
    <n v="0.45"/>
    <n v="0.1"/>
    <m/>
    <s v="ES-043-09/08"/>
    <m/>
    <m/>
    <n v="6200.5"/>
    <n v="782"/>
    <m/>
    <m/>
    <m/>
    <x v="1"/>
    <x v="12"/>
    <m/>
    <m/>
    <s v="KISATCHIE NATIONAL FOREST"/>
    <s v="T20N, R9W, LA MERIDIAN"/>
    <s v="SEC 35, SWNE,NWSE, S2SE, SW, SENW, NENESWNW, S2N2SWNW, S2SWNW"/>
    <m/>
    <m/>
  </r>
  <r>
    <s v="LAES55466"/>
    <x v="2"/>
    <x v="0"/>
    <d v="2008-09-25T00:00:00"/>
    <d v="2008-12-01T00:00:00"/>
    <x v="37"/>
    <n v="160"/>
    <x v="54"/>
    <x v="3"/>
    <n v="0.45"/>
    <n v="0.1"/>
    <m/>
    <s v="ES-044-09/08"/>
    <m/>
    <m/>
    <n v="4820"/>
    <n v="320"/>
    <m/>
    <m/>
    <m/>
    <x v="78"/>
    <x v="12"/>
    <m/>
    <m/>
    <s v="KISATCHIE NATIONAL FOREST"/>
    <s v="T22N, R6W, LA MERIDIAN"/>
    <s v="SEC 27, NW"/>
    <m/>
    <m/>
  </r>
  <r>
    <s v="MIES55474"/>
    <x v="2"/>
    <x v="0"/>
    <d v="2008-09-25T00:00:00"/>
    <d v="2008-12-01T00:00:00"/>
    <x v="37"/>
    <n v="780.2"/>
    <x v="122"/>
    <x v="9"/>
    <n v="0.45"/>
    <n v="0.1"/>
    <m/>
    <s v="ES-052-09/08"/>
    <m/>
    <m/>
    <n v="5997.5"/>
    <n v="1562"/>
    <m/>
    <m/>
    <m/>
    <x v="1"/>
    <x v="12"/>
    <m/>
    <m/>
    <s v="HURON NATIONAL FOREST"/>
    <s v="T27N &amp; T28N, R9E, MI MERIDIAN"/>
    <s v="SEE LEASE "/>
    <m/>
    <m/>
  </r>
  <r>
    <s v="MIES55476"/>
    <x v="2"/>
    <x v="0"/>
    <d v="2008-09-25T00:00:00"/>
    <d v="2008-12-01T00:00:00"/>
    <x v="37"/>
    <n v="542.41999999999996"/>
    <x v="123"/>
    <x v="9"/>
    <n v="0.45"/>
    <n v="0.1"/>
    <m/>
    <s v="ES-054-09/08"/>
    <m/>
    <m/>
    <n v="2040.5"/>
    <n v="1086"/>
    <m/>
    <m/>
    <m/>
    <x v="1"/>
    <x v="12"/>
    <m/>
    <m/>
    <s v="MANISTEE NATIONAL FOREST"/>
    <s v="T14N, R13W, MI MERIDIAN"/>
    <s v="SEC 3, W2NE, W3/4SW; SEC 8, NWNE; SEC 9, PART NE (EXCEPT S2SESENE- 4.99A) E2SW, W2SE"/>
    <m/>
    <m/>
  </r>
  <r>
    <s v="MIES55490"/>
    <x v="2"/>
    <x v="0"/>
    <d v="2008-09-25T00:00:00"/>
    <d v="2008-12-01T00:00:00"/>
    <x v="37"/>
    <n v="380"/>
    <x v="124"/>
    <x v="9"/>
    <n v="0.45"/>
    <n v="0.1"/>
    <m/>
    <s v="ES-068-09/08"/>
    <m/>
    <m/>
    <n v="1470"/>
    <n v="760"/>
    <m/>
    <m/>
    <m/>
    <x v="1"/>
    <x v="12"/>
    <m/>
    <m/>
    <s v="MANISTEE NATIONAL FOREST"/>
    <s v="T14N, R15W, MI MERIDIAN"/>
    <s v="SEC 17, N2NW, N2S2NW; SEC 18, NENE, SWNE, SENW, E2NESE, NENW, S2SE"/>
    <m/>
    <m/>
  </r>
  <r>
    <s v="MIES55491"/>
    <x v="2"/>
    <x v="0"/>
    <d v="2008-09-25T00:00:00"/>
    <d v="2008-12-01T00:00:00"/>
    <x v="37"/>
    <n v="560"/>
    <x v="124"/>
    <x v="9"/>
    <n v="0.45"/>
    <n v="0.1"/>
    <m/>
    <s v="ES-069-09/08"/>
    <m/>
    <m/>
    <n v="34580"/>
    <n v="1120"/>
    <m/>
    <m/>
    <m/>
    <x v="1"/>
    <x v="12"/>
    <m/>
    <m/>
    <s v="MANISTEE NATIONAL FOREST"/>
    <s v="T14N, R15W, MI MERIDIAN"/>
    <s v="SEC 27, S2NW; SEC 28, W2NW; SEC29, E2NW, NE; SEC 32, NW"/>
    <m/>
    <m/>
  </r>
  <r>
    <s v="MIES55492"/>
    <x v="2"/>
    <x v="0"/>
    <d v="2008-09-25T00:00:00"/>
    <d v="2008-12-01T00:00:00"/>
    <x v="37"/>
    <n v="299.73"/>
    <x v="124"/>
    <x v="9"/>
    <n v="0.45"/>
    <n v="0.1"/>
    <m/>
    <s v="ES-070-09/08"/>
    <m/>
    <m/>
    <n v="1190"/>
    <n v="600"/>
    <m/>
    <m/>
    <m/>
    <x v="1"/>
    <x v="12"/>
    <m/>
    <m/>
    <s v="MANISTEE NATIONAL FOREST"/>
    <s v="T14N, R16W, MI MERIDIAN"/>
    <s v="SEC 1, NENW; SEC 11, SENE; SEC 12, NWSE, SESE; SEC 13, S2NENE; SEC 24, SWNE, NENE, SENE"/>
    <m/>
    <m/>
  </r>
  <r>
    <s v="MIES55493"/>
    <x v="2"/>
    <x v="0"/>
    <d v="2008-09-25T00:00:00"/>
    <d v="2008-12-01T00:00:00"/>
    <x v="37"/>
    <n v="200"/>
    <x v="124"/>
    <x v="9"/>
    <n v="0.45"/>
    <n v="0.1"/>
    <m/>
    <s v="ES-071-09/08"/>
    <m/>
    <m/>
    <n v="840"/>
    <n v="400"/>
    <m/>
    <m/>
    <m/>
    <x v="1"/>
    <x v="12"/>
    <m/>
    <m/>
    <s v="MANISTEE NATIONAL FOREST"/>
    <s v="T14N, R16W, MI MERIDIAN"/>
    <s v="SEC 31, E2NE, NESE; SEC 32, S2SW"/>
    <m/>
    <m/>
  </r>
  <r>
    <s v="MIES55494"/>
    <x v="2"/>
    <x v="0"/>
    <d v="2008-09-25T00:00:00"/>
    <d v="2008-12-01T00:00:00"/>
    <x v="37"/>
    <n v="769.83"/>
    <x v="123"/>
    <x v="9"/>
    <n v="0.45"/>
    <n v="0.1"/>
    <m/>
    <s v="ES-072-09/08"/>
    <m/>
    <m/>
    <n v="2835"/>
    <n v="1540"/>
    <m/>
    <m/>
    <m/>
    <x v="1"/>
    <x v="12"/>
    <m/>
    <m/>
    <s v="MANISTEE NATIONAL FOREST"/>
    <s v="T16N, R14W, MI MERIDIAN"/>
    <s v="SEC 3, ALL; SEC 4, N2NE, NENW"/>
    <m/>
    <m/>
  </r>
  <r>
    <s v="MIES55495"/>
    <x v="2"/>
    <x v="0"/>
    <d v="2008-09-25T00:00:00"/>
    <d v="2008-12-01T00:00:00"/>
    <x v="37"/>
    <n v="444.7"/>
    <x v="123"/>
    <x v="9"/>
    <n v="0.45"/>
    <n v="0.1"/>
    <m/>
    <s v="ES-073-09/08"/>
    <m/>
    <m/>
    <n v="1697.5"/>
    <n v="890"/>
    <m/>
    <m/>
    <m/>
    <x v="1"/>
    <x v="12"/>
    <m/>
    <m/>
    <s v="MANISTEE NATIONAL FOREST"/>
    <s v="T16N, R14W, MI MERIDIAN"/>
    <s v="SEC 5, SW; SEC 7, N2NW (EXCL 1A),S2NW, N2SW, S2S2SW"/>
    <m/>
    <m/>
  </r>
  <r>
    <s v="MIES55496"/>
    <x v="2"/>
    <x v="0"/>
    <d v="2008-09-25T00:00:00"/>
    <d v="2008-12-01T00:00:00"/>
    <x v="37"/>
    <n v="520"/>
    <x v="123"/>
    <x v="9"/>
    <n v="0.45"/>
    <n v="0.1"/>
    <m/>
    <s v="ES-074-09/08"/>
    <m/>
    <m/>
    <n v="1960"/>
    <n v="1040"/>
    <m/>
    <m/>
    <m/>
    <x v="1"/>
    <x v="12"/>
    <m/>
    <m/>
    <s v="MANISTEE NATIONAL FOREST"/>
    <s v="T16N, R14W, MI MERIDIAN"/>
    <s v="SEC 16, S2SW, NWSW; SEC 17, W2NE; SEC 21, W2"/>
    <m/>
    <m/>
  </r>
  <r>
    <s v="MIES55497"/>
    <x v="2"/>
    <x v="0"/>
    <d v="2008-09-25T00:00:00"/>
    <d v="2008-12-01T00:00:00"/>
    <x v="37"/>
    <n v="640"/>
    <x v="123"/>
    <x v="9"/>
    <n v="0.45"/>
    <n v="0.1"/>
    <m/>
    <s v="ES-075-09/08"/>
    <m/>
    <m/>
    <n v="2380"/>
    <n v="1280"/>
    <m/>
    <m/>
    <m/>
    <x v="1"/>
    <x v="12"/>
    <m/>
    <m/>
    <s v="MANISTEE NATIONAL FOREST"/>
    <s v="T16N, R14W, MI MERIDIAN"/>
    <s v="SEC 27, W2NW, SW; SEC 28, NWSW; SEC 34, S2SE; SEC35, W2, EXCL NENW"/>
    <m/>
    <m/>
  </r>
  <r>
    <s v="MIES55498"/>
    <x v="2"/>
    <x v="0"/>
    <d v="2008-09-25T00:00:00"/>
    <d v="2008-12-01T00:00:00"/>
    <x v="37"/>
    <n v="848.8"/>
    <x v="124"/>
    <x v="9"/>
    <n v="0.45"/>
    <n v="0.1"/>
    <m/>
    <s v="ES-076-09/08"/>
    <m/>
    <m/>
    <n v="3111.5"/>
    <n v="1698"/>
    <m/>
    <m/>
    <m/>
    <x v="1"/>
    <x v="12"/>
    <m/>
    <m/>
    <s v="MANISTEE NATIONAL FOREST"/>
    <s v="T16N, R15W, MI MERIDIAN"/>
    <s v="SEC 4, W2SE, SWSW, E2SW; SEC7, ALL; "/>
    <m/>
    <m/>
  </r>
  <r>
    <s v="MIES55499"/>
    <x v="2"/>
    <x v="0"/>
    <d v="2008-09-25T00:00:00"/>
    <d v="2008-12-01T00:00:00"/>
    <x v="37"/>
    <n v="800"/>
    <x v="124"/>
    <x v="9"/>
    <n v="0.45"/>
    <n v="0.1"/>
    <m/>
    <s v="ES-077-09/08"/>
    <m/>
    <m/>
    <n v="2940"/>
    <n v="1600"/>
    <m/>
    <m/>
    <m/>
    <x v="1"/>
    <x v="12"/>
    <m/>
    <m/>
    <s v="MANISTEE NATIONAL FOREST"/>
    <s v="T16N, R15W, MI MERIDIAN"/>
    <s v="SEC 10, E4, NWNE; SEC 11, W2, SE; SEC 12, NENE, S2NE"/>
    <m/>
    <m/>
  </r>
  <r>
    <s v="MIES55500"/>
    <x v="2"/>
    <x v="0"/>
    <d v="2008-09-25T00:00:00"/>
    <d v="2008-12-01T00:00:00"/>
    <x v="37"/>
    <n v="920"/>
    <x v="124"/>
    <x v="9"/>
    <n v="0.45"/>
    <n v="0.1"/>
    <m/>
    <s v="ES-078-09/08"/>
    <m/>
    <m/>
    <n v="3360"/>
    <n v="1840"/>
    <m/>
    <m/>
    <m/>
    <x v="1"/>
    <x v="12"/>
    <m/>
    <m/>
    <s v="MANISTEE NATIONAL FOREST"/>
    <s v="T16N, R15W, MI MERIDIAN"/>
    <s v="SEC 14, ALL; SEC 23, N2SW; SEC 24, S2NW, NWNE, N2NW"/>
    <m/>
    <m/>
  </r>
  <r>
    <s v="MIES55501"/>
    <x v="2"/>
    <x v="0"/>
    <d v="2008-09-25T00:00:00"/>
    <d v="2008-12-01T00:00:00"/>
    <x v="37"/>
    <n v="435"/>
    <x v="124"/>
    <x v="9"/>
    <n v="0.45"/>
    <n v="0.1"/>
    <m/>
    <s v="ES-079-09/08"/>
    <m/>
    <m/>
    <n v="1662.5"/>
    <n v="870"/>
    <m/>
    <m/>
    <m/>
    <x v="1"/>
    <x v="12"/>
    <m/>
    <m/>
    <s v="MANISTEE NATIONAL FOREST"/>
    <s v="T16N, R15W, MI MERIDIAN"/>
    <s v="SEC 21, N2SENE, SESENE, E2SWSENE; SEC 22, S2SW; SEC 27, NWNW, NENW; SEC 28, N2NE, N2NW, S2NE"/>
    <m/>
    <m/>
  </r>
  <r>
    <s v="MIES55502"/>
    <x v="2"/>
    <x v="0"/>
    <d v="2008-09-25T00:00:00"/>
    <d v="2008-12-01T00:00:00"/>
    <x v="37"/>
    <n v="1262.6300000000001"/>
    <x v="124"/>
    <x v="9"/>
    <n v="0.45"/>
    <n v="0.1"/>
    <m/>
    <s v="ES-080-09/08"/>
    <m/>
    <m/>
    <n v="166224.5"/>
    <n v="2526"/>
    <m/>
    <m/>
    <m/>
    <x v="1"/>
    <x v="12"/>
    <m/>
    <m/>
    <s v="MANISTEE NATIONAL FOREST"/>
    <s v="T16N, R16W, MI MERIDIAN"/>
    <s v="SEC 1, ALL; SEC 2, ALL EXCEPT S2NWNW"/>
    <m/>
    <m/>
  </r>
  <r>
    <s v="MIES55503"/>
    <x v="2"/>
    <x v="0"/>
    <d v="2008-09-25T00:00:00"/>
    <d v="2008-12-01T00:00:00"/>
    <x v="37"/>
    <n v="1440"/>
    <x v="124"/>
    <x v="9"/>
    <n v="0.45"/>
    <n v="0.1"/>
    <m/>
    <s v="ES-081-09/08"/>
    <m/>
    <m/>
    <n v="5180"/>
    <n v="2880"/>
    <m/>
    <m/>
    <m/>
    <x v="1"/>
    <x v="12"/>
    <m/>
    <m/>
    <s v="MANISTEE NATIONAL FOREST"/>
    <s v="T16N, R16W, MI MERIDIAN"/>
    <s v="SEC 9, ALL; SEC 10, ALL; SEC 15, NE"/>
    <m/>
    <m/>
  </r>
  <r>
    <s v="MIES55504"/>
    <x v="2"/>
    <x v="0"/>
    <d v="2008-09-25T00:00:00"/>
    <d v="2008-12-01T00:00:00"/>
    <x v="37"/>
    <n v="965.65"/>
    <x v="125"/>
    <x v="9"/>
    <n v="0.45"/>
    <n v="0.1"/>
    <m/>
    <s v="ES-082-09/08"/>
    <m/>
    <m/>
    <n v="3521"/>
    <n v="1932"/>
    <m/>
    <m/>
    <m/>
    <x v="1"/>
    <x v="12"/>
    <m/>
    <m/>
    <s v="MANISTEE NATIONAL FOREST"/>
    <s v="T17N, R15W, MI MERIDIAN"/>
    <s v="SEC 5, E2;  PORTIONS OF SEC 6, 7 &amp; 8 - SEE LEASE FOR DETAILS "/>
    <m/>
    <m/>
  </r>
  <r>
    <s v="MIES55505"/>
    <x v="2"/>
    <x v="0"/>
    <d v="2008-09-25T00:00:00"/>
    <d v="2008-12-01T00:00:00"/>
    <x v="37"/>
    <n v="160"/>
    <x v="125"/>
    <x v="9"/>
    <n v="0.45"/>
    <n v="0.1"/>
    <m/>
    <s v="ES-083-09/08"/>
    <m/>
    <m/>
    <n v="700"/>
    <n v="320"/>
    <m/>
    <m/>
    <m/>
    <x v="1"/>
    <x v="12"/>
    <m/>
    <m/>
    <s v="MANISTEE NATIONAL FOREST"/>
    <s v="T17N, R15W, MI MERIDIAN"/>
    <s v="SEC 14, 2SW, W2SW"/>
    <m/>
    <m/>
  </r>
  <r>
    <s v="MIES55506"/>
    <x v="2"/>
    <x v="0"/>
    <d v="2008-09-25T00:00:00"/>
    <d v="2008-12-01T00:00:00"/>
    <x v="37"/>
    <n v="966.62"/>
    <x v="125"/>
    <x v="9"/>
    <n v="0.45"/>
    <n v="0.1"/>
    <m/>
    <s v="ES-084-09/08"/>
    <m/>
    <m/>
    <n v="3524.5"/>
    <n v="1934"/>
    <m/>
    <m/>
    <m/>
    <x v="1"/>
    <x v="12"/>
    <m/>
    <m/>
    <s v="MANISTEE NATIONAL FOREST"/>
    <s v="T17N, R15W &amp; 16W, MI MERIDIAN"/>
    <s v="R15W: SEC 19 ALL; R16W: SEC24, E2"/>
    <m/>
    <m/>
  </r>
  <r>
    <s v="MIES55507"/>
    <x v="2"/>
    <x v="0"/>
    <d v="2008-09-25T00:00:00"/>
    <d v="2008-12-01T00:00:00"/>
    <x v="37"/>
    <n v="640"/>
    <x v="125"/>
    <x v="9"/>
    <n v="0.45"/>
    <n v="0.1"/>
    <m/>
    <s v="ES-085-09/08"/>
    <m/>
    <m/>
    <n v="2380"/>
    <n v="1280"/>
    <m/>
    <m/>
    <m/>
    <x v="1"/>
    <x v="12"/>
    <m/>
    <m/>
    <s v="MANISTEE NATIONAL FOREST"/>
    <s v="T17N, R16W, MI MERIDIAN"/>
    <s v="SEC 33, W2NESE, S2SE, SESW, E2NESE; SEC 34, NWNE, SWNE, SENW, S2, SENE"/>
    <m/>
    <m/>
  </r>
  <r>
    <s v="MIES55508"/>
    <x v="2"/>
    <x v="0"/>
    <d v="2008-09-25T00:00:00"/>
    <d v="2008-12-01T00:00:00"/>
    <x v="37"/>
    <n v="640"/>
    <x v="125"/>
    <x v="9"/>
    <n v="0.45"/>
    <n v="0.1"/>
    <m/>
    <s v="ES-086-09/08"/>
    <m/>
    <m/>
    <n v="2380"/>
    <n v="1280"/>
    <m/>
    <m/>
    <m/>
    <x v="1"/>
    <x v="12"/>
    <m/>
    <m/>
    <s v="MANISTEE NATIONAL FOREST"/>
    <s v="T17N, R16W, MI MERIDIAN"/>
    <s v="SEC 35, E2SE, SWSE, NESW, NWSE, N2NW, NE, S2NW, W2SW, SESW"/>
    <m/>
    <m/>
  </r>
  <r>
    <m/>
    <x v="1"/>
    <x v="1"/>
    <m/>
    <m/>
    <x v="1"/>
    <m/>
    <x v="1"/>
    <x v="1"/>
    <m/>
    <m/>
    <m/>
    <m/>
    <m/>
    <m/>
    <n v="364282"/>
    <m/>
    <m/>
    <m/>
    <m/>
    <x v="1"/>
    <x v="1"/>
    <m/>
    <m/>
    <m/>
    <m/>
    <m/>
    <m/>
    <m/>
  </r>
  <r>
    <m/>
    <x v="1"/>
    <x v="1"/>
    <m/>
    <m/>
    <x v="1"/>
    <m/>
    <x v="1"/>
    <x v="1"/>
    <m/>
    <m/>
    <m/>
    <m/>
    <m/>
    <s v="AXP"/>
    <n v="99000"/>
    <m/>
    <m/>
    <m/>
    <m/>
    <x v="1"/>
    <x v="1"/>
    <m/>
    <m/>
    <m/>
    <m/>
    <m/>
    <m/>
    <m/>
  </r>
  <r>
    <m/>
    <x v="1"/>
    <x v="1"/>
    <m/>
    <m/>
    <x v="1"/>
    <m/>
    <x v="1"/>
    <x v="1"/>
    <m/>
    <m/>
    <m/>
    <m/>
    <m/>
    <s v="CHECK"/>
    <n v="265282"/>
    <m/>
    <m/>
    <m/>
    <m/>
    <x v="1"/>
    <x v="1"/>
    <m/>
    <m/>
    <m/>
    <m/>
    <m/>
    <m/>
    <m/>
  </r>
  <r>
    <m/>
    <x v="1"/>
    <x v="1"/>
    <m/>
    <m/>
    <x v="1"/>
    <m/>
    <x v="1"/>
    <x v="1"/>
    <m/>
    <m/>
    <m/>
    <m/>
    <m/>
    <m/>
    <m/>
    <m/>
    <m/>
    <m/>
    <m/>
    <x v="1"/>
    <x v="1"/>
    <m/>
    <m/>
    <m/>
    <m/>
    <m/>
    <m/>
    <m/>
  </r>
  <r>
    <m/>
    <x v="1"/>
    <x v="1"/>
    <m/>
    <m/>
    <x v="1"/>
    <m/>
    <x v="1"/>
    <x v="1"/>
    <m/>
    <m/>
    <m/>
    <m/>
    <m/>
    <m/>
    <m/>
    <m/>
    <m/>
    <m/>
    <m/>
    <x v="1"/>
    <x v="1"/>
    <m/>
    <m/>
    <m/>
    <m/>
    <m/>
    <m/>
    <m/>
  </r>
  <r>
    <s v="TXNM121523"/>
    <x v="2"/>
    <x v="0"/>
    <d v="2008-10-22T00:00:00"/>
    <d v="2009-01-01T00:00:00"/>
    <x v="38"/>
    <n v="435.6"/>
    <x v="18"/>
    <x v="0"/>
    <n v="0.22500000000000001"/>
    <n v="0.05"/>
    <m/>
    <s v="200810-057"/>
    <m/>
    <m/>
    <n v="9117"/>
    <n v="654"/>
    <m/>
    <m/>
    <m/>
    <x v="79"/>
    <x v="14"/>
    <m/>
    <m/>
    <m/>
    <s v="TR I-C-12, I-C-32"/>
    <m/>
    <m/>
    <m/>
  </r>
  <r>
    <s v="TXNM121524"/>
    <x v="2"/>
    <x v="0"/>
    <d v="2008-10-22T00:00:00"/>
    <d v="2009-01-01T00:00:00"/>
    <x v="38"/>
    <n v="491.7"/>
    <x v="18"/>
    <x v="0"/>
    <n v="0.22500000000000001"/>
    <n v="0.05"/>
    <m/>
    <s v="200810-058"/>
    <m/>
    <m/>
    <n v="10279"/>
    <n v="738"/>
    <m/>
    <m/>
    <m/>
    <x v="80"/>
    <x v="14"/>
    <m/>
    <m/>
    <m/>
    <s v="TR I-C-127; TR I-C-128; TR I-C-129; TR I-C-130; See lease for details"/>
    <m/>
    <m/>
    <m/>
  </r>
  <r>
    <s v="TXNM121526"/>
    <x v="2"/>
    <x v="0"/>
    <d v="2008-10-22T00:00:00"/>
    <d v="2009-01-01T00:00:00"/>
    <x v="38"/>
    <n v="1479.5"/>
    <x v="18"/>
    <x v="0"/>
    <n v="0.22500000000000001"/>
    <n v="0.05"/>
    <m/>
    <s v="200810-060"/>
    <m/>
    <m/>
    <n v="38180"/>
    <n v="2220"/>
    <m/>
    <m/>
    <m/>
    <x v="79"/>
    <x v="14"/>
    <m/>
    <m/>
    <m/>
    <s v="TR I-C-131-1; TR I-C-131-2; TR I-C-132; TR I-C-133-1; TR I-C-133-2; TR I-C-135; TR I-C-137"/>
    <m/>
    <m/>
    <m/>
  </r>
  <r>
    <s v="TXNM121527"/>
    <x v="2"/>
    <x v="0"/>
    <d v="2008-10-22T00:00:00"/>
    <d v="2009-01-01T00:00:00"/>
    <x v="38"/>
    <n v="721.7"/>
    <x v="18"/>
    <x v="0"/>
    <n v="0.22500000000000001"/>
    <n v="0.05"/>
    <m/>
    <s v="200810-061"/>
    <m/>
    <m/>
    <n v="15051.5"/>
    <n v="1083"/>
    <m/>
    <m/>
    <m/>
    <x v="80"/>
    <x v="14"/>
    <m/>
    <m/>
    <m/>
    <s v="TR I-C-124-1; TR I-C-125-1; TR I-C-125-2; TR I-C-125-3; TR I-C-126; TR I-C-155"/>
    <m/>
    <m/>
    <m/>
  </r>
  <r>
    <s v="TXNM121528"/>
    <x v="2"/>
    <x v="0"/>
    <d v="2008-10-22T00:00:00"/>
    <d v="2009-01-01T00:00:00"/>
    <x v="38"/>
    <n v="137.84"/>
    <x v="18"/>
    <x v="0"/>
    <n v="0.22500000000000001"/>
    <n v="0.05"/>
    <m/>
    <s v="200810-062"/>
    <m/>
    <m/>
    <n v="2243.5"/>
    <n v="207"/>
    <m/>
    <m/>
    <m/>
    <x v="79"/>
    <x v="14"/>
    <m/>
    <m/>
    <m/>
    <s v="TR I-C-143; TR I-C-144-4; TR I-C-150; TR I-C-200; TR I-C-202; TR I-C-203; TR I-C-217"/>
    <m/>
    <m/>
    <m/>
  </r>
  <r>
    <s v="TXNM121529"/>
    <x v="2"/>
    <x v="0"/>
    <d v="2008-10-22T00:00:00"/>
    <d v="2009-01-01T00:00:00"/>
    <x v="38"/>
    <n v="18.23"/>
    <x v="18"/>
    <x v="0"/>
    <n v="0.22500000000000001"/>
    <n v="0.05"/>
    <m/>
    <s v="200810-063"/>
    <m/>
    <m/>
    <n v="103.25"/>
    <n v="28.5"/>
    <m/>
    <m/>
    <m/>
    <x v="80"/>
    <x v="14"/>
    <m/>
    <m/>
    <m/>
    <s v="TR I-C-175; TR I-C-218; TR I-C-29-1; TR I-C-29-2"/>
    <m/>
    <m/>
    <m/>
  </r>
  <r>
    <s v="TXNM121530"/>
    <x v="2"/>
    <x v="0"/>
    <d v="2008-10-22T00:00:00"/>
    <d v="2009-01-01T00:00:00"/>
    <x v="38"/>
    <n v="266.2"/>
    <x v="18"/>
    <x v="0"/>
    <n v="0.22500000000000001"/>
    <n v="0.05"/>
    <m/>
    <s v="200810-064"/>
    <m/>
    <m/>
    <n v="5610.25"/>
    <n v="400.5"/>
    <m/>
    <m/>
    <m/>
    <x v="79"/>
    <x v="14"/>
    <m/>
    <m/>
    <m/>
    <s v="TR I-C-31; TR I-C-39; TR I-C-39-A; TR I-C-40"/>
    <m/>
    <m/>
    <m/>
  </r>
  <r>
    <s v="TXNM121531"/>
    <x v="2"/>
    <x v="0"/>
    <d v="2008-10-22T00:00:00"/>
    <d v="2009-01-01T00:00:00"/>
    <x v="38"/>
    <n v="50.65"/>
    <x v="18"/>
    <x v="0"/>
    <n v="0.22500000000000001"/>
    <n v="0.05"/>
    <m/>
    <s v="200810-065"/>
    <m/>
    <m/>
    <n v="873.25"/>
    <n v="76.5"/>
    <m/>
    <m/>
    <m/>
    <x v="80"/>
    <x v="14"/>
    <m/>
    <m/>
    <m/>
    <s v="TR I-C-14; TR I-C-168; TR I-C-222; See lease for details"/>
    <m/>
    <m/>
    <m/>
  </r>
  <r>
    <s v="TXNM121532"/>
    <x v="2"/>
    <x v="0"/>
    <d v="2008-10-22T00:00:00"/>
    <d v="2009-01-01T00:00:00"/>
    <x v="38"/>
    <n v="132.69999999999999"/>
    <x v="18"/>
    <x v="0"/>
    <n v="0.22500000000000001"/>
    <n v="0.05"/>
    <m/>
    <s v="200810-066"/>
    <m/>
    <m/>
    <n v="2164.75"/>
    <n v="199.5"/>
    <m/>
    <m/>
    <m/>
    <x v="79"/>
    <x v="14"/>
    <m/>
    <m/>
    <m/>
    <s v="TR I-C-214-1; TR I-C-214-2; TR I-C-219-1; TR I-C-219-2"/>
    <m/>
    <m/>
    <m/>
  </r>
  <r>
    <m/>
    <x v="1"/>
    <x v="1"/>
    <m/>
    <m/>
    <x v="1"/>
    <m/>
    <x v="1"/>
    <x v="1"/>
    <m/>
    <m/>
    <m/>
    <m/>
    <m/>
    <m/>
    <n v="83622.5"/>
    <m/>
    <m/>
    <m/>
    <m/>
    <x v="1"/>
    <x v="1"/>
    <m/>
    <m/>
    <m/>
    <m/>
    <m/>
    <m/>
    <m/>
  </r>
  <r>
    <m/>
    <x v="1"/>
    <x v="1"/>
    <m/>
    <m/>
    <x v="1"/>
    <m/>
    <x v="1"/>
    <x v="1"/>
    <m/>
    <m/>
    <m/>
    <m/>
    <m/>
    <m/>
    <m/>
    <m/>
    <m/>
    <m/>
    <m/>
    <x v="1"/>
    <x v="1"/>
    <m/>
    <m/>
    <m/>
    <m/>
    <m/>
    <m/>
    <m/>
  </r>
  <r>
    <m/>
    <x v="1"/>
    <x v="1"/>
    <m/>
    <m/>
    <x v="1"/>
    <m/>
    <x v="1"/>
    <x v="1"/>
    <m/>
    <m/>
    <m/>
    <m/>
    <s v="CREDIT FROM MMS"/>
    <m/>
    <n v="-1448"/>
    <m/>
    <m/>
    <m/>
    <m/>
    <x v="1"/>
    <x v="1"/>
    <m/>
    <m/>
    <m/>
    <m/>
    <m/>
    <m/>
    <m/>
  </r>
  <r>
    <m/>
    <x v="1"/>
    <x v="1"/>
    <m/>
    <m/>
    <x v="1"/>
    <m/>
    <x v="1"/>
    <x v="1"/>
    <m/>
    <m/>
    <m/>
    <m/>
    <m/>
    <m/>
    <m/>
    <m/>
    <m/>
    <m/>
    <m/>
    <x v="1"/>
    <x v="1"/>
    <m/>
    <m/>
    <m/>
    <m/>
    <m/>
    <m/>
    <m/>
  </r>
  <r>
    <m/>
    <x v="1"/>
    <x v="1"/>
    <m/>
    <m/>
    <x v="1"/>
    <m/>
    <x v="1"/>
    <x v="1"/>
    <m/>
    <m/>
    <m/>
    <m/>
    <m/>
    <m/>
    <m/>
    <m/>
    <m/>
    <m/>
    <m/>
    <x v="1"/>
    <x v="1"/>
    <m/>
    <m/>
    <m/>
    <m/>
    <m/>
    <m/>
    <m/>
  </r>
  <r>
    <s v="ALES55543"/>
    <x v="2"/>
    <x v="0"/>
    <d v="2008-12-18T00:00:00"/>
    <d v="2009-02-01T00:00:00"/>
    <x v="39"/>
    <n v="160"/>
    <x v="105"/>
    <x v="6"/>
    <n v="0.45"/>
    <n v="0.1"/>
    <m/>
    <m/>
    <m/>
    <m/>
    <n v="1554"/>
    <n v="320"/>
    <m/>
    <m/>
    <m/>
    <x v="81"/>
    <x v="14"/>
    <m/>
    <m/>
    <s v="BLM; Conecuh National Forest"/>
    <s v="T0010N, R0130E; 25 Meridian"/>
    <s v="Sec. 003, N2NE, N2SE"/>
    <m/>
    <m/>
  </r>
  <r>
    <s v="ALES55546"/>
    <x v="2"/>
    <x v="0"/>
    <d v="2008-12-18T00:00:00"/>
    <d v="2009-02-01T00:00:00"/>
    <x v="39"/>
    <n v="640"/>
    <x v="105"/>
    <x v="6"/>
    <n v="0.45"/>
    <n v="0.1"/>
    <m/>
    <m/>
    <m/>
    <m/>
    <n v="3020"/>
    <n v="1280"/>
    <m/>
    <m/>
    <m/>
    <x v="1"/>
    <x v="14"/>
    <m/>
    <m/>
    <s v="BLM; Conecuh National Forest"/>
    <s v="T0010N, R0130E; 25 Meridian"/>
    <s v="Sec. 021, All"/>
    <m/>
    <m/>
  </r>
  <r>
    <s v="ALES55551"/>
    <x v="2"/>
    <x v="0"/>
    <d v="2008-12-18T00:00:00"/>
    <d v="2009-02-01T00:00:00"/>
    <x v="39"/>
    <n v="160"/>
    <x v="39"/>
    <x v="6"/>
    <n v="0.45"/>
    <n v="0.1"/>
    <m/>
    <m/>
    <m/>
    <m/>
    <n v="860"/>
    <n v="320"/>
    <m/>
    <m/>
    <m/>
    <x v="1"/>
    <x v="14"/>
    <m/>
    <m/>
    <s v="BLM; Talledega National Forest"/>
    <s v="T0220N; R0070E; 25 Meridian"/>
    <s v="Sec. 021, SW"/>
    <m/>
    <m/>
  </r>
  <r>
    <s v="INES55563"/>
    <x v="2"/>
    <x v="0"/>
    <d v="2008-12-18T00:00:00"/>
    <d v="2009-02-01T00:00:00"/>
    <x v="39"/>
    <n v="2167.33"/>
    <x v="126"/>
    <x v="13"/>
    <n v="0.45"/>
    <n v="0.1"/>
    <m/>
    <m/>
    <m/>
    <m/>
    <n v="7728"/>
    <n v="4336"/>
    <m/>
    <m/>
    <m/>
    <x v="1"/>
    <x v="14"/>
    <m/>
    <m/>
    <s v="BLM; Hoosier National Forest"/>
    <s v="See lease for details"/>
    <s v="See lease for details"/>
    <m/>
    <m/>
  </r>
  <r>
    <s v="INES55564"/>
    <x v="2"/>
    <x v="0"/>
    <d v="2008-12-18T00:00:00"/>
    <d v="2009-02-01T00:00:00"/>
    <x v="39"/>
    <n v="2388.6999999999998"/>
    <x v="126"/>
    <x v="13"/>
    <n v="0.45"/>
    <n v="0.1"/>
    <m/>
    <m/>
    <m/>
    <m/>
    <n v="8501.5"/>
    <n v="4778"/>
    <m/>
    <m/>
    <m/>
    <x v="1"/>
    <x v="14"/>
    <m/>
    <m/>
    <s v="BLM; Hoosier National Forest"/>
    <s v="See lease for details"/>
    <s v="See lease for details"/>
    <m/>
    <m/>
  </r>
  <r>
    <s v="INES55569"/>
    <x v="2"/>
    <x v="0"/>
    <d v="2008-12-18T00:00:00"/>
    <d v="2009-02-01T00:00:00"/>
    <x v="39"/>
    <n v="1133.46"/>
    <x v="39"/>
    <x v="13"/>
    <n v="0.45"/>
    <n v="0.1"/>
    <m/>
    <m/>
    <m/>
    <m/>
    <n v="5243"/>
    <n v="2268"/>
    <m/>
    <m/>
    <m/>
    <x v="1"/>
    <x v="14"/>
    <m/>
    <m/>
    <s v="BLM; Hoosier National Forest"/>
    <s v="T0060S, R0010W; 02 Meridian"/>
    <s v="Sec. 005; See Lease for details"/>
    <m/>
    <m/>
  </r>
  <r>
    <s v="INES55570"/>
    <x v="2"/>
    <x v="0"/>
    <d v="2008-12-18T00:00:00"/>
    <d v="2009-02-01T00:00:00"/>
    <x v="39"/>
    <n v="2218.42"/>
    <x v="39"/>
    <x v="13"/>
    <n v="0.45"/>
    <n v="0.1"/>
    <m/>
    <m/>
    <m/>
    <m/>
    <n v="10125.5"/>
    <n v="4438"/>
    <m/>
    <m/>
    <m/>
    <x v="1"/>
    <x v="14"/>
    <m/>
    <m/>
    <s v="BLM; Hoosier National Forest"/>
    <s v="T0060S, R0020W; 01 Meridian"/>
    <s v="Sec. 001; See lease for details"/>
    <m/>
    <m/>
  </r>
  <r>
    <m/>
    <x v="1"/>
    <x v="1"/>
    <m/>
    <m/>
    <x v="1"/>
    <m/>
    <x v="1"/>
    <x v="1"/>
    <m/>
    <m/>
    <m/>
    <m/>
    <m/>
    <m/>
    <n v="37032"/>
    <m/>
    <m/>
    <m/>
    <m/>
    <x v="1"/>
    <x v="1"/>
    <m/>
    <m/>
    <m/>
    <m/>
    <m/>
    <m/>
    <m/>
  </r>
  <r>
    <m/>
    <x v="1"/>
    <x v="1"/>
    <m/>
    <m/>
    <x v="1"/>
    <m/>
    <x v="1"/>
    <x v="1"/>
    <m/>
    <m/>
    <m/>
    <m/>
    <m/>
    <m/>
    <m/>
    <m/>
    <m/>
    <m/>
    <m/>
    <x v="1"/>
    <x v="1"/>
    <m/>
    <m/>
    <m/>
    <m/>
    <m/>
    <m/>
    <m/>
  </r>
  <r>
    <m/>
    <x v="1"/>
    <x v="1"/>
    <m/>
    <m/>
    <x v="1"/>
    <m/>
    <x v="1"/>
    <x v="1"/>
    <m/>
    <m/>
    <m/>
    <s v="BALANCE 12-31-2008"/>
    <m/>
    <m/>
    <n v="16377761"/>
    <m/>
    <m/>
    <m/>
    <m/>
    <x v="1"/>
    <x v="1"/>
    <m/>
    <m/>
    <m/>
    <m/>
    <m/>
    <m/>
    <m/>
  </r>
  <r>
    <m/>
    <x v="1"/>
    <x v="1"/>
    <m/>
    <m/>
    <x v="1"/>
    <m/>
    <x v="1"/>
    <x v="1"/>
    <m/>
    <m/>
    <m/>
    <m/>
    <m/>
    <m/>
    <m/>
    <m/>
    <m/>
    <m/>
    <m/>
    <x v="1"/>
    <x v="1"/>
    <m/>
    <m/>
    <m/>
    <m/>
    <m/>
    <m/>
    <m/>
  </r>
  <r>
    <m/>
    <x v="1"/>
    <x v="1"/>
    <m/>
    <m/>
    <x v="1"/>
    <m/>
    <x v="1"/>
    <x v="1"/>
    <m/>
    <m/>
    <m/>
    <m/>
    <m/>
    <m/>
    <m/>
    <m/>
    <m/>
    <m/>
    <m/>
    <x v="1"/>
    <x v="1"/>
    <m/>
    <m/>
    <m/>
    <m/>
    <m/>
    <m/>
    <m/>
  </r>
  <r>
    <s v="NMNM121919"/>
    <x v="2"/>
    <x v="0"/>
    <d v="2009-01-21T00:00:00"/>
    <d v="2009-05-01T00:00:00"/>
    <x v="40"/>
    <n v="1360"/>
    <x v="113"/>
    <x v="7"/>
    <n v="0.45"/>
    <n v="0.1"/>
    <m/>
    <m/>
    <n v="4900"/>
    <m/>
    <n v="4900"/>
    <n v="2720"/>
    <m/>
    <m/>
    <m/>
    <x v="1"/>
    <x v="14"/>
    <m/>
    <m/>
    <s v="BLM"/>
    <s v="T 0070N; R0190E; NMPM Meridian"/>
    <s v="Sec. 013, SESE; Sec. 023, NESE, SWSE; Sec. 024, N2NE, SENW; Sec. 026, NWNW; Sec. 027, S2NE, NESW; Sec. 028, SESE; Sec. 033, N2NE, NENW, S2NW; Sec. 034, N2SW, Sec. 025, All"/>
    <m/>
    <m/>
  </r>
  <r>
    <s v="NMNM121920"/>
    <x v="2"/>
    <x v="0"/>
    <d v="2009-01-21T00:00:00"/>
    <d v="2009-05-01T00:00:00"/>
    <x v="40"/>
    <n v="1344.58"/>
    <x v="113"/>
    <x v="7"/>
    <n v="0.45"/>
    <n v="0.1"/>
    <m/>
    <m/>
    <n v="4847.5"/>
    <m/>
    <n v="4847.5"/>
    <n v="2690"/>
    <m/>
    <m/>
    <m/>
    <x v="1"/>
    <x v="14"/>
    <m/>
    <m/>
    <s v="BLM"/>
    <s v="T 0070N; R0190E; NMPM Meridian"/>
    <s v="Sec. 017, N2; Sec. 018, Lots 1-4; Sec. 018, NE, E2W2, NESE, W2SE; Sec. 019, Lots 1, 2; Sec. 019, NE, E2NW; Sec. 020, N2NW, SWNW"/>
    <m/>
    <m/>
  </r>
  <r>
    <s v="NMNM121938"/>
    <x v="2"/>
    <x v="0"/>
    <d v="2009-01-21T00:00:00"/>
    <d v="2009-05-01T00:00:00"/>
    <x v="40"/>
    <n v="1359.65"/>
    <x v="62"/>
    <x v="7"/>
    <n v="0.45"/>
    <n v="0.1"/>
    <m/>
    <m/>
    <n v="4900"/>
    <n v="78880"/>
    <n v="83780"/>
    <n v="2720"/>
    <m/>
    <m/>
    <m/>
    <x v="1"/>
    <x v="14"/>
    <m/>
    <m/>
    <s v="BLM"/>
    <s v="T0090S; R0270E &amp; R0280E; NMPM Meridian"/>
    <s v="Sec. 013, S2N2, S2; Sec. 023, N2, SW, N2SE, SWSE; Sec. 024, NWNE, NW; Sec. 026, NWNW; Sec. 018, Lot 4"/>
    <m/>
    <m/>
  </r>
  <r>
    <s v="NMNM121959"/>
    <x v="2"/>
    <x v="0"/>
    <d v="2009-01-21T00:00:00"/>
    <d v="2009-05-01T00:00:00"/>
    <x v="40"/>
    <n v="160"/>
    <x v="63"/>
    <x v="7"/>
    <n v="0.45"/>
    <n v="0.1"/>
    <m/>
    <m/>
    <n v="700"/>
    <n v="7680"/>
    <n v="8380"/>
    <n v="320"/>
    <m/>
    <m/>
    <m/>
    <x v="1"/>
    <x v="14"/>
    <m/>
    <m/>
    <s v="BLM"/>
    <s v="T0090S, R0360E, NMPM Meridian"/>
    <s v="Sec. 034, SW"/>
    <m/>
    <s v="Instrument#50533 Book 1806 Page 362"/>
  </r>
  <r>
    <s v="OKNM121970"/>
    <x v="2"/>
    <x v="0"/>
    <d v="2009-01-21T00:00:00"/>
    <d v="2009-05-01T00:00:00"/>
    <x v="40"/>
    <n v="2060"/>
    <x v="115"/>
    <x v="5"/>
    <n v="0.45"/>
    <n v="0.1"/>
    <m/>
    <m/>
    <n v="7350"/>
    <m/>
    <n v="7350"/>
    <n v="4120"/>
    <m/>
    <m/>
    <m/>
    <x v="1"/>
    <x v="14"/>
    <m/>
    <m/>
    <s v="Corps of Engineers; Wister Lake"/>
    <s v="T0050N, R0250E, IM Meridian"/>
    <s v="See lease for details"/>
    <m/>
    <m/>
  </r>
  <r>
    <s v="TXNM121974"/>
    <x v="2"/>
    <x v="0"/>
    <d v="2009-01-21T00:00:00"/>
    <d v="2009-05-01T00:00:00"/>
    <x v="40"/>
    <n v="168.22"/>
    <x v="120"/>
    <x v="0"/>
    <n v="0.45"/>
    <n v="0.1"/>
    <m/>
    <m/>
    <n v="731.5"/>
    <n v="46137"/>
    <n v="46868.5"/>
    <n v="338"/>
    <m/>
    <m/>
    <m/>
    <x v="1"/>
    <x v="14"/>
    <m/>
    <m/>
    <s v="Corps of Engineers; Somerville Lake"/>
    <s v="The eastern most portion of Tract 106 containing 51.38 acres "/>
    <s v="113, 116, 119, 125; TR 148, 400-1 "/>
    <s v="YES"/>
    <m/>
  </r>
  <r>
    <s v="TXNM121976"/>
    <x v="2"/>
    <x v="0"/>
    <d v="2009-01-21T00:00:00"/>
    <d v="2009-05-01T00:00:00"/>
    <x v="40"/>
    <n v="169.1"/>
    <x v="127"/>
    <x v="0"/>
    <n v="0.45"/>
    <n v="0.1"/>
    <m/>
    <m/>
    <n v="735"/>
    <n v="55760"/>
    <n v="56495"/>
    <n v="340"/>
    <m/>
    <m/>
    <m/>
    <x v="1"/>
    <x v="14"/>
    <m/>
    <m/>
    <s v="U.S. Forest Service; Sabine National Forest"/>
    <s v="TR S-1B-C; See lease for details"/>
    <m/>
    <s v="YES"/>
    <m/>
  </r>
  <r>
    <s v="TXNM121983"/>
    <x v="2"/>
    <x v="0"/>
    <d v="2009-01-21T00:00:00"/>
    <d v="2009-05-01T00:00:00"/>
    <x v="40"/>
    <n v="26.73"/>
    <x v="58"/>
    <x v="0"/>
    <n v="0.45"/>
    <n v="0.1"/>
    <m/>
    <m/>
    <n v="234.5"/>
    <n v="486"/>
    <n v="720.5"/>
    <n v="54"/>
    <m/>
    <m/>
    <m/>
    <x v="1"/>
    <x v="14"/>
    <m/>
    <m/>
    <s v="U.S. Forest Service; Sabine National Forest"/>
    <s v="TR S-23; See lease for details"/>
    <m/>
    <s v="YES"/>
    <m/>
  </r>
  <r>
    <s v="TXNM121987"/>
    <x v="2"/>
    <x v="0"/>
    <d v="2009-01-21T00:00:00"/>
    <d v="2009-05-01T00:00:00"/>
    <x v="40"/>
    <n v="1072.2"/>
    <x v="37"/>
    <x v="0"/>
    <n v="0.45"/>
    <n v="0.1"/>
    <m/>
    <m/>
    <n v="3895.5"/>
    <n v="62234"/>
    <n v="66129.5"/>
    <n v="2146"/>
    <m/>
    <m/>
    <m/>
    <x v="1"/>
    <x v="14"/>
    <m/>
    <m/>
    <s v="U.S. Forest Service; Sam Houston National Forest"/>
    <s v="T 339; TR J-1-III Parcel #4; See lease for details"/>
    <m/>
    <m/>
    <s v="Doc#2018098546"/>
  </r>
  <r>
    <s v="TXNM121988"/>
    <x v="2"/>
    <x v="0"/>
    <d v="2009-01-21T00:00:00"/>
    <d v="2009-05-01T00:00:00"/>
    <x v="40"/>
    <n v="2177.75"/>
    <x v="37"/>
    <x v="0"/>
    <n v="0.45"/>
    <n v="0.1"/>
    <m/>
    <m/>
    <n v="7763"/>
    <n v="169884"/>
    <n v="177647"/>
    <n v="4356"/>
    <m/>
    <m/>
    <m/>
    <x v="1"/>
    <x v="14"/>
    <m/>
    <m/>
    <s v="U.S. Forest Service; Sam Houston National Forest"/>
    <s v="T 339; TR J-1-III Parcel #6; See lease for details"/>
    <m/>
    <m/>
    <s v="Doc#2018098546"/>
  </r>
  <r>
    <s v="TXNM121990"/>
    <x v="2"/>
    <x v="0"/>
    <d v="2009-01-21T00:00:00"/>
    <d v="2009-05-01T00:00:00"/>
    <x v="40"/>
    <n v="916.14"/>
    <x v="37"/>
    <x v="0"/>
    <n v="0.45"/>
    <n v="0.1"/>
    <m/>
    <m/>
    <n v="3349.5"/>
    <n v="27510"/>
    <n v="30859.5"/>
    <n v="1834"/>
    <m/>
    <m/>
    <m/>
    <x v="1"/>
    <x v="14"/>
    <m/>
    <m/>
    <s v="U.S. Forest Service; Sam Houston National Forest"/>
    <s v="T 339; TR J-1-IV Parcel A; See lease for details"/>
    <m/>
    <m/>
    <s v="Doc#2018098546"/>
  </r>
  <r>
    <s v="TXNM121992"/>
    <x v="2"/>
    <x v="0"/>
    <d v="2009-01-21T00:00:00"/>
    <d v="2009-05-01T00:00:00"/>
    <x v="40"/>
    <n v="366"/>
    <x v="58"/>
    <x v="0"/>
    <n v="0.45"/>
    <n v="0.1"/>
    <m/>
    <m/>
    <n v="1421"/>
    <n v="6588"/>
    <n v="8009"/>
    <n v="732"/>
    <m/>
    <m/>
    <m/>
    <x v="1"/>
    <x v="14"/>
    <m/>
    <m/>
    <s v="Sabine River Authority"/>
    <s v="T 403; TR S-2-I, S-2-III; See lease for details"/>
    <m/>
    <s v="YES"/>
    <m/>
  </r>
  <r>
    <s v="TXNM121999"/>
    <x v="2"/>
    <x v="0"/>
    <d v="2009-01-21T00:00:00"/>
    <d v="2009-05-01T00:00:00"/>
    <x v="40"/>
    <n v="2135.0100000000002"/>
    <x v="37"/>
    <x v="0"/>
    <n v="0.45"/>
    <n v="0.1"/>
    <m/>
    <m/>
    <n v="7616"/>
    <n v="230688"/>
    <n v="238304"/>
    <n v="4272"/>
    <m/>
    <m/>
    <m/>
    <x v="1"/>
    <x v="14"/>
    <m/>
    <m/>
    <s v="U.S. Forest Service; Sam Houston National Forest"/>
    <s v="J-1-IV Parcel #3; See lease for details"/>
    <m/>
    <m/>
    <s v="Doc#2018098546"/>
  </r>
  <r>
    <s v="TXNM122000"/>
    <x v="2"/>
    <x v="0"/>
    <d v="2009-01-21T00:00:00"/>
    <d v="2009-05-01T00:00:00"/>
    <x v="40"/>
    <n v="1673.53"/>
    <x v="37"/>
    <x v="0"/>
    <n v="0.45"/>
    <n v="0.1"/>
    <m/>
    <m/>
    <n v="5999"/>
    <n v="80352"/>
    <n v="86351"/>
    <n v="3348"/>
    <m/>
    <m/>
    <m/>
    <x v="1"/>
    <x v="14"/>
    <m/>
    <m/>
    <s v="U.S. Forest Service; Sam Houston National Forest"/>
    <s v="TR J-1-IV Parcel #4; See lease for details"/>
    <m/>
    <m/>
    <s v="Doc#2018098546"/>
  </r>
  <r>
    <s v="TXNM122001"/>
    <x v="2"/>
    <x v="0"/>
    <d v="2009-01-21T00:00:00"/>
    <d v="2009-05-01T00:00:00"/>
    <x v="40"/>
    <n v="2273.08"/>
    <x v="37"/>
    <x v="0"/>
    <n v="0.45"/>
    <n v="0.1"/>
    <m/>
    <m/>
    <n v="8099"/>
    <n v="120522"/>
    <n v="128621"/>
    <n v="4548"/>
    <m/>
    <m/>
    <m/>
    <x v="1"/>
    <x v="14"/>
    <m/>
    <m/>
    <s v="U.S. Forest Service; Sam Houston National Forest"/>
    <s v="TR J-1-IV Parcel #5; See lease for details"/>
    <m/>
    <m/>
    <s v="Doc#2018101190"/>
  </r>
  <r>
    <m/>
    <x v="1"/>
    <x v="1"/>
    <m/>
    <m/>
    <x v="1"/>
    <m/>
    <x v="1"/>
    <x v="1"/>
    <m/>
    <m/>
    <m/>
    <m/>
    <n v="62541.5"/>
    <n v="886721"/>
    <n v="949262.5"/>
    <m/>
    <m/>
    <m/>
    <m/>
    <x v="1"/>
    <x v="1"/>
    <m/>
    <m/>
    <m/>
    <m/>
    <m/>
    <m/>
    <m/>
  </r>
  <r>
    <m/>
    <x v="1"/>
    <x v="1"/>
    <m/>
    <m/>
    <x v="1"/>
    <m/>
    <x v="1"/>
    <x v="1"/>
    <m/>
    <m/>
    <m/>
    <s v="AXP CHGS"/>
    <n v="62541.5"/>
    <m/>
    <n v="62541.5"/>
    <m/>
    <m/>
    <m/>
    <m/>
    <x v="1"/>
    <x v="1"/>
    <m/>
    <m/>
    <m/>
    <m/>
    <m/>
    <m/>
    <m/>
  </r>
  <r>
    <m/>
    <x v="1"/>
    <x v="1"/>
    <m/>
    <m/>
    <x v="1"/>
    <m/>
    <x v="1"/>
    <x v="1"/>
    <m/>
    <m/>
    <m/>
    <s v="CHECK 14068"/>
    <m/>
    <n v="886721"/>
    <n v="886721"/>
    <m/>
    <m/>
    <m/>
    <m/>
    <x v="1"/>
    <x v="1"/>
    <m/>
    <m/>
    <m/>
    <m/>
    <m/>
    <m/>
    <m/>
  </r>
  <r>
    <m/>
    <x v="1"/>
    <x v="1"/>
    <m/>
    <m/>
    <x v="1"/>
    <m/>
    <x v="1"/>
    <x v="1"/>
    <m/>
    <m/>
    <m/>
    <m/>
    <n v="62541.5"/>
    <n v="886721"/>
    <n v="949262.5"/>
    <m/>
    <m/>
    <m/>
    <m/>
    <x v="1"/>
    <x v="1"/>
    <m/>
    <m/>
    <m/>
    <m/>
    <m/>
    <m/>
    <m/>
  </r>
  <r>
    <m/>
    <x v="1"/>
    <x v="1"/>
    <m/>
    <m/>
    <x v="1"/>
    <m/>
    <x v="1"/>
    <x v="1"/>
    <m/>
    <m/>
    <m/>
    <m/>
    <m/>
    <m/>
    <m/>
    <m/>
    <m/>
    <m/>
    <m/>
    <x v="1"/>
    <x v="1"/>
    <m/>
    <m/>
    <m/>
    <m/>
    <m/>
    <m/>
    <m/>
  </r>
  <r>
    <s v="ARES55679"/>
    <x v="2"/>
    <x v="0"/>
    <d v="2009-06-25T00:00:00"/>
    <d v="2009-09-01T00:00:00"/>
    <x v="41"/>
    <n v="200"/>
    <x v="73"/>
    <x v="2"/>
    <n v="0.45"/>
    <n v="0.1"/>
    <m/>
    <s v="ES-007-06/09"/>
    <n v="840"/>
    <m/>
    <n v="840"/>
    <n v="300"/>
    <m/>
    <m/>
    <m/>
    <x v="1"/>
    <x v="14"/>
    <m/>
    <m/>
    <s v="OZARK N.F., FIFTH PRINCIPAL MERIDIAN"/>
    <s v="T10N, R18W; SEC. 34, N2N2,SENW"/>
    <m/>
    <m/>
    <m/>
  </r>
  <r>
    <s v="ARES55682"/>
    <x v="2"/>
    <x v="0"/>
    <d v="2009-06-25T00:00:00"/>
    <d v="2009-09-01T00:00:00"/>
    <x v="41"/>
    <n v="80"/>
    <x v="27"/>
    <x v="2"/>
    <n v="0.45"/>
    <n v="0.1"/>
    <m/>
    <s v="ES-010-06/09"/>
    <n v="420"/>
    <m/>
    <n v="420"/>
    <n v="120"/>
    <m/>
    <m/>
    <m/>
    <x v="1"/>
    <x v="14"/>
    <m/>
    <m/>
    <s v="OUACHITA N.F., FIFTH PRINCIPAL MERIDIAN"/>
    <s v="T02N, R30W; SEC.17, NENE,SESE"/>
    <m/>
    <m/>
    <m/>
  </r>
  <r>
    <s v="ARES55683"/>
    <x v="2"/>
    <x v="0"/>
    <d v="2009-06-25T00:00:00"/>
    <d v="2009-09-01T00:00:00"/>
    <x v="41"/>
    <n v="308.29000000000002"/>
    <x v="27"/>
    <x v="2"/>
    <n v="0.45"/>
    <n v="0.1"/>
    <m/>
    <s v="ES-011-06/09"/>
    <n v="1221.5"/>
    <m/>
    <n v="1221.5"/>
    <n v="463.5"/>
    <m/>
    <m/>
    <m/>
    <x v="1"/>
    <x v="14"/>
    <m/>
    <m/>
    <s v="OUACHITA N.F., FIFTH PRINCIPAL MERIDIAN"/>
    <s v="T02N, R30W; SEC.5, NWSE, W3/4SWSW; SEC 6 SEE LEASE"/>
    <m/>
    <m/>
    <m/>
  </r>
  <r>
    <s v="ARES55684"/>
    <x v="2"/>
    <x v="0"/>
    <d v="2009-06-25T00:00:00"/>
    <d v="2009-09-01T00:00:00"/>
    <x v="41"/>
    <n v="674.38"/>
    <x v="27"/>
    <x v="2"/>
    <n v="0.45"/>
    <n v="0.1"/>
    <m/>
    <s v="ES-012-06/09"/>
    <n v="3177.5"/>
    <m/>
    <n v="3177.5"/>
    <n v="1012.5"/>
    <m/>
    <m/>
    <m/>
    <x v="1"/>
    <x v="14"/>
    <m/>
    <m/>
    <s v="OUACHITA N.F., FIFTH PRINCIPAL MERIDIAN"/>
    <s v="T02N, R30W; SEC 7 &amp; 8 SEE LEASE FOR DETAIL"/>
    <m/>
    <m/>
    <m/>
  </r>
  <r>
    <s v="ARES55685"/>
    <x v="2"/>
    <x v="0"/>
    <d v="2009-06-25T00:00:00"/>
    <d v="2009-09-01T00:00:00"/>
    <x v="41"/>
    <n v="169.24"/>
    <x v="27"/>
    <x v="2"/>
    <n v="0.45"/>
    <n v="0.1"/>
    <m/>
    <s v="ES-013-06/09"/>
    <n v="735"/>
    <m/>
    <n v="735"/>
    <n v="255"/>
    <m/>
    <m/>
    <m/>
    <x v="1"/>
    <x v="14"/>
    <m/>
    <m/>
    <s v="OUACHITA N.F., FIFTH PRINCIPAL MERIDIAN"/>
    <s v="T02N, R30W; SEC 15 &amp; SEC 18 SEE LEASE"/>
    <m/>
    <m/>
    <m/>
  </r>
  <r>
    <s v="ARES55686"/>
    <x v="2"/>
    <x v="0"/>
    <d v="2009-06-25T00:00:00"/>
    <d v="2009-09-01T00:00:00"/>
    <x v="41"/>
    <n v="200"/>
    <x v="27"/>
    <x v="2"/>
    <n v="0.45"/>
    <n v="0.1"/>
    <m/>
    <s v="ES-014-06/09"/>
    <n v="840"/>
    <m/>
    <n v="840"/>
    <n v="300"/>
    <m/>
    <m/>
    <m/>
    <x v="1"/>
    <x v="14"/>
    <m/>
    <m/>
    <s v="OUACHITA N.F., FIFTH PRINCIPAL MERIDIAN"/>
    <s v="T02N, R31W; SEC 24, N2N2,SWNE"/>
    <m/>
    <m/>
    <m/>
  </r>
  <r>
    <s v="ARES55687"/>
    <x v="2"/>
    <x v="0"/>
    <d v="2009-06-25T00:00:00"/>
    <d v="2009-09-01T00:00:00"/>
    <x v="41"/>
    <n v="10"/>
    <x v="27"/>
    <x v="2"/>
    <n v="0.45"/>
    <n v="0.1"/>
    <m/>
    <s v="ES-015-06/09"/>
    <n v="175"/>
    <m/>
    <n v="175"/>
    <n v="15"/>
    <m/>
    <m/>
    <m/>
    <x v="1"/>
    <x v="14"/>
    <m/>
    <m/>
    <s v="OUACHITA N.F., FIFTH PRINCIPAL MERIDIAN"/>
    <s v="T02M, R31W; SEC 33, NWNWSW"/>
    <m/>
    <m/>
    <m/>
  </r>
  <r>
    <s v="ARES55688"/>
    <x v="2"/>
    <x v="0"/>
    <d v="2009-06-25T00:00:00"/>
    <d v="2009-09-01T00:00:00"/>
    <x v="41"/>
    <n v="120"/>
    <x v="27"/>
    <x v="2"/>
    <n v="0.45"/>
    <n v="0.1"/>
    <m/>
    <s v="ES-016-06/09"/>
    <n v="560"/>
    <m/>
    <n v="560"/>
    <n v="180"/>
    <m/>
    <m/>
    <m/>
    <x v="1"/>
    <x v="14"/>
    <m/>
    <m/>
    <s v="OUACHITA N.F., FIFTH PRINCIPAL MERIDIAN"/>
    <s v="T02N, R31W, SEC 31, N2SE, SENE"/>
    <m/>
    <m/>
    <m/>
  </r>
  <r>
    <s v="LAES55689"/>
    <x v="2"/>
    <x v="0"/>
    <d v="2009-06-25T00:00:00"/>
    <d v="2009-09-01T00:00:00"/>
    <x v="41"/>
    <n v="590.26"/>
    <x v="12"/>
    <x v="3"/>
    <n v="0.45"/>
    <n v="0.1"/>
    <m/>
    <s v="ES-017-06/09"/>
    <n v="2208.5"/>
    <m/>
    <n v="2208.5"/>
    <n v="886.5"/>
    <m/>
    <m/>
    <m/>
    <x v="1"/>
    <x v="14"/>
    <m/>
    <m/>
    <s v="KISATCHIE N.F., LOUISIANA MERIDIAN"/>
    <s v="T20N, R 9W, SEC 21, N2, SE, N2SW, SESW"/>
    <m/>
    <m/>
    <m/>
  </r>
  <r>
    <s v="LAES55690"/>
    <x v="2"/>
    <x v="0"/>
    <d v="2009-06-25T00:00:00"/>
    <d v="2009-09-01T00:00:00"/>
    <x v="41"/>
    <n v="223.07"/>
    <x v="54"/>
    <x v="3"/>
    <n v="0.45"/>
    <n v="0.1"/>
    <m/>
    <s v="ES-018-06/09"/>
    <n v="924"/>
    <m/>
    <n v="924"/>
    <n v="336"/>
    <m/>
    <m/>
    <m/>
    <x v="1"/>
    <x v="14"/>
    <m/>
    <m/>
    <s v="KISATCHIE N.F., LOUISIANA MERIDIAN"/>
    <s v="T22N, T 5W, SEC 6, SEE LEASE"/>
    <m/>
    <m/>
    <m/>
  </r>
  <r>
    <s v="LAES55691"/>
    <x v="2"/>
    <x v="0"/>
    <d v="2009-06-25T00:00:00"/>
    <d v="2009-12-01T00:00:00"/>
    <x v="42"/>
    <n v="78.52"/>
    <x v="54"/>
    <x v="3"/>
    <n v="0.45"/>
    <n v="0.1"/>
    <m/>
    <s v="ES-019-06/09"/>
    <n v="171.5"/>
    <n v="245"/>
    <n v="416.5"/>
    <n v="158"/>
    <m/>
    <m/>
    <m/>
    <x v="82"/>
    <x v="14"/>
    <m/>
    <m/>
    <s v="KISATCHIE N.F., LOUISIANA MERIDIAN"/>
    <s v="T22N, R 5W, SEC 16, SEE LEASE"/>
    <m/>
    <m/>
    <m/>
  </r>
  <r>
    <s v="LAES55692"/>
    <x v="2"/>
    <x v="0"/>
    <d v="2009-06-25T00:00:00"/>
    <d v="2009-09-01T00:00:00"/>
    <x v="41"/>
    <n v="319"/>
    <x v="54"/>
    <x v="3"/>
    <n v="0.45"/>
    <n v="0.1"/>
    <m/>
    <s v="ES-020-06/09"/>
    <n v="1256.5"/>
    <m/>
    <n v="1256.5"/>
    <n v="478.5"/>
    <m/>
    <m/>
    <m/>
    <x v="1"/>
    <x v="14"/>
    <m/>
    <m/>
    <s v="KISATCHIE N.F., LOUISIANA MERIDIAN"/>
    <s v="T22N, R 5W, SEC 17, S2"/>
    <m/>
    <m/>
    <m/>
  </r>
  <r>
    <s v="LAES55693"/>
    <x v="2"/>
    <x v="0"/>
    <d v="2009-06-25T00:00:00"/>
    <d v="2009-09-01T00:00:00"/>
    <x v="41"/>
    <n v="742.23"/>
    <x v="54"/>
    <x v="3"/>
    <n v="0.45"/>
    <n v="0.1"/>
    <m/>
    <s v="ES-021-06/09"/>
    <n v="49549.5"/>
    <m/>
    <n v="49549.5"/>
    <n v="1114.5"/>
    <m/>
    <m/>
    <m/>
    <x v="1"/>
    <x v="14"/>
    <m/>
    <m/>
    <s v="KISATCHIE N.F., LOUISIANA MERIDIAN"/>
    <s v="T22N, R 5W, SEC 7 &amp; SEC 18, SEE LEASE"/>
    <m/>
    <m/>
    <m/>
  </r>
  <r>
    <s v="LAES55694"/>
    <x v="2"/>
    <x v="0"/>
    <d v="2009-06-25T00:00:00"/>
    <d v="2009-09-01T00:00:00"/>
    <x v="41"/>
    <n v="340.15"/>
    <x v="54"/>
    <x v="3"/>
    <n v="0.45"/>
    <n v="0.1"/>
    <m/>
    <s v="ES-022-06/09"/>
    <n v="123411.5"/>
    <m/>
    <n v="123411.5"/>
    <n v="511.5"/>
    <m/>
    <m/>
    <m/>
    <x v="1"/>
    <x v="14"/>
    <m/>
    <m/>
    <s v="KISATCHIE N.F., LOUISIANA MERIDIAN"/>
    <s v="T22N, R 5W, SEC 19, NE,W2NENW,SENW,W2NW, SEC 20 SWNW"/>
    <m/>
    <m/>
    <m/>
  </r>
  <r>
    <s v="MIES55695"/>
    <x v="2"/>
    <x v="0"/>
    <d v="2009-06-25T00:00:00"/>
    <d v="2009-09-01T00:00:00"/>
    <x v="41"/>
    <n v="488.95"/>
    <x v="124"/>
    <x v="9"/>
    <n v="0.45"/>
    <n v="0.1"/>
    <m/>
    <s v="ES-023-06/09"/>
    <n v="1851.5"/>
    <m/>
    <n v="1851.5"/>
    <n v="733.5"/>
    <m/>
    <m/>
    <m/>
    <x v="1"/>
    <x v="14"/>
    <m/>
    <m/>
    <s v="MANISTEE N.F. MICHIGAN MERIDAIN"/>
    <s v="SEC. 4,5,7,8,9 SEE LEASE FOR DETAILS"/>
    <m/>
    <m/>
    <m/>
  </r>
  <r>
    <m/>
    <x v="1"/>
    <x v="1"/>
    <m/>
    <m/>
    <x v="1"/>
    <m/>
    <x v="1"/>
    <x v="1"/>
    <m/>
    <m/>
    <m/>
    <m/>
    <n v="187342"/>
    <n v="245"/>
    <n v="187587"/>
    <m/>
    <m/>
    <m/>
    <m/>
    <x v="1"/>
    <x v="1"/>
    <m/>
    <m/>
    <m/>
    <m/>
    <m/>
    <m/>
    <m/>
  </r>
  <r>
    <m/>
    <x v="1"/>
    <x v="1"/>
    <m/>
    <m/>
    <x v="1"/>
    <m/>
    <x v="1"/>
    <x v="1"/>
    <m/>
    <m/>
    <m/>
    <s v="AXP CHGS "/>
    <n v="99999.99"/>
    <m/>
    <m/>
    <m/>
    <m/>
    <m/>
    <m/>
    <x v="1"/>
    <x v="1"/>
    <m/>
    <m/>
    <m/>
    <m/>
    <m/>
    <m/>
    <m/>
  </r>
  <r>
    <m/>
    <x v="1"/>
    <x v="1"/>
    <m/>
    <m/>
    <x v="1"/>
    <m/>
    <x v="1"/>
    <x v="1"/>
    <m/>
    <m/>
    <m/>
    <s v="CK # 1401"/>
    <n v="87342.01"/>
    <m/>
    <m/>
    <m/>
    <m/>
    <m/>
    <m/>
    <x v="1"/>
    <x v="1"/>
    <m/>
    <m/>
    <m/>
    <m/>
    <m/>
    <m/>
    <m/>
  </r>
  <r>
    <m/>
    <x v="1"/>
    <x v="1"/>
    <m/>
    <m/>
    <x v="1"/>
    <m/>
    <x v="1"/>
    <x v="1"/>
    <m/>
    <m/>
    <m/>
    <m/>
    <n v="187342"/>
    <m/>
    <m/>
    <m/>
    <m/>
    <m/>
    <m/>
    <x v="1"/>
    <x v="1"/>
    <m/>
    <m/>
    <m/>
    <m/>
    <m/>
    <m/>
    <m/>
  </r>
  <r>
    <m/>
    <x v="1"/>
    <x v="1"/>
    <m/>
    <m/>
    <x v="1"/>
    <m/>
    <x v="1"/>
    <x v="1"/>
    <m/>
    <m/>
    <m/>
    <m/>
    <m/>
    <m/>
    <m/>
    <m/>
    <m/>
    <m/>
    <m/>
    <x v="1"/>
    <x v="1"/>
    <m/>
    <m/>
    <m/>
    <m/>
    <m/>
    <m/>
    <m/>
  </r>
  <r>
    <m/>
    <x v="1"/>
    <x v="1"/>
    <m/>
    <m/>
    <x v="1"/>
    <m/>
    <x v="1"/>
    <x v="1"/>
    <m/>
    <m/>
    <m/>
    <m/>
    <m/>
    <m/>
    <m/>
    <m/>
    <m/>
    <m/>
    <m/>
    <x v="1"/>
    <x v="1"/>
    <m/>
    <m/>
    <m/>
    <m/>
    <m/>
    <m/>
    <m/>
  </r>
  <r>
    <s v="KSNM123506"/>
    <x v="2"/>
    <x v="0"/>
    <d v="2009-07-22T00:00:00"/>
    <d v="2009-09-01T00:00:00"/>
    <x v="41"/>
    <n v="1281.43"/>
    <x v="128"/>
    <x v="8"/>
    <n v="0.45"/>
    <n v="0.1"/>
    <m/>
    <s v="NM200907-003"/>
    <n v="4627"/>
    <m/>
    <n v="4627"/>
    <n v="1923"/>
    <m/>
    <m/>
    <m/>
    <x v="1"/>
    <x v="14"/>
    <m/>
    <m/>
    <s v="MERIDIAN 06TH       T0010S, R0410W"/>
    <s v="SECS. 001,004,005,009,010,011,012,014 SEE LEASE"/>
    <m/>
    <m/>
    <m/>
  </r>
  <r>
    <s v="KSNM123509"/>
    <x v="2"/>
    <x v="0"/>
    <d v="2009-07-22T00:00:00"/>
    <d v="2009-09-01T00:00:00"/>
    <x v="41"/>
    <n v="320"/>
    <x v="129"/>
    <x v="8"/>
    <n v="0.45"/>
    <n v="0.1"/>
    <m/>
    <s v="NM200907-007"/>
    <n v="1260"/>
    <m/>
    <n v="1260"/>
    <n v="480"/>
    <m/>
    <m/>
    <m/>
    <x v="1"/>
    <x v="14"/>
    <m/>
    <m/>
    <s v="MERIDIAN 06TH       T0060S, R0410W"/>
    <s v="SEC 004, S2"/>
    <m/>
    <m/>
    <m/>
  </r>
  <r>
    <s v="KSNM123510"/>
    <x v="2"/>
    <x v="0"/>
    <d v="2009-07-22T00:00:00"/>
    <d v="2009-09-01T00:00:00"/>
    <x v="41"/>
    <n v="240"/>
    <x v="128"/>
    <x v="8"/>
    <n v="0.45"/>
    <n v="0.1"/>
    <m/>
    <s v="NM200907-008"/>
    <n v="980"/>
    <m/>
    <n v="980"/>
    <n v="360"/>
    <m/>
    <m/>
    <m/>
    <x v="1"/>
    <x v="14"/>
    <m/>
    <m/>
    <s v="MERIDIAN 06TH       T0040S, R0420W"/>
    <s v="SEC 022, SW, SEC 027, N2NW"/>
    <m/>
    <m/>
    <m/>
  </r>
  <r>
    <s v="NMNM123536"/>
    <x v="2"/>
    <x v="0"/>
    <d v="2009-07-22T00:00:00"/>
    <d v="2009-09-01T00:00:00"/>
    <x v="41"/>
    <n v="200"/>
    <x v="63"/>
    <x v="7"/>
    <n v="0.45"/>
    <n v="0.1"/>
    <m/>
    <s v="NM200907-040"/>
    <n v="80440"/>
    <m/>
    <n v="80440"/>
    <n v="300"/>
    <m/>
    <m/>
    <m/>
    <x v="1"/>
    <x v="14"/>
    <m/>
    <m/>
    <s v="MERIDIAN NMPM    T0260S, R0370W"/>
    <s v="SEC 19, NE, NENW"/>
    <m/>
    <s v="Instrument#50534 Book 1806 Page 372"/>
    <m/>
  </r>
  <r>
    <m/>
    <x v="1"/>
    <x v="1"/>
    <m/>
    <m/>
    <x v="1"/>
    <m/>
    <x v="1"/>
    <x v="1"/>
    <m/>
    <m/>
    <m/>
    <s v="AXP CHGS"/>
    <n v="87307"/>
    <m/>
    <n v="87307"/>
    <m/>
    <m/>
    <m/>
    <m/>
    <x v="1"/>
    <x v="1"/>
    <m/>
    <m/>
    <m/>
    <m/>
    <m/>
    <m/>
    <m/>
  </r>
  <r>
    <m/>
    <x v="1"/>
    <x v="1"/>
    <m/>
    <m/>
    <x v="1"/>
    <m/>
    <x v="1"/>
    <x v="1"/>
    <m/>
    <m/>
    <m/>
    <m/>
    <m/>
    <m/>
    <m/>
    <m/>
    <m/>
    <m/>
    <m/>
    <x v="1"/>
    <x v="1"/>
    <m/>
    <m/>
    <m/>
    <m/>
    <m/>
    <m/>
    <m/>
  </r>
  <r>
    <s v="TXNM120959"/>
    <x v="0"/>
    <x v="0"/>
    <d v="2008-07-16T00:00:00"/>
    <d v="2008-11-01T00:00:00"/>
    <x v="1"/>
    <m/>
    <x v="1"/>
    <x v="1"/>
    <n v="0.5"/>
    <m/>
    <m/>
    <m/>
    <m/>
    <m/>
    <n v="-42225"/>
    <m/>
    <m/>
    <m/>
    <m/>
    <x v="83"/>
    <x v="1"/>
    <m/>
    <m/>
    <m/>
    <m/>
    <m/>
    <m/>
    <m/>
  </r>
  <r>
    <m/>
    <x v="1"/>
    <x v="1"/>
    <m/>
    <m/>
    <x v="1"/>
    <m/>
    <x v="1"/>
    <x v="1"/>
    <m/>
    <m/>
    <m/>
    <s v="VARIOUS"/>
    <m/>
    <m/>
    <n v="-86831.5"/>
    <m/>
    <m/>
    <m/>
    <m/>
    <x v="84"/>
    <x v="1"/>
    <m/>
    <m/>
    <m/>
    <m/>
    <m/>
    <m/>
    <m/>
  </r>
  <r>
    <m/>
    <x v="1"/>
    <x v="1"/>
    <m/>
    <m/>
    <x v="1"/>
    <m/>
    <x v="1"/>
    <x v="1"/>
    <m/>
    <m/>
    <m/>
    <m/>
    <m/>
    <m/>
    <m/>
    <m/>
    <m/>
    <m/>
    <m/>
    <x v="1"/>
    <x v="1"/>
    <m/>
    <m/>
    <m/>
    <m/>
    <m/>
    <m/>
    <m/>
  </r>
  <r>
    <m/>
    <x v="1"/>
    <x v="1"/>
    <m/>
    <m/>
    <x v="1"/>
    <m/>
    <x v="1"/>
    <x v="1"/>
    <m/>
    <m/>
    <m/>
    <s v="BALANCE 12-31-2009"/>
    <m/>
    <m/>
    <n v="17472861"/>
    <m/>
    <m/>
    <m/>
    <m/>
    <x v="1"/>
    <x v="1"/>
    <m/>
    <m/>
    <m/>
    <m/>
    <m/>
    <m/>
    <m/>
  </r>
  <r>
    <m/>
    <x v="1"/>
    <x v="1"/>
    <m/>
    <m/>
    <x v="1"/>
    <m/>
    <x v="1"/>
    <x v="1"/>
    <m/>
    <m/>
    <m/>
    <m/>
    <m/>
    <m/>
    <m/>
    <m/>
    <m/>
    <m/>
    <m/>
    <x v="1"/>
    <x v="1"/>
    <m/>
    <m/>
    <m/>
    <m/>
    <m/>
    <m/>
    <m/>
  </r>
  <r>
    <s v="ALES56200"/>
    <x v="2"/>
    <x v="0"/>
    <d v="2010-03-18T00:00:00"/>
    <d v="2010-06-01T00:00:00"/>
    <x v="43"/>
    <n v="122"/>
    <x v="130"/>
    <x v="6"/>
    <m/>
    <n v="0.1"/>
    <m/>
    <n v="1"/>
    <n v="572"/>
    <n v="4026"/>
    <n v="4598"/>
    <n v="244"/>
    <m/>
    <m/>
    <m/>
    <x v="1"/>
    <x v="13"/>
    <m/>
    <m/>
    <s v="ST STEPHENS MERIDIAN, T5N, R13E"/>
    <s v="SEC 32, N2SE,NESW+2A.E.OF.ROAD.IN.NWSW"/>
    <m/>
    <m/>
    <m/>
  </r>
  <r>
    <s v="ALES56201"/>
    <x v="2"/>
    <x v="0"/>
    <d v="2010-03-18T00:00:00"/>
    <d v="2010-06-01T00:00:00"/>
    <x v="43"/>
    <n v="40.700000000000003"/>
    <x v="131"/>
    <x v="6"/>
    <m/>
    <n v="0.1"/>
    <m/>
    <n v="2"/>
    <n v="288.5"/>
    <m/>
    <n v="288.5"/>
    <n v="82"/>
    <m/>
    <m/>
    <m/>
    <x v="1"/>
    <x v="13"/>
    <m/>
    <m/>
    <s v="HUNTSVILLE MERIDIAN, T11S, R1E"/>
    <s v="SEC 32,NENE"/>
    <m/>
    <m/>
    <m/>
  </r>
  <r>
    <s v="ALES56202"/>
    <x v="2"/>
    <x v="0"/>
    <d v="2010-03-18T00:00:00"/>
    <d v="2010-06-01T00:00:00"/>
    <x v="43"/>
    <n v="40"/>
    <x v="131"/>
    <x v="6"/>
    <m/>
    <n v="0.1"/>
    <m/>
    <n v="3"/>
    <n v="285"/>
    <n v="480"/>
    <n v="765"/>
    <n v="80"/>
    <m/>
    <m/>
    <m/>
    <x v="1"/>
    <x v="13"/>
    <m/>
    <m/>
    <s v="HUNTSVILLE MERIDIAN, T12S, R1W"/>
    <s v="SEC 18,NWNW"/>
    <m/>
    <m/>
    <m/>
  </r>
  <r>
    <s v="ALES56203"/>
    <x v="2"/>
    <x v="0"/>
    <d v="2010-03-18T00:00:00"/>
    <d v="2010-06-01T00:00:00"/>
    <x v="43"/>
    <n v="200"/>
    <x v="131"/>
    <x v="6"/>
    <m/>
    <n v="0.1"/>
    <m/>
    <n v="4"/>
    <n v="845"/>
    <m/>
    <n v="845"/>
    <n v="400"/>
    <m/>
    <m/>
    <m/>
    <x v="1"/>
    <x v="13"/>
    <m/>
    <m/>
    <s v="HUNTSVILLE MERIDIAN, T12S, R2W"/>
    <s v="SEC 14,SWSE,E2SW,SENW; SEC. 36,NENE"/>
    <m/>
    <m/>
    <m/>
  </r>
  <r>
    <s v="ALES56204"/>
    <x v="2"/>
    <x v="0"/>
    <d v="2010-03-18T00:00:00"/>
    <d v="2010-06-01T00:00:00"/>
    <x v="43"/>
    <n v="39.090000000000003"/>
    <x v="131"/>
    <x v="6"/>
    <m/>
    <n v="0.1"/>
    <m/>
    <n v="5"/>
    <n v="285"/>
    <m/>
    <n v="285"/>
    <n v="80"/>
    <m/>
    <m/>
    <m/>
    <x v="1"/>
    <x v="13"/>
    <m/>
    <m/>
    <s v="HUNTSVILLE MERIDIAN, T14S, R2E"/>
    <s v="SEC 7,SWNW"/>
    <m/>
    <m/>
    <m/>
  </r>
  <r>
    <s v="ALES56206"/>
    <x v="2"/>
    <x v="0"/>
    <d v="2010-03-18T00:00:00"/>
    <d v="2010-06-01T00:00:00"/>
    <x v="43"/>
    <n v="40"/>
    <x v="29"/>
    <x v="6"/>
    <m/>
    <n v="0.1"/>
    <m/>
    <n v="7"/>
    <n v="285"/>
    <n v="320"/>
    <n v="605"/>
    <n v="80"/>
    <m/>
    <m/>
    <m/>
    <x v="1"/>
    <x v="13"/>
    <m/>
    <m/>
    <s v="HUNTSVILLE MERIDIAN, T15S, R15W"/>
    <s v="SEC 13,SESE"/>
    <m/>
    <m/>
    <m/>
  </r>
  <r>
    <s v="ALES56207"/>
    <x v="2"/>
    <x v="0"/>
    <d v="2010-03-18T00:00:00"/>
    <d v="2010-06-01T00:00:00"/>
    <x v="43"/>
    <n v="57.26"/>
    <x v="29"/>
    <x v="6"/>
    <m/>
    <n v="0.1"/>
    <m/>
    <n v="8"/>
    <n v="348"/>
    <n v="3364"/>
    <n v="3712"/>
    <n v="116"/>
    <m/>
    <m/>
    <m/>
    <x v="1"/>
    <x v="13"/>
    <m/>
    <m/>
    <s v="HUNTSVILLE MERIDIAN, T15S, R16W"/>
    <s v="SEC 14,SENE; SEC 18,ALL OS SEC E OF STATE LINE"/>
    <m/>
    <m/>
    <m/>
  </r>
  <r>
    <s v="ALES56208"/>
    <x v="0"/>
    <x v="0"/>
    <d v="2010-03-18T00:00:00"/>
    <d v="2010-06-01T00:00:00"/>
    <x v="43"/>
    <n v="154.30000000000001"/>
    <x v="1"/>
    <x v="6"/>
    <m/>
    <n v="0.1"/>
    <m/>
    <n v="9"/>
    <n v="687.5"/>
    <m/>
    <n v="687.5"/>
    <n v="232.5"/>
    <m/>
    <m/>
    <m/>
    <x v="85"/>
    <x v="13"/>
    <m/>
    <m/>
    <m/>
    <m/>
    <m/>
    <m/>
    <m/>
  </r>
  <r>
    <s v="ALES56209"/>
    <x v="2"/>
    <x v="0"/>
    <d v="2010-03-18T00:00:00"/>
    <d v="2010-06-01T00:00:00"/>
    <x v="43"/>
    <n v="600.4"/>
    <x v="132"/>
    <x v="6"/>
    <m/>
    <n v="0.1"/>
    <m/>
    <n v="10"/>
    <n v="2248.5"/>
    <n v="40868"/>
    <n v="43116.5"/>
    <n v="1202"/>
    <m/>
    <m/>
    <m/>
    <x v="1"/>
    <x v="13"/>
    <m/>
    <m/>
    <s v="HUNTSVILLE MERIDIAN, T18S, R10W"/>
    <s v="SEE LEASE ACREAGE IS IN 9 SECTIONS"/>
    <m/>
    <m/>
    <m/>
  </r>
  <r>
    <s v="ALES56210"/>
    <x v="2"/>
    <x v="0"/>
    <d v="2010-03-18T00:00:00"/>
    <d v="2010-06-01T00:00:00"/>
    <x v="43"/>
    <n v="37.9"/>
    <x v="59"/>
    <x v="6"/>
    <m/>
    <n v="0.1"/>
    <m/>
    <n v="11"/>
    <n v="278"/>
    <m/>
    <n v="278"/>
    <n v="76"/>
    <m/>
    <m/>
    <m/>
    <x v="1"/>
    <x v="13"/>
    <m/>
    <m/>
    <s v="HUNTSVILLE MERIDIAN, T19S, R1E"/>
    <s v="SEC 8,NWNW"/>
    <m/>
    <m/>
    <m/>
  </r>
  <r>
    <s v="ALES56212"/>
    <x v="2"/>
    <x v="0"/>
    <d v="2010-03-18T00:00:00"/>
    <d v="2010-06-01T00:00:00"/>
    <x v="43"/>
    <n v="213.01"/>
    <x v="132"/>
    <x v="6"/>
    <m/>
    <n v="0.1"/>
    <m/>
    <n v="13"/>
    <n v="852"/>
    <n v="23836"/>
    <n v="24688"/>
    <n v="428"/>
    <m/>
    <m/>
    <m/>
    <x v="1"/>
    <x v="13"/>
    <m/>
    <m/>
    <s v="HUNTSVILLE MERIDIAN, T21S, R9W"/>
    <s v="TRACTS IN SECS 1, 2 &amp; 3"/>
    <m/>
    <m/>
    <m/>
  </r>
  <r>
    <s v="MSES56249"/>
    <x v="2"/>
    <x v="0"/>
    <d v="2010-03-18T00:00:00"/>
    <d v="2010-06-01T00:00:00"/>
    <x v="43"/>
    <n v="400"/>
    <x v="133"/>
    <x v="4"/>
    <m/>
    <n v="0.1"/>
    <m/>
    <n v="50"/>
    <n v="1545"/>
    <n v="4800"/>
    <n v="6345"/>
    <n v="800"/>
    <m/>
    <m/>
    <m/>
    <x v="1"/>
    <x v="13"/>
    <m/>
    <m/>
    <s v="ST STEPHENS MERIDIAN, T1N, R5W &amp; 6W"/>
    <s v="SEC 7,NWNE,NENW,W2SW,SWSE; SEC 13,SE"/>
    <m/>
    <m/>
    <m/>
  </r>
  <r>
    <s v="MSES56251"/>
    <x v="2"/>
    <x v="0"/>
    <d v="2010-03-18T00:00:00"/>
    <d v="2010-06-01T00:00:00"/>
    <x v="43"/>
    <n v="160"/>
    <x v="13"/>
    <x v="4"/>
    <m/>
    <n v="0.1"/>
    <m/>
    <n v="52"/>
    <n v="705"/>
    <n v="71680"/>
    <n v="72385"/>
    <n v="320"/>
    <m/>
    <m/>
    <m/>
    <x v="1"/>
    <x v="13"/>
    <m/>
    <m/>
    <s v="ST STEPHENS MERIDIAN, T9N, R8W "/>
    <s v="SEC 1,  LOT 3; SEC 8, NWNW; SEC 13, SENE; SEC 22, SWSW "/>
    <m/>
    <m/>
    <m/>
  </r>
  <r>
    <s v="MSES56253"/>
    <x v="2"/>
    <x v="0"/>
    <d v="2010-03-18T00:00:00"/>
    <d v="2010-06-01T00:00:00"/>
    <x v="43"/>
    <n v="173.33"/>
    <x v="134"/>
    <x v="4"/>
    <m/>
    <n v="0.1"/>
    <m/>
    <n v="54"/>
    <n v="754"/>
    <m/>
    <n v="754"/>
    <n v="348"/>
    <m/>
    <m/>
    <m/>
    <x v="1"/>
    <x v="13"/>
    <m/>
    <m/>
    <s v="CHOCTAW MERIDIAN, T6N, R11E"/>
    <s v="SEC 17,W2SW;SEC 18,SESE+STRIP S.OF.NESE; SEC 22,NWNW"/>
    <m/>
    <m/>
    <m/>
  </r>
  <r>
    <s v="OHES56255"/>
    <x v="2"/>
    <x v="0"/>
    <d v="2010-03-18T00:00:00"/>
    <d v="2010-06-01T00:00:00"/>
    <x v="43"/>
    <n v="197.56"/>
    <x v="135"/>
    <x v="14"/>
    <m/>
    <n v="0.1"/>
    <m/>
    <n v="56"/>
    <n v="838"/>
    <n v="13464"/>
    <n v="14302"/>
    <n v="396"/>
    <m/>
    <m/>
    <m/>
    <x v="1"/>
    <x v="13"/>
    <m/>
    <m/>
    <s v="WAYNE NF, T1N, R4W; T2N,R4W; T2N,R5W"/>
    <s v="SEE LEASE - TRACTS ARE IN 4 SECTIONS"/>
    <m/>
    <m/>
    <m/>
  </r>
  <r>
    <s v="OHES56256"/>
    <x v="2"/>
    <x v="0"/>
    <d v="2010-03-18T00:00:00"/>
    <d v="2010-06-01T00:00:00"/>
    <x v="43"/>
    <n v="145.52000000000001"/>
    <x v="135"/>
    <x v="14"/>
    <m/>
    <n v="0.1"/>
    <m/>
    <n v="57"/>
    <n v="656"/>
    <n v="10658"/>
    <n v="11314"/>
    <n v="292"/>
    <m/>
    <m/>
    <m/>
    <x v="86"/>
    <x v="13"/>
    <m/>
    <m/>
    <s v="WAYNE NF, T2N,R4W"/>
    <s v="SEC 32, PT.W2SW;SEC 33,NESW; SEC 34,PT.E2NW"/>
    <m/>
    <m/>
    <s v="Instrument#201500083919 Book 312 Page- 84"/>
  </r>
  <r>
    <s v="OHES56257"/>
    <x v="2"/>
    <x v="0"/>
    <d v="2010-03-18T00:00:00"/>
    <d v="2010-06-01T00:00:00"/>
    <x v="43"/>
    <n v="30.23"/>
    <x v="135"/>
    <x v="14"/>
    <m/>
    <n v="0.1"/>
    <m/>
    <n v="58"/>
    <n v="253.5"/>
    <n v="558"/>
    <n v="811.5"/>
    <n v="62"/>
    <m/>
    <m/>
    <m/>
    <x v="1"/>
    <x v="13"/>
    <m/>
    <m/>
    <s v="OHIO RIVER SURVEY; T2N,R4W"/>
    <s v="SEC 34,PT.NENW"/>
    <m/>
    <m/>
    <m/>
  </r>
  <r>
    <s v="OHES56258"/>
    <x v="2"/>
    <x v="0"/>
    <d v="2010-03-18T00:00:00"/>
    <d v="2010-06-01T00:00:00"/>
    <x v="43"/>
    <n v="1029.5899999999999"/>
    <x v="136"/>
    <x v="14"/>
    <m/>
    <n v="0.1"/>
    <m/>
    <n v="59"/>
    <n v="3750"/>
    <m/>
    <n v="3750"/>
    <n v="2060"/>
    <m/>
    <m/>
    <m/>
    <x v="1"/>
    <x v="13"/>
    <m/>
    <m/>
    <s v="OHIO RIVER SURVEY; T3N,R16W"/>
    <s v="SEE LEASE ACREAGE IS IN 6 SECS 9, 10, 11, 12, 14, 15"/>
    <m/>
    <m/>
    <m/>
  </r>
  <r>
    <s v="OHES56259"/>
    <x v="2"/>
    <x v="0"/>
    <d v="2010-03-18T00:00:00"/>
    <d v="2010-06-01T00:00:00"/>
    <x v="43"/>
    <n v="630.61"/>
    <x v="136"/>
    <x v="14"/>
    <m/>
    <n v="0.1"/>
    <m/>
    <n v="60"/>
    <n v="2353.5"/>
    <m/>
    <n v="2353.5"/>
    <n v="1262"/>
    <m/>
    <m/>
    <m/>
    <x v="1"/>
    <x v="13"/>
    <m/>
    <m/>
    <s v="OHIO RIVER SURVEY; T4N,R17W"/>
    <s v="SEE LEASE ACREAGE IS IN 4 SECS 6, 7, 18, 19"/>
    <m/>
    <m/>
    <m/>
  </r>
  <r>
    <s v="OHES56260"/>
    <x v="2"/>
    <x v="0"/>
    <d v="2010-03-18T00:00:00"/>
    <d v="2010-06-01T00:00:00"/>
    <x v="43"/>
    <n v="80"/>
    <x v="136"/>
    <x v="14"/>
    <m/>
    <n v="0.1"/>
    <m/>
    <n v="61"/>
    <n v="425"/>
    <m/>
    <n v="425"/>
    <n v="120"/>
    <m/>
    <m/>
    <m/>
    <x v="87"/>
    <x v="13"/>
    <m/>
    <m/>
    <s v="OHIO RIVER SURVEY; T4N,R17W"/>
    <s v="SEC 27,W2NE"/>
    <m/>
    <m/>
    <m/>
  </r>
  <r>
    <s v="OHES56261"/>
    <x v="2"/>
    <x v="0"/>
    <d v="2010-03-18T00:00:00"/>
    <d v="2010-06-01T00:00:00"/>
    <x v="43"/>
    <n v="460.25"/>
    <x v="137"/>
    <x v="14"/>
    <m/>
    <n v="0.1"/>
    <m/>
    <n v="62"/>
    <n v="1758.5"/>
    <m/>
    <n v="1758.5"/>
    <n v="922"/>
    <m/>
    <m/>
    <m/>
    <x v="1"/>
    <x v="13"/>
    <m/>
    <m/>
    <s v="OHIO RIVER SURVEY; T6N,R17W"/>
    <s v="SEC 20,E2NE; SEC 29,NENW,W2NW,PT.NENE;SEC33,SEE.LSE"/>
    <m/>
    <m/>
    <m/>
  </r>
  <r>
    <s v="OHES56262"/>
    <x v="2"/>
    <x v="0"/>
    <d v="2010-03-18T00:00:00"/>
    <d v="2010-06-01T00:00:00"/>
    <x v="43"/>
    <n v="798.29"/>
    <x v="137"/>
    <x v="14"/>
    <m/>
    <n v="0.1"/>
    <m/>
    <n v="63"/>
    <n v="2941.5"/>
    <m/>
    <n v="2941.5"/>
    <n v="1598"/>
    <m/>
    <m/>
    <m/>
    <x v="1"/>
    <x v="13"/>
    <m/>
    <m/>
    <s v="OHIO RIVER SURVEY; T6N,R17W"/>
    <s v="SEE LEASE ACREAGE IS IN 7 SECS 4, 5, 8, 9, 10, 16, 17"/>
    <m/>
    <m/>
    <m/>
  </r>
  <r>
    <s v="OHES56263"/>
    <x v="2"/>
    <x v="0"/>
    <d v="2010-03-18T00:00:00"/>
    <d v="2010-06-01T00:00:00"/>
    <x v="43"/>
    <n v="700.46"/>
    <x v="137"/>
    <x v="14"/>
    <m/>
    <n v="0.1"/>
    <m/>
    <n v="64"/>
    <n v="2598.5"/>
    <m/>
    <n v="2598.5"/>
    <n v="1402"/>
    <m/>
    <m/>
    <m/>
    <x v="1"/>
    <x v="13"/>
    <m/>
    <m/>
    <s v="OHIO RIVER SURVEY; T6N,R17W"/>
    <s v="SEE LEASE ACREAGE IS IN 5 SECS 21, 27, 28, 33, 34"/>
    <m/>
    <m/>
    <m/>
  </r>
  <r>
    <s v="OHES56264"/>
    <x v="2"/>
    <x v="0"/>
    <d v="2010-03-18T00:00:00"/>
    <d v="2010-06-01T00:00:00"/>
    <x v="43"/>
    <n v="679.17"/>
    <x v="137"/>
    <x v="14"/>
    <m/>
    <n v="0.1"/>
    <m/>
    <n v="65"/>
    <n v="2525"/>
    <m/>
    <n v="2525"/>
    <n v="1360"/>
    <m/>
    <m/>
    <m/>
    <x v="1"/>
    <x v="13"/>
    <m/>
    <m/>
    <s v="OHIO RIVER SURVEY; T6N,R17W"/>
    <s v="SEE LEASE ACREAGE IS IN 5 SECS 12, 13, 23, 24, 25"/>
    <m/>
    <m/>
    <m/>
  </r>
  <r>
    <s v="OHES56265"/>
    <x v="2"/>
    <x v="0"/>
    <d v="2010-03-18T00:00:00"/>
    <d v="2010-06-01T00:00:00"/>
    <x v="43"/>
    <n v="461.69"/>
    <x v="137"/>
    <x v="14"/>
    <m/>
    <n v="0.1"/>
    <m/>
    <n v="66"/>
    <n v="1762"/>
    <m/>
    <n v="1762"/>
    <n v="924"/>
    <m/>
    <m/>
    <m/>
    <x v="1"/>
    <x v="13"/>
    <m/>
    <m/>
    <s v="OHIO RIVER SURVEY; T6N,R17W"/>
    <s v="SEE LEASE ACREAGE IS IN 3 SECS 19, 30, 31"/>
    <m/>
    <m/>
    <m/>
  </r>
  <r>
    <s v="OHES56266"/>
    <x v="2"/>
    <x v="0"/>
    <d v="2010-03-18T00:00:00"/>
    <d v="2010-06-01T00:00:00"/>
    <x v="43"/>
    <n v="992.69"/>
    <x v="136"/>
    <x v="14"/>
    <m/>
    <n v="0.1"/>
    <m/>
    <n v="67"/>
    <n v="3620.5"/>
    <m/>
    <n v="3620.5"/>
    <n v="1986"/>
    <m/>
    <m/>
    <m/>
    <x v="1"/>
    <x v="13"/>
    <m/>
    <m/>
    <s v="OHIO RIVER SURVEY; T5N,R17W"/>
    <s v="SEE LEASE ACREAGE IS IN 6 SECS 4, 5, 6, 7, 8, 9"/>
    <m/>
    <m/>
    <m/>
  </r>
  <r>
    <s v="OHES56267"/>
    <x v="2"/>
    <x v="0"/>
    <d v="2010-03-18T00:00:00"/>
    <d v="2010-06-01T00:00:00"/>
    <x v="43"/>
    <n v="763.5"/>
    <x v="136"/>
    <x v="14"/>
    <m/>
    <n v="0.1"/>
    <m/>
    <n v="68"/>
    <n v="2819"/>
    <m/>
    <n v="2819"/>
    <n v="1528"/>
    <m/>
    <m/>
    <m/>
    <x v="1"/>
    <x v="13"/>
    <m/>
    <m/>
    <s v="OHIO RIVER SURVEY; T5N,R17W"/>
    <s v="SEE LEASE ACREAGE IS IN 4 SECS 2, 3, 10, 11"/>
    <m/>
    <m/>
    <m/>
  </r>
  <r>
    <s v="OHES56268"/>
    <x v="2"/>
    <x v="0"/>
    <d v="2010-03-18T00:00:00"/>
    <d v="2010-06-01T00:00:00"/>
    <x v="43"/>
    <n v="1351.55"/>
    <x v="136"/>
    <x v="14"/>
    <m/>
    <n v="0.1"/>
    <m/>
    <n v="69"/>
    <n v="4877"/>
    <m/>
    <n v="4877"/>
    <n v="2704"/>
    <m/>
    <m/>
    <m/>
    <x v="1"/>
    <x v="13"/>
    <m/>
    <m/>
    <s v="OHIO RIVER SURVEY; T5N,R17W"/>
    <s v="SEE LEASE ACREAGE IS IN 7 SECS 16, 17, 18, 19, 20, 30, 31"/>
    <m/>
    <m/>
    <m/>
  </r>
  <r>
    <s v="OHES56269"/>
    <x v="2"/>
    <x v="0"/>
    <d v="2010-03-18T00:00:00"/>
    <d v="2010-06-01T00:00:00"/>
    <x v="43"/>
    <n v="112.04"/>
    <x v="136"/>
    <x v="14"/>
    <m/>
    <n v="0.1"/>
    <m/>
    <n v="70"/>
    <n v="540.5"/>
    <m/>
    <n v="540.5"/>
    <n v="226"/>
    <m/>
    <m/>
    <m/>
    <x v="1"/>
    <x v="13"/>
    <m/>
    <m/>
    <s v="OHIO RIVER SURVEY; T5N,R17W"/>
    <s v="SEC 21,NENE; SEC 28,PT.E2NE"/>
    <m/>
    <m/>
    <m/>
  </r>
  <r>
    <s v="OHES56270"/>
    <x v="2"/>
    <x v="0"/>
    <d v="2010-03-18T00:00:00"/>
    <d v="2010-06-01T00:00:00"/>
    <x v="43"/>
    <n v="535.86"/>
    <x v="136"/>
    <x v="14"/>
    <m/>
    <n v="0.1"/>
    <m/>
    <n v="71"/>
    <n v="2021"/>
    <m/>
    <n v="2021"/>
    <n v="1072"/>
    <m/>
    <m/>
    <m/>
    <x v="1"/>
    <x v="13"/>
    <m/>
    <m/>
    <s v="OHIO RIVER SURVEY; T5N,R17W"/>
    <s v="SEE LEASE ACREAGE IS IN 5 SECS 22, 23, 24, 26, 27"/>
    <m/>
    <m/>
    <m/>
  </r>
  <r>
    <s v="OHES56271"/>
    <x v="2"/>
    <x v="0"/>
    <d v="2010-03-18T00:00:00"/>
    <d v="2010-06-01T00:00:00"/>
    <x v="43"/>
    <n v="119"/>
    <x v="137"/>
    <x v="14"/>
    <m/>
    <n v="0.1"/>
    <m/>
    <n v="72"/>
    <n v="561.5"/>
    <m/>
    <n v="561.5"/>
    <n v="238"/>
    <m/>
    <m/>
    <m/>
    <x v="1"/>
    <x v="13"/>
    <m/>
    <m/>
    <s v="OHIO RIVER SURVEY; T4N,R16W"/>
    <s v="SEC 16, N2SW,EX.5.AC; SEC 20,NWNE,EX..5.AC"/>
    <s v="5.AC; SEC"/>
    <m/>
    <m/>
  </r>
  <r>
    <s v="OHES56272"/>
    <x v="0"/>
    <x v="0"/>
    <d v="2010-03-18T00:00:00"/>
    <d v="2010-06-01T00:00:00"/>
    <x v="43"/>
    <n v="118.28"/>
    <x v="1"/>
    <x v="14"/>
    <m/>
    <n v="0.1"/>
    <m/>
    <n v="73"/>
    <n v="561.5"/>
    <m/>
    <n v="561.5"/>
    <n v="180"/>
    <m/>
    <m/>
    <m/>
    <x v="88"/>
    <x v="13"/>
    <m/>
    <m/>
    <m/>
    <m/>
    <m/>
    <m/>
    <m/>
  </r>
  <r>
    <s v="OHES56278"/>
    <x v="2"/>
    <x v="0"/>
    <d v="2010-03-18T00:00:00"/>
    <d v="2010-06-01T00:00:00"/>
    <x v="43"/>
    <n v="81.17"/>
    <x v="22"/>
    <x v="14"/>
    <m/>
    <n v="0.1"/>
    <m/>
    <n v="79"/>
    <n v="432"/>
    <n v="3936"/>
    <n v="4368"/>
    <n v="164"/>
    <m/>
    <m/>
    <m/>
    <x v="1"/>
    <x v="13"/>
    <m/>
    <m/>
    <s v="OHIO RIVER SURVEY; T3N,R7W"/>
    <s v="SEC 7, NWNW; SEC 13, NENE,PT.SENE"/>
    <m/>
    <m/>
    <m/>
  </r>
  <r>
    <m/>
    <x v="1"/>
    <x v="1"/>
    <m/>
    <m/>
    <x v="1"/>
    <m/>
    <x v="1"/>
    <x v="1"/>
    <m/>
    <m/>
    <m/>
    <m/>
    <n v="45273"/>
    <n v="177990"/>
    <n v="223263"/>
    <m/>
    <m/>
    <m/>
    <m/>
    <x v="1"/>
    <x v="1"/>
    <m/>
    <m/>
    <m/>
    <m/>
    <m/>
    <m/>
    <m/>
  </r>
  <r>
    <m/>
    <x v="1"/>
    <x v="1"/>
    <m/>
    <m/>
    <x v="1"/>
    <m/>
    <x v="1"/>
    <x v="1"/>
    <m/>
    <m/>
    <m/>
    <s v="MPLP AXP CHGS"/>
    <m/>
    <m/>
    <n v="99999"/>
    <m/>
    <m/>
    <m/>
    <m/>
    <x v="1"/>
    <x v="1"/>
    <m/>
    <m/>
    <m/>
    <m/>
    <m/>
    <m/>
    <m/>
  </r>
  <r>
    <m/>
    <x v="1"/>
    <x v="1"/>
    <m/>
    <m/>
    <x v="1"/>
    <m/>
    <x v="1"/>
    <x v="1"/>
    <m/>
    <m/>
    <m/>
    <s v="R&amp;R CK 2276"/>
    <m/>
    <m/>
    <n v="123264"/>
    <m/>
    <m/>
    <m/>
    <m/>
    <x v="1"/>
    <x v="1"/>
    <m/>
    <m/>
    <m/>
    <m/>
    <m/>
    <m/>
    <m/>
  </r>
  <r>
    <m/>
    <x v="1"/>
    <x v="1"/>
    <m/>
    <m/>
    <x v="1"/>
    <m/>
    <x v="1"/>
    <x v="1"/>
    <m/>
    <m/>
    <m/>
    <m/>
    <m/>
    <m/>
    <n v="223263"/>
    <m/>
    <m/>
    <m/>
    <m/>
    <x v="1"/>
    <x v="1"/>
    <m/>
    <m/>
    <m/>
    <m/>
    <m/>
    <m/>
    <m/>
  </r>
  <r>
    <m/>
    <x v="1"/>
    <x v="1"/>
    <m/>
    <m/>
    <x v="1"/>
    <m/>
    <x v="1"/>
    <x v="1"/>
    <m/>
    <m/>
    <m/>
    <m/>
    <m/>
    <m/>
    <m/>
    <m/>
    <m/>
    <m/>
    <m/>
    <x v="1"/>
    <x v="1"/>
    <m/>
    <m/>
    <m/>
    <m/>
    <m/>
    <m/>
    <m/>
  </r>
  <r>
    <m/>
    <x v="1"/>
    <x v="1"/>
    <m/>
    <m/>
    <x v="1"/>
    <m/>
    <x v="1"/>
    <x v="1"/>
    <m/>
    <m/>
    <m/>
    <m/>
    <m/>
    <m/>
    <m/>
    <m/>
    <m/>
    <m/>
    <m/>
    <x v="1"/>
    <x v="1"/>
    <m/>
    <m/>
    <m/>
    <m/>
    <m/>
    <m/>
    <m/>
  </r>
  <r>
    <s v="NMNM124665"/>
    <x v="2"/>
    <x v="0"/>
    <d v="2010-04-21T00:00:00"/>
    <d v="2010-06-01T00:00:00"/>
    <x v="43"/>
    <n v="160"/>
    <x v="41"/>
    <x v="7"/>
    <m/>
    <n v="0.1"/>
    <m/>
    <s v="20100040 22"/>
    <n v="705"/>
    <n v="1600"/>
    <n v="2305"/>
    <n v="320"/>
    <m/>
    <m/>
    <m/>
    <x v="1"/>
    <x v="13"/>
    <m/>
    <m/>
    <s v="MERIDIAN NMPM, T70N, R350E"/>
    <s v="SEC.30NE"/>
    <m/>
    <m/>
    <m/>
  </r>
  <r>
    <s v="NMNM124668"/>
    <x v="2"/>
    <x v="0"/>
    <d v="2010-04-21T00:00:00"/>
    <d v="2010-06-01T00:00:00"/>
    <x v="43"/>
    <n v="1252.68"/>
    <x v="46"/>
    <x v="7"/>
    <m/>
    <n v="0.1"/>
    <m/>
    <s v="2010004 025"/>
    <n v="4530.5"/>
    <n v="711704"/>
    <n v="716234.5"/>
    <n v="2506"/>
    <m/>
    <m/>
    <m/>
    <x v="1"/>
    <x v="13"/>
    <m/>
    <m/>
    <s v="MERIDIAN NMPM, T200N, T30W"/>
    <s v="SEC.19,LT.1-4;E2,E2W2; SEC.30.LT.1-4;E2,E2W2"/>
    <m/>
    <m/>
    <m/>
  </r>
  <r>
    <s v="NMNM124669"/>
    <x v="2"/>
    <x v="0"/>
    <d v="2010-04-21T00:00:00"/>
    <d v="2010-06-01T00:00:00"/>
    <x v="43"/>
    <n v="1280"/>
    <x v="46"/>
    <x v="7"/>
    <m/>
    <n v="0.1"/>
    <m/>
    <s v="2010004 026"/>
    <n v="4625"/>
    <n v="797440"/>
    <n v="802065"/>
    <n v="2560"/>
    <m/>
    <m/>
    <m/>
    <x v="1"/>
    <x v="13"/>
    <m/>
    <m/>
    <s v="MERIDIAN NMPM, T200N, T30W"/>
    <s v="SEC.20ALL;SEC29ALL"/>
    <m/>
    <m/>
    <m/>
  </r>
  <r>
    <s v="OKNM124670"/>
    <x v="2"/>
    <x v="0"/>
    <d v="2010-04-21T00:00:00"/>
    <d v="2010-06-01T00:00:00"/>
    <x v="43"/>
    <n v="40"/>
    <x v="138"/>
    <x v="5"/>
    <m/>
    <n v="0.1"/>
    <m/>
    <s v="2010004 027"/>
    <n v="285"/>
    <n v="17920"/>
    <n v="18205"/>
    <n v="80"/>
    <m/>
    <m/>
    <m/>
    <x v="1"/>
    <x v="13"/>
    <m/>
    <m/>
    <s v="MERIDIAN IM, T50N, R160E"/>
    <s v="SEC.16,W2SESW;E2,LOT78.WITHIN,TOWNSITE13"/>
    <m/>
    <m/>
    <m/>
  </r>
  <r>
    <s v="OKNM124671"/>
    <x v="2"/>
    <x v="0"/>
    <d v="2010-04-21T00:00:00"/>
    <d v="2010-06-01T00:00:00"/>
    <x v="43"/>
    <n v="10.728"/>
    <x v="48"/>
    <x v="5"/>
    <m/>
    <n v="0.1"/>
    <m/>
    <s v="2010004 028"/>
    <n v="183.5"/>
    <n v="528"/>
    <n v="711.5"/>
    <n v="22"/>
    <m/>
    <m/>
    <m/>
    <x v="1"/>
    <x v="13"/>
    <m/>
    <m/>
    <s v="MERIDIAN IM, T260N, R70W"/>
    <s v="SEC.23, REMAINDER OF LOT 7, RIPARIAN ACREAGE TO LOT 7,SEE LSE FOR M&amp;B"/>
    <m/>
    <m/>
    <m/>
  </r>
  <r>
    <s v="TXNM124676"/>
    <x v="2"/>
    <x v="0"/>
    <d v="2010-04-21T00:00:00"/>
    <d v="2010-06-01T00:00:00"/>
    <x v="43"/>
    <n v="544.82000000000005"/>
    <x v="58"/>
    <x v="0"/>
    <m/>
    <n v="0.1"/>
    <m/>
    <s v="2010004 033"/>
    <n v="2087.5"/>
    <n v="26640"/>
    <n v="28727.5"/>
    <n v="1110"/>
    <m/>
    <m/>
    <m/>
    <x v="1"/>
    <x v="13"/>
    <m/>
    <m/>
    <s v="MERIDIAN TX"/>
    <s v="TRACT S-2k-II PARCEL #24, SEE LSE FOR M&amp;B"/>
    <m/>
    <s v="YES"/>
    <m/>
  </r>
  <r>
    <m/>
    <x v="1"/>
    <x v="1"/>
    <m/>
    <m/>
    <x v="1"/>
    <m/>
    <x v="1"/>
    <x v="1"/>
    <m/>
    <m/>
    <m/>
    <m/>
    <n v="12416.5"/>
    <n v="1555832"/>
    <n v="1568248.5"/>
    <m/>
    <m/>
    <m/>
    <m/>
    <x v="1"/>
    <x v="1"/>
    <m/>
    <m/>
    <m/>
    <m/>
    <m/>
    <m/>
    <m/>
  </r>
  <r>
    <m/>
    <x v="1"/>
    <x v="1"/>
    <m/>
    <m/>
    <x v="1"/>
    <m/>
    <x v="1"/>
    <x v="1"/>
    <m/>
    <m/>
    <m/>
    <s v="MPLP AXP CHGS"/>
    <m/>
    <m/>
    <n v="12416.5"/>
    <m/>
    <m/>
    <m/>
    <m/>
    <x v="1"/>
    <x v="1"/>
    <m/>
    <m/>
    <m/>
    <m/>
    <m/>
    <m/>
    <m/>
  </r>
  <r>
    <m/>
    <x v="1"/>
    <x v="1"/>
    <m/>
    <m/>
    <x v="1"/>
    <m/>
    <x v="1"/>
    <x v="1"/>
    <m/>
    <m/>
    <m/>
    <s v="MPLP AXP CHGS"/>
    <m/>
    <m/>
    <n v="87000"/>
    <m/>
    <m/>
    <m/>
    <m/>
    <x v="1"/>
    <x v="1"/>
    <m/>
    <m/>
    <m/>
    <m/>
    <m/>
    <m/>
    <m/>
  </r>
  <r>
    <m/>
    <x v="1"/>
    <x v="1"/>
    <m/>
    <m/>
    <x v="1"/>
    <m/>
    <x v="1"/>
    <x v="1"/>
    <m/>
    <m/>
    <m/>
    <s v="R&amp;R CK 2520"/>
    <m/>
    <m/>
    <n v="1468832"/>
    <m/>
    <m/>
    <m/>
    <m/>
    <x v="1"/>
    <x v="1"/>
    <m/>
    <m/>
    <m/>
    <m/>
    <m/>
    <m/>
    <m/>
  </r>
  <r>
    <m/>
    <x v="1"/>
    <x v="1"/>
    <m/>
    <m/>
    <x v="1"/>
    <m/>
    <x v="1"/>
    <x v="1"/>
    <m/>
    <m/>
    <m/>
    <m/>
    <m/>
    <m/>
    <n v="1568248.5"/>
    <m/>
    <m/>
    <m/>
    <m/>
    <x v="1"/>
    <x v="1"/>
    <m/>
    <m/>
    <m/>
    <m/>
    <m/>
    <m/>
    <m/>
  </r>
  <r>
    <m/>
    <x v="1"/>
    <x v="1"/>
    <m/>
    <m/>
    <x v="1"/>
    <m/>
    <x v="1"/>
    <x v="1"/>
    <m/>
    <m/>
    <m/>
    <m/>
    <m/>
    <m/>
    <m/>
    <m/>
    <m/>
    <m/>
    <m/>
    <x v="1"/>
    <x v="1"/>
    <m/>
    <m/>
    <m/>
    <m/>
    <m/>
    <m/>
    <m/>
  </r>
  <r>
    <s v="LAES056361"/>
    <x v="2"/>
    <x v="0"/>
    <d v="2010-06-23T00:00:00"/>
    <d v="2010-09-01T00:00:00"/>
    <x v="35"/>
    <n v="40"/>
    <x v="139"/>
    <x v="3"/>
    <m/>
    <n v="0.1"/>
    <n v="0.09"/>
    <m/>
    <n v="285"/>
    <m/>
    <n v="285"/>
    <n v="60"/>
    <m/>
    <m/>
    <m/>
    <x v="1"/>
    <x v="13"/>
    <m/>
    <m/>
    <s v="MERIDIAN LA , T8N, R1W"/>
    <s v="SEC.28, SESE"/>
    <m/>
    <m/>
    <m/>
  </r>
  <r>
    <s v="LAES056362"/>
    <x v="2"/>
    <x v="0"/>
    <d v="2010-06-23T00:00:00"/>
    <d v="2010-09-01T00:00:00"/>
    <x v="35"/>
    <n v="39.61"/>
    <x v="140"/>
    <x v="3"/>
    <m/>
    <n v="0.1"/>
    <n v="0.09"/>
    <m/>
    <n v="285"/>
    <m/>
    <n v="285"/>
    <n v="60"/>
    <m/>
    <m/>
    <m/>
    <x v="1"/>
    <x v="13"/>
    <m/>
    <m/>
    <s v="MERIDIAN LA , T12N, R5W"/>
    <s v="SEC.28, NESE"/>
    <m/>
    <m/>
    <m/>
  </r>
  <r>
    <s v="LAES056363"/>
    <x v="2"/>
    <x v="0"/>
    <d v="2010-06-23T00:00:00"/>
    <d v="2010-09-01T00:00:00"/>
    <x v="35"/>
    <n v="239.92"/>
    <x v="140"/>
    <x v="3"/>
    <m/>
    <n v="0.1"/>
    <n v="0.09"/>
    <m/>
    <n v="2185"/>
    <m/>
    <n v="2185"/>
    <n v="360"/>
    <m/>
    <m/>
    <m/>
    <x v="1"/>
    <x v="13"/>
    <m/>
    <m/>
    <s v="MERIDIAN LA, T12N , R5W"/>
    <s v="SEC.29, SW, S2NW"/>
    <m/>
    <m/>
    <m/>
  </r>
  <r>
    <s v="LAES056364"/>
    <x v="2"/>
    <x v="0"/>
    <d v="2010-06-23T00:00:00"/>
    <d v="2010-09-01T00:00:00"/>
    <x v="35"/>
    <n v="510.67"/>
    <x v="140"/>
    <x v="3"/>
    <m/>
    <n v="0.1"/>
    <n v="0.09"/>
    <m/>
    <n v="4488.5"/>
    <m/>
    <n v="4488.5"/>
    <n v="766.5"/>
    <m/>
    <m/>
    <m/>
    <x v="1"/>
    <x v="13"/>
    <m/>
    <m/>
    <s v="MERIDIAN LA, T12N , R5W"/>
    <s v="SEC.35, NWNE, S2NE, S2, E2NW"/>
    <m/>
    <m/>
    <m/>
  </r>
  <r>
    <s v="LAES056365"/>
    <x v="2"/>
    <x v="0"/>
    <d v="2010-06-23T00:00:00"/>
    <d v="2010-09-01T00:00:00"/>
    <x v="35"/>
    <n v="40.08"/>
    <x v="140"/>
    <x v="3"/>
    <m/>
    <n v="0.1"/>
    <n v="0.09"/>
    <m/>
    <n v="288.5"/>
    <m/>
    <n v="288.5"/>
    <n v="61.5"/>
    <m/>
    <m/>
    <m/>
    <x v="1"/>
    <x v="13"/>
    <m/>
    <m/>
    <s v="MERIDIAN LA, T12N , R6W"/>
    <s v="SEC. 3, SESE"/>
    <m/>
    <m/>
    <m/>
  </r>
  <r>
    <s v="LAES056366"/>
    <x v="2"/>
    <x v="0"/>
    <d v="2010-06-23T00:00:00"/>
    <d v="2010-09-01T00:00:00"/>
    <x v="35"/>
    <n v="30.44"/>
    <x v="140"/>
    <x v="3"/>
    <m/>
    <n v="0.1"/>
    <n v="0.09"/>
    <m/>
    <n v="253.5"/>
    <m/>
    <n v="253.5"/>
    <n v="46.5"/>
    <m/>
    <m/>
    <m/>
    <x v="1"/>
    <x v="13"/>
    <m/>
    <m/>
    <s v="MERIDIAN LA, T12N, R6W"/>
    <s v="SEC. 13, W2E2NENW, W2NENW"/>
    <m/>
    <m/>
    <m/>
  </r>
  <r>
    <s v="LAES056367"/>
    <x v="2"/>
    <x v="0"/>
    <d v="2010-06-23T00:00:00"/>
    <d v="2010-09-01T00:00:00"/>
    <x v="35"/>
    <n v="634.84"/>
    <x v="140"/>
    <x v="3"/>
    <m/>
    <n v="0.1"/>
    <n v="0.09"/>
    <m/>
    <n v="11257.5"/>
    <m/>
    <n v="11257.5"/>
    <n v="952.5"/>
    <m/>
    <m/>
    <m/>
    <x v="1"/>
    <x v="13"/>
    <m/>
    <m/>
    <s v="MERIDIAN LA, T12N, R6W"/>
    <s v="SEC.23, ALL LESS &amp; EXCEPT 12.40 AC. IN RR ROW IN N2N2"/>
    <m/>
    <m/>
    <m/>
  </r>
  <r>
    <s v="LAES056369"/>
    <x v="2"/>
    <x v="0"/>
    <d v="2010-06-23T00:00:00"/>
    <d v="2010-09-01T00:00:00"/>
    <x v="35"/>
    <n v="99.41"/>
    <x v="140"/>
    <x v="3"/>
    <m/>
    <n v="0.1"/>
    <n v="0.09"/>
    <m/>
    <n v="895"/>
    <m/>
    <n v="895"/>
    <n v="150"/>
    <m/>
    <m/>
    <m/>
    <x v="1"/>
    <x v="13"/>
    <m/>
    <m/>
    <s v="MERIDIAN LA, T13N, R5W"/>
    <s v="SEC.5, SWNW, NWSW, N2SWSW"/>
    <m/>
    <m/>
    <m/>
  </r>
  <r>
    <s v="LAES056371"/>
    <x v="2"/>
    <x v="0"/>
    <d v="2010-06-23T00:00:00"/>
    <d v="2010-09-01T00:00:00"/>
    <x v="35"/>
    <n v="19.899999999999999"/>
    <x v="140"/>
    <x v="3"/>
    <m/>
    <n v="0.1"/>
    <n v="0.09"/>
    <m/>
    <n v="215"/>
    <m/>
    <n v="215"/>
    <n v="30"/>
    <m/>
    <m/>
    <m/>
    <x v="1"/>
    <x v="13"/>
    <m/>
    <m/>
    <s v="MERIDIAN LA, T13N, R5W"/>
    <s v="SEC.13, S2NENE"/>
    <m/>
    <m/>
    <m/>
  </r>
  <r>
    <s v="LAES056372"/>
    <x v="2"/>
    <x v="0"/>
    <d v="2010-06-23T00:00:00"/>
    <d v="2010-09-01T00:00:00"/>
    <x v="35"/>
    <n v="159.91999999999999"/>
    <x v="140"/>
    <x v="3"/>
    <m/>
    <n v="0.1"/>
    <n v="0.09"/>
    <m/>
    <n v="1345"/>
    <m/>
    <n v="1345"/>
    <n v="240"/>
    <m/>
    <m/>
    <m/>
    <x v="1"/>
    <x v="13"/>
    <m/>
    <m/>
    <s v="MERIDIAN LA, T13N, R5W"/>
    <s v="SEC.19, E2NW, SWNW, NESE"/>
    <m/>
    <m/>
    <m/>
  </r>
  <r>
    <s v="LAES056373"/>
    <x v="2"/>
    <x v="0"/>
    <d v="2010-06-23T00:00:00"/>
    <d v="2010-09-01T00:00:00"/>
    <x v="35"/>
    <n v="110"/>
    <x v="140"/>
    <x v="3"/>
    <m/>
    <n v="0.1"/>
    <n v="0.09"/>
    <m/>
    <n v="5590"/>
    <m/>
    <n v="5590"/>
    <n v="165"/>
    <m/>
    <m/>
    <m/>
    <x v="1"/>
    <x v="13"/>
    <m/>
    <m/>
    <s v="MERIDIAN LA, T13N, R5W"/>
    <s v="SEC.29, Part of the W2 lying west of the creek"/>
    <m/>
    <m/>
    <m/>
  </r>
  <r>
    <s v="MSES056384"/>
    <x v="2"/>
    <x v="0"/>
    <d v="2010-06-23T00:00:00"/>
    <d v="2010-09-01T00:00:00"/>
    <x v="35"/>
    <n v="80"/>
    <x v="141"/>
    <x v="4"/>
    <m/>
    <n v="0.1"/>
    <n v="0.09"/>
    <m/>
    <n v="2345"/>
    <m/>
    <n v="2345"/>
    <n v="120"/>
    <m/>
    <m/>
    <m/>
    <x v="1"/>
    <x v="13"/>
    <m/>
    <m/>
    <s v="MERIDIAN CHOCTAW, T2N , R2W"/>
    <s v="SEC.22, W2NW"/>
    <m/>
    <m/>
    <m/>
  </r>
  <r>
    <s v="MSES056385"/>
    <x v="2"/>
    <x v="0"/>
    <d v="2010-06-23T00:00:00"/>
    <d v="2010-09-01T00:00:00"/>
    <x v="35"/>
    <n v="40"/>
    <x v="141"/>
    <x v="4"/>
    <m/>
    <n v="0.1"/>
    <n v="0.09"/>
    <m/>
    <n v="285"/>
    <m/>
    <n v="285"/>
    <n v="60"/>
    <m/>
    <m/>
    <m/>
    <x v="1"/>
    <x v="13"/>
    <m/>
    <m/>
    <s v="MERIDIAN CHOCTAW, T2N , R3W"/>
    <s v="SEC. 21 , SWNE"/>
    <m/>
    <m/>
    <m/>
  </r>
  <r>
    <s v="MSES056387"/>
    <x v="2"/>
    <x v="0"/>
    <d v="2010-06-23T00:00:00"/>
    <d v="2010-09-01T00:00:00"/>
    <x v="35"/>
    <n v="160"/>
    <x v="141"/>
    <x v="4"/>
    <m/>
    <n v="0.1"/>
    <n v="0.09"/>
    <m/>
    <n v="705"/>
    <m/>
    <n v="705"/>
    <n v="240"/>
    <m/>
    <m/>
    <m/>
    <x v="1"/>
    <x v="13"/>
    <m/>
    <m/>
    <s v="MERIDIAN CHOCTAW, T1N, R2W"/>
    <s v="SEC.22, SWSE, SEC.27, N2NE, SWNE 50% MINERAL INT."/>
    <m/>
    <m/>
    <m/>
  </r>
  <r>
    <s v="MSES056389"/>
    <x v="2"/>
    <x v="0"/>
    <d v="2010-06-23T00:00:00"/>
    <d v="2010-09-01T00:00:00"/>
    <x v="35"/>
    <n v="120"/>
    <x v="142"/>
    <x v="4"/>
    <m/>
    <n v="0.1"/>
    <n v="0.09"/>
    <m/>
    <n v="1285"/>
    <m/>
    <n v="1285"/>
    <n v="180"/>
    <m/>
    <m/>
    <m/>
    <x v="1"/>
    <x v="13"/>
    <m/>
    <m/>
    <s v="MERIDIAN CHOCTAW, T2N, R1E"/>
    <s v="SEC.1, N2SW, SEC.2 NESE, 50% MINERAL INT."/>
    <m/>
    <m/>
    <m/>
  </r>
  <r>
    <s v="MSES056392"/>
    <x v="2"/>
    <x v="0"/>
    <d v="2010-06-23T00:00:00"/>
    <d v="2010-09-01T00:00:00"/>
    <x v="35"/>
    <n v="40"/>
    <x v="141"/>
    <x v="4"/>
    <m/>
    <n v="0.1"/>
    <n v="0.09"/>
    <m/>
    <n v="445"/>
    <m/>
    <n v="445"/>
    <n v="60"/>
    <m/>
    <m/>
    <m/>
    <x v="1"/>
    <x v="13"/>
    <m/>
    <m/>
    <s v="MERIDIAN WASHINGTON, T9N, R9E"/>
    <s v="SEC.4 , NENW"/>
    <m/>
    <m/>
    <m/>
  </r>
  <r>
    <s v="MSES056393"/>
    <x v="2"/>
    <x v="0"/>
    <d v="2010-06-23T00:00:00"/>
    <d v="2010-09-01T00:00:00"/>
    <x v="35"/>
    <n v="80"/>
    <x v="141"/>
    <x v="4"/>
    <m/>
    <n v="0.1"/>
    <n v="0.09"/>
    <m/>
    <n v="2025"/>
    <m/>
    <n v="2025"/>
    <n v="120"/>
    <m/>
    <m/>
    <m/>
    <x v="1"/>
    <x v="13"/>
    <m/>
    <m/>
    <s v="MERIDIAN WASHINGTON, T9N, R9E"/>
    <s v="SEC.17 , NESE, SEC.20, SWSW"/>
    <m/>
    <m/>
    <m/>
  </r>
  <r>
    <s v="MSES056395"/>
    <x v="2"/>
    <x v="0"/>
    <d v="2010-06-23T00:00:00"/>
    <d v="2010-09-01T00:00:00"/>
    <x v="35"/>
    <n v="60"/>
    <x v="141"/>
    <x v="4"/>
    <m/>
    <n v="0.1"/>
    <n v="0.09"/>
    <m/>
    <n v="355"/>
    <m/>
    <n v="355"/>
    <n v="90"/>
    <m/>
    <m/>
    <m/>
    <x v="1"/>
    <x v="13"/>
    <m/>
    <m/>
    <s v="MERIDIAN WASHINGTON, T9N, R10E"/>
    <s v="SEC.13, E2S2 OF LOT 3"/>
    <s v="E2 OF 80 ACRES OF LAND DECSCRIBED AS BEING 80 ACRES BETWEEN PARALLEL LINES ON THE EAST SIDE OF LOT 5. 50% MINERAL INT."/>
    <m/>
    <m/>
  </r>
  <r>
    <s v="MSES056396"/>
    <x v="2"/>
    <x v="0"/>
    <d v="2010-06-23T00:00:00"/>
    <d v="2010-09-01T00:00:00"/>
    <x v="35"/>
    <n v="80"/>
    <x v="136"/>
    <x v="4"/>
    <m/>
    <n v="0.1"/>
    <n v="0.09"/>
    <m/>
    <n v="425"/>
    <m/>
    <n v="425"/>
    <n v="120"/>
    <m/>
    <m/>
    <m/>
    <x v="1"/>
    <x v="13"/>
    <m/>
    <m/>
    <s v="MERIDIAN WASHINGTON, T9N, R10E"/>
    <s v="SEC.26. E2SE"/>
    <m/>
    <m/>
    <m/>
  </r>
  <r>
    <s v="MSES056397"/>
    <x v="2"/>
    <x v="0"/>
    <d v="2010-06-23T00:00:00"/>
    <d v="2010-09-01T00:00:00"/>
    <x v="35"/>
    <n v="40"/>
    <x v="141"/>
    <x v="4"/>
    <m/>
    <n v="0.1"/>
    <n v="0.09"/>
    <m/>
    <n v="285"/>
    <m/>
    <n v="285"/>
    <n v="60"/>
    <m/>
    <m/>
    <m/>
    <x v="1"/>
    <x v="13"/>
    <m/>
    <m/>
    <s v="MERIDIAN WASHINGTON, T10N, R6E"/>
    <s v="SEC.25, NWNE"/>
    <m/>
    <m/>
    <m/>
  </r>
  <r>
    <s v="MSES056398"/>
    <x v="2"/>
    <x v="0"/>
    <d v="2010-06-23T00:00:00"/>
    <d v="2010-09-01T00:00:00"/>
    <x v="35"/>
    <n v="160"/>
    <x v="141"/>
    <x v="4"/>
    <m/>
    <n v="0.1"/>
    <n v="0.09"/>
    <m/>
    <n v="705"/>
    <m/>
    <n v="705"/>
    <n v="240"/>
    <m/>
    <m/>
    <m/>
    <x v="1"/>
    <x v="13"/>
    <m/>
    <m/>
    <s v="MERIDIAN WASHINGTON, T10N, R6E"/>
    <s v="SEC.28, NWSW, SESW, SEC.32, W2SW"/>
    <m/>
    <m/>
    <m/>
  </r>
  <r>
    <s v="MSES056399"/>
    <x v="2"/>
    <x v="0"/>
    <d v="2010-06-23T00:00:00"/>
    <d v="2010-09-01T00:00:00"/>
    <x v="35"/>
    <n v="40"/>
    <x v="141"/>
    <x v="4"/>
    <m/>
    <n v="0.1"/>
    <n v="0.09"/>
    <m/>
    <n v="285"/>
    <m/>
    <n v="285"/>
    <n v="60"/>
    <m/>
    <m/>
    <m/>
    <x v="1"/>
    <x v="13"/>
    <m/>
    <m/>
    <s v="MERIDIAN WASHINGTON, T10N, R10E"/>
    <s v="SEC.14, SESW"/>
    <m/>
    <m/>
    <m/>
  </r>
  <r>
    <s v="MSES056400"/>
    <x v="2"/>
    <x v="0"/>
    <d v="2010-06-23T00:00:00"/>
    <d v="2010-09-01T00:00:00"/>
    <x v="35"/>
    <n v="80"/>
    <x v="143"/>
    <x v="4"/>
    <m/>
    <n v="0.1"/>
    <n v="0.09"/>
    <m/>
    <n v="425"/>
    <m/>
    <n v="425"/>
    <n v="120"/>
    <m/>
    <m/>
    <m/>
    <x v="1"/>
    <x v="13"/>
    <m/>
    <m/>
    <s v="MERIDIAN WASHINGTON, T12N, R5E"/>
    <s v="SEC.4, N2 OF LOT 1, SEC.5, NWNE."/>
    <m/>
    <m/>
    <m/>
  </r>
  <r>
    <s v="MSES056401"/>
    <x v="2"/>
    <x v="0"/>
    <d v="2010-06-23T00:00:00"/>
    <d v="2010-09-01T00:00:00"/>
    <x v="35"/>
    <n v="80"/>
    <x v="141"/>
    <x v="4"/>
    <m/>
    <n v="0.1"/>
    <n v="0.09"/>
    <m/>
    <n v="425"/>
    <m/>
    <n v="425"/>
    <n v="120"/>
    <m/>
    <m/>
    <m/>
    <x v="1"/>
    <x v="13"/>
    <m/>
    <m/>
    <s v="MERIDIAN WASHINGTON, T9N, R9E"/>
    <s v="SEC.2, SWNW, NWSW"/>
    <m/>
    <m/>
    <m/>
  </r>
  <r>
    <m/>
    <x v="1"/>
    <x v="1"/>
    <m/>
    <m/>
    <x v="1"/>
    <m/>
    <x v="1"/>
    <x v="1"/>
    <m/>
    <m/>
    <m/>
    <m/>
    <n v="37083"/>
    <n v="0"/>
    <n v="37083"/>
    <m/>
    <m/>
    <m/>
    <m/>
    <x v="1"/>
    <x v="1"/>
    <m/>
    <m/>
    <m/>
    <m/>
    <m/>
    <m/>
    <m/>
  </r>
  <r>
    <m/>
    <x v="1"/>
    <x v="1"/>
    <m/>
    <m/>
    <x v="1"/>
    <m/>
    <x v="1"/>
    <x v="1"/>
    <m/>
    <m/>
    <m/>
    <m/>
    <m/>
    <m/>
    <m/>
    <m/>
    <m/>
    <m/>
    <m/>
    <x v="1"/>
    <x v="1"/>
    <m/>
    <m/>
    <m/>
    <m/>
    <m/>
    <m/>
    <m/>
  </r>
  <r>
    <s v="NMNM125144"/>
    <x v="2"/>
    <x v="0"/>
    <d v="2010-07-21T00:00:00"/>
    <d v="2010-10-01T00:00:00"/>
    <x v="44"/>
    <n v="160"/>
    <x v="62"/>
    <x v="7"/>
    <m/>
    <n v="0.1"/>
    <n v="0.09"/>
    <s v="201007 007"/>
    <n v="705"/>
    <n v="1280"/>
    <n v="1985"/>
    <n v="240"/>
    <m/>
    <m/>
    <m/>
    <x v="1"/>
    <x v="13"/>
    <m/>
    <m/>
    <s v="MERIDIAN NMPM, T0030S, R0290E"/>
    <s v="SEC.022, S2NW, W2SW"/>
    <m/>
    <m/>
    <m/>
  </r>
  <r>
    <s v="NMNM125145"/>
    <x v="2"/>
    <x v="0"/>
    <d v="2010-07-21T00:00:00"/>
    <d v="2010-10-01T00:00:00"/>
    <x v="44"/>
    <n v="320"/>
    <x v="62"/>
    <x v="7"/>
    <m/>
    <n v="0.1"/>
    <n v="0.09"/>
    <s v="201007 008"/>
    <n v="1265"/>
    <n v="2560"/>
    <n v="3825"/>
    <n v="480"/>
    <m/>
    <m/>
    <m/>
    <x v="1"/>
    <x v="13"/>
    <m/>
    <m/>
    <s v="MERIDIAN NMPM, T0030S, R0290E"/>
    <s v="SEC.034, W2"/>
    <m/>
    <m/>
    <m/>
  </r>
  <r>
    <s v="NMNM125146"/>
    <x v="2"/>
    <x v="0"/>
    <d v="2010-07-21T00:00:00"/>
    <d v="2010-10-01T00:00:00"/>
    <x v="44"/>
    <n v="41.04"/>
    <x v="116"/>
    <x v="7"/>
    <m/>
    <n v="0.1"/>
    <n v="0.09"/>
    <s v="201007 008"/>
    <n v="292"/>
    <n v="756"/>
    <n v="1048"/>
    <n v="63"/>
    <m/>
    <m/>
    <m/>
    <x v="1"/>
    <x v="13"/>
    <m/>
    <m/>
    <s v="MERIDIAN NMPM, T0090N, R0290E"/>
    <s v="SEC.001, LOTS 4"/>
    <m/>
    <m/>
    <m/>
  </r>
  <r>
    <s v="NMNM125147"/>
    <x v="2"/>
    <x v="0"/>
    <d v="2010-07-21T00:00:00"/>
    <d v="2010-10-01T00:00:00"/>
    <x v="44"/>
    <n v="40"/>
    <x v="116"/>
    <x v="7"/>
    <m/>
    <n v="0.1"/>
    <n v="0.09"/>
    <s v="201007 010"/>
    <n v="285"/>
    <n v="480"/>
    <n v="765"/>
    <n v="60"/>
    <m/>
    <m/>
    <m/>
    <x v="1"/>
    <x v="13"/>
    <m/>
    <m/>
    <s v="MERIDIAN NMPM, T0100N, R0290E"/>
    <s v="SEC.025, NENE"/>
    <m/>
    <m/>
    <m/>
  </r>
  <r>
    <s v="NMNM125148"/>
    <x v="2"/>
    <x v="0"/>
    <d v="2010-07-21T00:00:00"/>
    <d v="2010-10-01T00:00:00"/>
    <x v="44"/>
    <n v="40"/>
    <x v="116"/>
    <x v="7"/>
    <m/>
    <n v="0.1"/>
    <n v="0.09"/>
    <s v="201007 011"/>
    <n v="285"/>
    <n v="720"/>
    <n v="1005"/>
    <n v="60"/>
    <m/>
    <m/>
    <m/>
    <x v="1"/>
    <x v="13"/>
    <m/>
    <m/>
    <s v="MERIDIAN NMPM, T0100N, R0290E"/>
    <s v="SEC.025, NWNW"/>
    <m/>
    <m/>
    <m/>
  </r>
  <r>
    <s v="NMNM125149"/>
    <x v="2"/>
    <x v="0"/>
    <d v="2010-07-21T00:00:00"/>
    <d v="2010-10-01T00:00:00"/>
    <x v="44"/>
    <n v="40"/>
    <x v="116"/>
    <x v="7"/>
    <m/>
    <n v="0.1"/>
    <n v="0.09"/>
    <s v="201007 012"/>
    <n v="285"/>
    <n v="720"/>
    <n v="1005"/>
    <n v="60"/>
    <m/>
    <m/>
    <m/>
    <x v="1"/>
    <x v="13"/>
    <m/>
    <m/>
    <s v="MERIDIAN NMPM, T0100N, R0290E"/>
    <s v="SEC.025, SWSE"/>
    <m/>
    <m/>
    <m/>
  </r>
  <r>
    <s v="NMNM125150"/>
    <x v="2"/>
    <x v="0"/>
    <d v="2010-07-21T00:00:00"/>
    <d v="2010-10-01T00:00:00"/>
    <x v="44"/>
    <n v="440"/>
    <x v="116"/>
    <x v="7"/>
    <m/>
    <n v="0.1"/>
    <n v="0.09"/>
    <s v="201007 013"/>
    <n v="1685"/>
    <n v="4400"/>
    <n v="6085"/>
    <n v="660"/>
    <m/>
    <m/>
    <m/>
    <x v="1"/>
    <x v="13"/>
    <m/>
    <m/>
    <s v="MERIDIAN NMPM, T0100N, R0290E"/>
    <s v="SEC.035, N2,NWSW,S2SW"/>
    <m/>
    <m/>
    <m/>
  </r>
  <r>
    <s v="NMNM125151"/>
    <x v="2"/>
    <x v="0"/>
    <d v="2010-07-21T00:00:00"/>
    <d v="2010-10-01T00:00:00"/>
    <x v="44"/>
    <n v="40"/>
    <x v="116"/>
    <x v="7"/>
    <m/>
    <n v="0.1"/>
    <n v="0.09"/>
    <s v="201007 014"/>
    <n v="285"/>
    <n v="1120"/>
    <n v="1405"/>
    <n v="60"/>
    <m/>
    <m/>
    <m/>
    <x v="1"/>
    <x v="13"/>
    <m/>
    <m/>
    <s v="MERIDIAN NMPM, T0100N, R0290E"/>
    <s v="SEC.035, SESE"/>
    <m/>
    <m/>
    <m/>
  </r>
  <r>
    <s v="NMNM125164"/>
    <x v="2"/>
    <x v="0"/>
    <d v="2010-07-21T00:00:00"/>
    <d v="2010-10-01T00:00:00"/>
    <x v="44"/>
    <n v="240"/>
    <x v="116"/>
    <x v="7"/>
    <m/>
    <n v="0.1"/>
    <n v="0.09"/>
    <s v="201007 027"/>
    <n v="985"/>
    <n v="2400"/>
    <n v="3385"/>
    <n v="360"/>
    <m/>
    <m/>
    <m/>
    <x v="1"/>
    <x v="13"/>
    <m/>
    <m/>
    <s v="MERIDIAN NMPM, T0100N, R0300E"/>
    <s v="SEC.028, E2SW, SE"/>
    <m/>
    <m/>
    <m/>
  </r>
  <r>
    <s v="NMNM125165"/>
    <x v="2"/>
    <x v="0"/>
    <d v="2010-07-21T00:00:00"/>
    <d v="2010-10-01T00:00:00"/>
    <x v="44"/>
    <n v="120"/>
    <x v="116"/>
    <x v="7"/>
    <m/>
    <n v="0.1"/>
    <n v="0.09"/>
    <s v="201007 028"/>
    <n v="565"/>
    <n v="3360"/>
    <n v="3925"/>
    <n v="180"/>
    <m/>
    <m/>
    <m/>
    <x v="1"/>
    <x v="13"/>
    <m/>
    <m/>
    <s v="MERIDIAN NMPM, T0100N, R0300E"/>
    <s v="SEC.030, W2NE, SENW"/>
    <m/>
    <m/>
    <m/>
  </r>
  <r>
    <s v="NMNM125175"/>
    <x v="2"/>
    <x v="0"/>
    <d v="2010-07-21T00:00:00"/>
    <d v="2010-10-01T00:00:00"/>
    <x v="44"/>
    <n v="40"/>
    <x v="116"/>
    <x v="7"/>
    <m/>
    <n v="0.1"/>
    <n v="0.09"/>
    <s v="201007 040"/>
    <n v="285"/>
    <n v="640"/>
    <n v="925"/>
    <n v="60"/>
    <m/>
    <m/>
    <m/>
    <x v="1"/>
    <x v="13"/>
    <m/>
    <m/>
    <s v="MERIDIAN NMPM, T0090N, R0330E"/>
    <s v="SEC.003, SWNE"/>
    <m/>
    <m/>
    <m/>
  </r>
  <r>
    <s v="NMNM125176"/>
    <x v="2"/>
    <x v="0"/>
    <d v="2010-07-21T00:00:00"/>
    <d v="2010-10-01T00:00:00"/>
    <x v="44"/>
    <n v="40"/>
    <x v="116"/>
    <x v="7"/>
    <m/>
    <n v="0.1"/>
    <n v="0.09"/>
    <s v="201007 041"/>
    <n v="285"/>
    <n v="720"/>
    <n v="1005"/>
    <n v="60"/>
    <m/>
    <m/>
    <m/>
    <x v="1"/>
    <x v="13"/>
    <m/>
    <m/>
    <s v="MERIDIAN NMPM, T0090N, R0330E"/>
    <s v="SEC.003 NESE"/>
    <m/>
    <m/>
    <m/>
  </r>
  <r>
    <s v="NMNM125177"/>
    <x v="2"/>
    <x v="0"/>
    <d v="2010-07-21T00:00:00"/>
    <d v="2010-10-01T00:00:00"/>
    <x v="44"/>
    <n v="40"/>
    <x v="116"/>
    <x v="7"/>
    <m/>
    <n v="0.1"/>
    <n v="0.09"/>
    <n v="201007"/>
    <n v="285"/>
    <n v="800"/>
    <n v="1085"/>
    <n v="60"/>
    <m/>
    <m/>
    <m/>
    <x v="1"/>
    <x v="13"/>
    <m/>
    <m/>
    <s v="MERIDIAN NMPM, T0090N, R0330E"/>
    <s v="SEC.006 SENE"/>
    <m/>
    <m/>
    <m/>
  </r>
  <r>
    <s v="NMNM125178"/>
    <x v="2"/>
    <x v="0"/>
    <d v="2010-07-21T00:00:00"/>
    <d v="2010-10-01T00:00:00"/>
    <x v="44"/>
    <n v="520"/>
    <x v="116"/>
    <x v="7"/>
    <m/>
    <n v="0.1"/>
    <n v="0.09"/>
    <n v="201007"/>
    <n v="1965"/>
    <n v="10400"/>
    <n v="12365"/>
    <n v="780"/>
    <m/>
    <m/>
    <m/>
    <x v="1"/>
    <x v="13"/>
    <m/>
    <m/>
    <s v="MERIDIAN NMPM, T0090N, R0330E"/>
    <s v="SEC. 011 NE, S2NW, E2SE, NWSE, SEC 012, SWNW, W2SW"/>
    <s v="SEC.013, NWNW"/>
    <m/>
    <m/>
  </r>
  <r>
    <s v="NMNM125179"/>
    <x v="2"/>
    <x v="0"/>
    <d v="2010-07-21T00:00:00"/>
    <d v="2010-10-01T00:00:00"/>
    <x v="44"/>
    <n v="400"/>
    <x v="116"/>
    <x v="7"/>
    <m/>
    <n v="0.1"/>
    <n v="0.09"/>
    <n v="201007"/>
    <n v="1545"/>
    <n v="2400"/>
    <n v="3945"/>
    <n v="600"/>
    <m/>
    <m/>
    <m/>
    <x v="1"/>
    <x v="13"/>
    <m/>
    <m/>
    <s v="MERIDIAN NMPM, T0090N, R0330E"/>
    <s v="SEC.013 S2NE, SESW, SE, SEC.024 E2NW, NESW"/>
    <m/>
    <m/>
    <m/>
  </r>
  <r>
    <s v="NMNM125180"/>
    <x v="2"/>
    <x v="0"/>
    <d v="2010-07-21T00:00:00"/>
    <d v="2010-10-01T00:00:00"/>
    <x v="44"/>
    <n v="40"/>
    <x v="116"/>
    <x v="7"/>
    <m/>
    <n v="0.1"/>
    <n v="0.09"/>
    <n v="201007"/>
    <n v="285"/>
    <n v="0"/>
    <n v="285"/>
    <n v="60"/>
    <m/>
    <m/>
    <m/>
    <x v="1"/>
    <x v="13"/>
    <m/>
    <m/>
    <s v="MERIDIAN NMPM, T0090N, R0330E"/>
    <s v="SEC.014 NESE"/>
    <m/>
    <m/>
    <m/>
  </r>
  <r>
    <s v="NMNM125181"/>
    <x v="2"/>
    <x v="0"/>
    <d v="2010-07-21T00:00:00"/>
    <d v="2010-10-01T00:00:00"/>
    <x v="44"/>
    <n v="600"/>
    <x v="116"/>
    <x v="7"/>
    <m/>
    <n v="0.1"/>
    <n v="0.09"/>
    <n v="201007"/>
    <n v="2245"/>
    <n v="14400"/>
    <n v="16645"/>
    <n v="900"/>
    <m/>
    <m/>
    <m/>
    <x v="1"/>
    <x v="13"/>
    <m/>
    <m/>
    <s v="MERIDIAN NMPM, T0090N, R0330E"/>
    <s v="SEC.021 E2NE, SEC.022 NW, N2SW, SE"/>
    <s v="SEC.023, SWNW, W2SW. NOTE: A WIND TURBINE IS LOCATED WITHIN THE PARCEL BOUNDARIES"/>
    <m/>
    <m/>
  </r>
  <r>
    <s v="NMNM125182"/>
    <x v="2"/>
    <x v="0"/>
    <d v="2010-07-21T00:00:00"/>
    <d v="2010-10-01T00:00:00"/>
    <x v="44"/>
    <n v="40"/>
    <x v="116"/>
    <x v="7"/>
    <m/>
    <n v="0.1"/>
    <n v="0.09"/>
    <n v="201007"/>
    <n v="285"/>
    <n v="640"/>
    <n v="925"/>
    <n v="60"/>
    <m/>
    <m/>
    <m/>
    <x v="1"/>
    <x v="13"/>
    <m/>
    <m/>
    <s v="MERIDIAN NMPM, T0090N, R0330E"/>
    <s v="SEC.021, NWNW"/>
    <m/>
    <m/>
    <m/>
  </r>
  <r>
    <s v="NMNM125183"/>
    <x v="2"/>
    <x v="0"/>
    <d v="2010-07-21T00:00:00"/>
    <d v="2010-10-01T00:00:00"/>
    <x v="44"/>
    <n v="120"/>
    <x v="116"/>
    <x v="7"/>
    <m/>
    <n v="0.1"/>
    <n v="0.09"/>
    <n v="201007"/>
    <n v="565"/>
    <n v="1200"/>
    <n v="1765"/>
    <n v="180"/>
    <m/>
    <m/>
    <m/>
    <x v="1"/>
    <x v="13"/>
    <m/>
    <m/>
    <s v="MERIDIAN NMPM, T0090N, R0330E"/>
    <s v="SEC.023 W2NE, NWSE"/>
    <m/>
    <m/>
    <m/>
  </r>
  <r>
    <s v="NMNM125184"/>
    <x v="2"/>
    <x v="0"/>
    <d v="2010-07-21T00:00:00"/>
    <d v="2010-10-01T00:00:00"/>
    <x v="44"/>
    <n v="280"/>
    <x v="116"/>
    <x v="7"/>
    <m/>
    <n v="0.1"/>
    <n v="0.09"/>
    <n v="201007"/>
    <n v="1125"/>
    <n v="5600"/>
    <n v="6725"/>
    <n v="420"/>
    <m/>
    <m/>
    <m/>
    <x v="1"/>
    <x v="13"/>
    <m/>
    <m/>
    <s v="MERIDIAN NMPM, T0090N, R0330E"/>
    <s v="SEC.026 NWNE, NENW, W2W2, SEC.035 NWNW"/>
    <s v="NOTE: A WIND TURBINE IS LOCATED WITHIN THE PARCEL BOUNDARIES"/>
    <m/>
    <m/>
  </r>
  <r>
    <s v="NMNM125185"/>
    <x v="2"/>
    <x v="0"/>
    <d v="2010-07-21T00:00:00"/>
    <d v="2010-10-01T00:00:00"/>
    <x v="44"/>
    <n v="40.29"/>
    <x v="116"/>
    <x v="7"/>
    <m/>
    <n v="0.1"/>
    <n v="0.09"/>
    <n v="201007"/>
    <n v="288.5"/>
    <n v="574"/>
    <n v="862.5"/>
    <n v="61.5"/>
    <m/>
    <m/>
    <m/>
    <x v="1"/>
    <x v="13"/>
    <m/>
    <m/>
    <s v="MERIDIAN NMPM, T0090N, R0330E"/>
    <s v="SEC.030, LOTS 3"/>
    <m/>
    <m/>
    <m/>
  </r>
  <r>
    <s v="NMNM125186"/>
    <x v="2"/>
    <x v="0"/>
    <d v="2010-07-21T00:00:00"/>
    <d v="2010-10-01T00:00:00"/>
    <x v="44"/>
    <n v="40"/>
    <x v="116"/>
    <x v="7"/>
    <m/>
    <n v="0.1"/>
    <n v="0.09"/>
    <n v="201007"/>
    <n v="285"/>
    <n v="960"/>
    <n v="1245"/>
    <n v="60"/>
    <m/>
    <m/>
    <m/>
    <x v="1"/>
    <x v="13"/>
    <m/>
    <m/>
    <s v="MERIDIAN NMPM, T0090N, R0330E"/>
    <s v="SEC.031, NENE"/>
    <m/>
    <m/>
    <m/>
  </r>
  <r>
    <s v="NMNM125187"/>
    <x v="2"/>
    <x v="0"/>
    <d v="2010-07-21T00:00:00"/>
    <d v="2010-10-01T00:00:00"/>
    <x v="44"/>
    <n v="40"/>
    <x v="116"/>
    <x v="7"/>
    <m/>
    <n v="0.1"/>
    <n v="0.09"/>
    <n v="201007"/>
    <n v="285"/>
    <n v="640"/>
    <n v="925"/>
    <n v="60"/>
    <m/>
    <m/>
    <m/>
    <x v="1"/>
    <x v="13"/>
    <m/>
    <m/>
    <s v="MERIDIAN NMPM, T0100N, R0330E"/>
    <s v="SEC.001, SESW "/>
    <m/>
    <m/>
    <m/>
  </r>
  <r>
    <s v="NMNM125188"/>
    <x v="2"/>
    <x v="0"/>
    <d v="2010-07-21T00:00:00"/>
    <d v="2010-10-01T00:00:00"/>
    <x v="44"/>
    <n v="40"/>
    <x v="116"/>
    <x v="7"/>
    <m/>
    <n v="0.1"/>
    <n v="0.09"/>
    <n v="201007"/>
    <n v="285"/>
    <n v="600"/>
    <n v="885"/>
    <n v="60"/>
    <m/>
    <m/>
    <m/>
    <x v="1"/>
    <x v="13"/>
    <m/>
    <m/>
    <s v="MERIDIAN NMPM, T0100N, R0330E"/>
    <s v="SEC.002 SWSE"/>
    <m/>
    <m/>
    <m/>
  </r>
  <r>
    <s v="NMNM125189"/>
    <x v="2"/>
    <x v="0"/>
    <d v="2010-07-21T00:00:00"/>
    <d v="2010-10-01T00:00:00"/>
    <x v="44"/>
    <n v="40"/>
    <x v="116"/>
    <x v="7"/>
    <m/>
    <n v="0.1"/>
    <n v="0.09"/>
    <n v="201007"/>
    <n v="285"/>
    <n v="680"/>
    <n v="965"/>
    <n v="60"/>
    <m/>
    <m/>
    <m/>
    <x v="1"/>
    <x v="13"/>
    <m/>
    <m/>
    <s v="MERIDIAN NMPM, T0100N, R0330E"/>
    <s v="SEC.002 SWSW"/>
    <m/>
    <m/>
    <m/>
  </r>
  <r>
    <s v="NMNM125190"/>
    <x v="2"/>
    <x v="0"/>
    <d v="2010-07-21T00:00:00"/>
    <d v="2010-10-01T00:00:00"/>
    <x v="44"/>
    <n v="40"/>
    <x v="116"/>
    <x v="7"/>
    <m/>
    <n v="0.1"/>
    <n v="0.09"/>
    <n v="201007"/>
    <n v="285"/>
    <n v="720"/>
    <n v="1005"/>
    <n v="60"/>
    <m/>
    <m/>
    <m/>
    <x v="1"/>
    <x v="13"/>
    <m/>
    <m/>
    <s v="MERIDIAN NMPM, T0100N, R0330E"/>
    <s v="SEC.002 NESE"/>
    <m/>
    <m/>
    <m/>
  </r>
  <r>
    <s v="NMNM125191"/>
    <x v="2"/>
    <x v="0"/>
    <d v="2010-07-21T00:00:00"/>
    <d v="2010-10-01T00:00:00"/>
    <x v="44"/>
    <n v="40"/>
    <x v="116"/>
    <x v="7"/>
    <m/>
    <n v="0.1"/>
    <n v="0.09"/>
    <n v="201007"/>
    <n v="285"/>
    <n v="800"/>
    <n v="1085"/>
    <n v="60"/>
    <m/>
    <m/>
    <m/>
    <x v="1"/>
    <x v="13"/>
    <m/>
    <m/>
    <s v="MERIDIAN NMPM, T0100N, R0330E"/>
    <s v="SEC.003, SWNW"/>
    <m/>
    <m/>
    <m/>
  </r>
  <r>
    <s v="NMNM125192"/>
    <x v="2"/>
    <x v="0"/>
    <d v="2010-07-21T00:00:00"/>
    <d v="2010-10-01T00:00:00"/>
    <x v="44"/>
    <n v="760"/>
    <x v="116"/>
    <x v="7"/>
    <m/>
    <n v="0.1"/>
    <n v="0.09"/>
    <n v="201007"/>
    <n v="2805"/>
    <n v="9120"/>
    <n v="11925"/>
    <n v="1140"/>
    <m/>
    <m/>
    <m/>
    <x v="1"/>
    <x v="13"/>
    <m/>
    <m/>
    <s v="MERIDIAN NMPM, T0100N, R0330E"/>
    <s v="SEC.003, SWSW, SEC.004, NWSW, S2S2"/>
    <s v="SEC.009 E2, E2W2, NWNW"/>
    <m/>
    <m/>
  </r>
  <r>
    <s v="NMNM125193"/>
    <x v="2"/>
    <x v="0"/>
    <d v="2010-07-21T00:00:00"/>
    <d v="2010-10-01T00:00:00"/>
    <x v="44"/>
    <n v="600"/>
    <x v="116"/>
    <x v="7"/>
    <m/>
    <n v="0.1"/>
    <n v="0.09"/>
    <n v="201007"/>
    <n v="2245"/>
    <n v="3600"/>
    <n v="5845"/>
    <n v="900"/>
    <m/>
    <m/>
    <m/>
    <x v="1"/>
    <x v="13"/>
    <m/>
    <m/>
    <s v="MERIDIAN NMPM, T0100N, R0330E"/>
    <s v="SEC.005 S2, SEC.008 NW, E2SW, NWSE"/>
    <m/>
    <m/>
    <m/>
  </r>
  <r>
    <s v="NMNM125194"/>
    <x v="2"/>
    <x v="0"/>
    <d v="2010-07-21T00:00:00"/>
    <d v="2010-10-01T00:00:00"/>
    <x v="44"/>
    <n v="678.4"/>
    <x v="116"/>
    <x v="7"/>
    <m/>
    <n v="0.1"/>
    <n v="0.09"/>
    <n v="201007"/>
    <n v="2521.5"/>
    <n v="4074"/>
    <n v="6595.5"/>
    <n v="1018.5"/>
    <m/>
    <m/>
    <m/>
    <x v="1"/>
    <x v="13"/>
    <m/>
    <m/>
    <s v="MERIDIAN NMPM, T0100N, R0330E"/>
    <s v="SEC.006 LOTS 2-7, SEC.006 SWNE, SENW, E2SW, W2SE"/>
    <s v="SEC.007, LOTS 1-2, SEC.007 NWNE, E2NW"/>
    <m/>
    <m/>
  </r>
  <r>
    <s v="NMNM125195"/>
    <x v="2"/>
    <x v="0"/>
    <d v="2010-07-21T00:00:00"/>
    <d v="2010-10-01T00:00:00"/>
    <x v="44"/>
    <n v="280"/>
    <x v="116"/>
    <x v="7"/>
    <m/>
    <n v="0.1"/>
    <n v="0.09"/>
    <n v="201007"/>
    <n v="1125"/>
    <n v="3360"/>
    <n v="4485"/>
    <n v="420"/>
    <m/>
    <m/>
    <m/>
    <x v="1"/>
    <x v="13"/>
    <m/>
    <m/>
    <s v="MERIDIAN NMPM, T0100N, R0330E"/>
    <s v="SEC.010, NENW, W2NW, N2S2"/>
    <m/>
    <m/>
    <m/>
  </r>
  <r>
    <s v="NMNM125196"/>
    <x v="2"/>
    <x v="0"/>
    <d v="2010-07-21T00:00:00"/>
    <d v="2010-10-01T00:00:00"/>
    <x v="44"/>
    <n v="40"/>
    <x v="116"/>
    <x v="7"/>
    <m/>
    <n v="0.1"/>
    <n v="0.09"/>
    <n v="201007"/>
    <n v="285"/>
    <n v="720"/>
    <n v="1005"/>
    <n v="60"/>
    <m/>
    <m/>
    <m/>
    <x v="1"/>
    <x v="13"/>
    <m/>
    <m/>
    <s v="MERIDIAN NMPM, T0100N, R0330E"/>
    <s v="SEC.014, NWNE"/>
    <m/>
    <m/>
    <m/>
  </r>
  <r>
    <s v="NMNM125197"/>
    <x v="2"/>
    <x v="0"/>
    <d v="2010-07-21T00:00:00"/>
    <d v="2010-10-01T00:00:00"/>
    <x v="44"/>
    <n v="720"/>
    <x v="116"/>
    <x v="7"/>
    <m/>
    <n v="0.1"/>
    <n v="0.09"/>
    <n v="201007"/>
    <n v="2665"/>
    <n v="10080"/>
    <n v="12745"/>
    <n v="1080"/>
    <m/>
    <m/>
    <m/>
    <x v="1"/>
    <x v="13"/>
    <m/>
    <m/>
    <s v="MERIDIAN NMPM, T0100N, R0330E"/>
    <s v="SEC.015 NWNE, S2NE, W2, NWSE"/>
    <s v="SEC.021, E2NE, N2SE, SEC.022, W2NW"/>
    <m/>
    <m/>
  </r>
  <r>
    <s v="NMNM125198"/>
    <x v="2"/>
    <x v="0"/>
    <d v="2010-07-21T00:00:00"/>
    <d v="2010-10-01T00:00:00"/>
    <x v="44"/>
    <n v="517.16"/>
    <x v="116"/>
    <x v="7"/>
    <m/>
    <n v="0.1"/>
    <n v="0.09"/>
    <n v="201007"/>
    <n v="1958"/>
    <n v="4144"/>
    <n v="6102"/>
    <n v="777"/>
    <m/>
    <m/>
    <m/>
    <x v="1"/>
    <x v="13"/>
    <m/>
    <m/>
    <s v="MERIDIAN NMPM, T0100N, R0330E"/>
    <s v="SEC.017 SWNW, SEC.018 LOTS 1-4"/>
    <s v="SEC.018 NWNE, S2NE, E2W2, NWSE"/>
    <m/>
    <m/>
  </r>
  <r>
    <s v="NMNM125199"/>
    <x v="2"/>
    <x v="0"/>
    <d v="2010-07-21T00:00:00"/>
    <d v="2010-10-01T00:00:00"/>
    <x v="44"/>
    <n v="679.92"/>
    <x v="116"/>
    <x v="7"/>
    <m/>
    <n v="0.1"/>
    <n v="0.09"/>
    <n v="201007"/>
    <n v="2525"/>
    <n v="4080"/>
    <n v="6605"/>
    <n v="1020"/>
    <m/>
    <m/>
    <m/>
    <x v="1"/>
    <x v="13"/>
    <m/>
    <m/>
    <s v="MERIDIAN NMPM, T0100N, R0330E"/>
    <s v="SEC.019 LOTS 1-4, SEC.019 S2NE, E2W2, SE"/>
    <s v="SEC.020 SWNW, W2SW"/>
    <m/>
    <m/>
  </r>
  <r>
    <s v="NMNM125200"/>
    <x v="2"/>
    <x v="0"/>
    <d v="2010-07-21T00:00:00"/>
    <d v="2010-10-01T00:00:00"/>
    <x v="44"/>
    <n v="40"/>
    <x v="116"/>
    <x v="7"/>
    <m/>
    <n v="0.1"/>
    <n v="0.09"/>
    <n v="201007"/>
    <n v="285"/>
    <n v="880"/>
    <n v="1165"/>
    <n v="60"/>
    <m/>
    <m/>
    <m/>
    <x v="1"/>
    <x v="13"/>
    <m/>
    <m/>
    <s v="MERIDIAN NMPM, T0100N, R0330E"/>
    <s v="SEC.020 SWSE"/>
    <m/>
    <m/>
    <m/>
  </r>
  <r>
    <s v="NMNM125201"/>
    <x v="2"/>
    <x v="0"/>
    <d v="2010-07-21T00:00:00"/>
    <d v="2010-10-01T00:00:00"/>
    <x v="44"/>
    <n v="40"/>
    <x v="116"/>
    <x v="7"/>
    <m/>
    <n v="0.1"/>
    <n v="0.09"/>
    <n v="201007"/>
    <n v="285"/>
    <n v="880"/>
    <n v="1165"/>
    <n v="60"/>
    <m/>
    <m/>
    <m/>
    <x v="1"/>
    <x v="13"/>
    <m/>
    <m/>
    <s v="MERIDIAN NMPM, T0100N, R0330E"/>
    <s v="SEC.021 SWSW"/>
    <m/>
    <m/>
    <m/>
  </r>
  <r>
    <s v="NMNM125202"/>
    <x v="2"/>
    <x v="0"/>
    <d v="2010-07-21T00:00:00"/>
    <d v="2010-10-01T00:00:00"/>
    <x v="44"/>
    <n v="1360.1"/>
    <x v="116"/>
    <x v="7"/>
    <m/>
    <n v="0.1"/>
    <n v="0.09"/>
    <n v="201007"/>
    <n v="4908.5"/>
    <n v="8166"/>
    <n v="13074.5"/>
    <n v="2041.5"/>
    <m/>
    <m/>
    <m/>
    <x v="1"/>
    <x v="13"/>
    <m/>
    <m/>
    <s v="MERIDIAN NMPM, T0100N, R0330E"/>
    <s v="SEC.028,NW, SEC.029, S2NE, SENW, W2W2,E2SW,W2SE"/>
    <s v="SEC.030 LOTS 3, E2,E2W2, SEC.031 E2NE, N2SE, SEC.032, W2NE"/>
    <m/>
    <m/>
  </r>
  <r>
    <s v="NMNM125203"/>
    <x v="2"/>
    <x v="0"/>
    <d v="2010-07-21T00:00:00"/>
    <d v="2010-10-01T00:00:00"/>
    <x v="44"/>
    <n v="40"/>
    <x v="116"/>
    <x v="7"/>
    <m/>
    <n v="0.1"/>
    <n v="0.09"/>
    <n v="201007"/>
    <n v="285"/>
    <n v="760"/>
    <n v="1045"/>
    <n v="60"/>
    <m/>
    <m/>
    <m/>
    <x v="1"/>
    <x v="13"/>
    <m/>
    <m/>
    <s v="MERIDIAN NMPM, T0100N, R0330E"/>
    <s v="SEC.034,NENE"/>
    <m/>
    <m/>
    <m/>
  </r>
  <r>
    <s v="NMNM125204"/>
    <x v="2"/>
    <x v="0"/>
    <d v="2010-07-21T00:00:00"/>
    <d v="2010-10-01T00:00:00"/>
    <x v="44"/>
    <n v="40"/>
    <x v="116"/>
    <x v="7"/>
    <m/>
    <n v="0.1"/>
    <n v="0.09"/>
    <n v="201007"/>
    <n v="285"/>
    <n v="800"/>
    <n v="1085"/>
    <n v="60"/>
    <m/>
    <m/>
    <m/>
    <x v="1"/>
    <x v="13"/>
    <m/>
    <m/>
    <s v="MERIDIAN NMPM, T0100N, R0330E"/>
    <s v="SEC.027, NWNE"/>
    <m/>
    <m/>
    <m/>
  </r>
  <r>
    <s v="NMNM125205"/>
    <x v="2"/>
    <x v="0"/>
    <d v="2010-07-21T00:00:00"/>
    <d v="2010-10-01T00:00:00"/>
    <x v="44"/>
    <n v="40"/>
    <x v="116"/>
    <x v="7"/>
    <m/>
    <n v="0.1"/>
    <n v="0.09"/>
    <n v="201007"/>
    <n v="285"/>
    <n v="840"/>
    <n v="1125"/>
    <n v="60"/>
    <m/>
    <m/>
    <m/>
    <x v="1"/>
    <x v="13"/>
    <m/>
    <m/>
    <s v="MERIDIAN NMPM, T0110N, R0330E"/>
    <s v="SEC.027, SENE"/>
    <m/>
    <m/>
    <m/>
  </r>
  <r>
    <s v="NMNM125206"/>
    <x v="2"/>
    <x v="0"/>
    <d v="2010-07-21T00:00:00"/>
    <d v="2010-10-01T00:00:00"/>
    <x v="44"/>
    <n v="840"/>
    <x v="116"/>
    <x v="7"/>
    <m/>
    <n v="0.1"/>
    <n v="0.09"/>
    <n v="201007"/>
    <n v="3085"/>
    <n v="10080"/>
    <n v="13165"/>
    <n v="1260"/>
    <m/>
    <m/>
    <m/>
    <x v="1"/>
    <x v="13"/>
    <m/>
    <m/>
    <s v="MERIDIAN NMPM, T0110N, R0330E"/>
    <s v="SEC.029, NENW, S2N2, NWSW, S2SW, SEC.032, NE, E2NW, NESE"/>
    <s v="SEC.033, SW, W2SE"/>
    <m/>
    <m/>
  </r>
  <r>
    <s v="NMNM125207"/>
    <x v="2"/>
    <x v="0"/>
    <d v="2010-07-21T00:00:00"/>
    <d v="2010-10-01T00:00:00"/>
    <x v="44"/>
    <n v="593"/>
    <x v="116"/>
    <x v="7"/>
    <m/>
    <n v="0.1"/>
    <n v="0.09"/>
    <n v="201007"/>
    <n v="2220.5"/>
    <n v="3558"/>
    <n v="5778.5"/>
    <n v="899.5"/>
    <m/>
    <m/>
    <m/>
    <x v="1"/>
    <x v="13"/>
    <m/>
    <m/>
    <s v="MERIDIAN NMPM, T0110N, R0330E"/>
    <s v="SEC.030, LOTS 2,4, SEC.030 SENW, E2SW, SEC.031 LOTS 1-4"/>
    <s v="SEC.031, E2W2, W2SE"/>
    <m/>
    <m/>
  </r>
  <r>
    <s v="NMNM125208"/>
    <x v="2"/>
    <x v="0"/>
    <d v="2010-07-21T00:00:00"/>
    <d v="2010-10-01T00:00:00"/>
    <x v="44"/>
    <n v="77.08"/>
    <x v="116"/>
    <x v="7"/>
    <m/>
    <n v="0.1"/>
    <n v="0.09"/>
    <n v="201007"/>
    <n v="418"/>
    <n v="1794"/>
    <n v="2212"/>
    <n v="117"/>
    <m/>
    <m/>
    <m/>
    <x v="1"/>
    <x v="13"/>
    <m/>
    <m/>
    <s v="MERIDIAN NMPM, T0090N, R0340E"/>
    <s v="SEC.006, LOTS 3, 4"/>
    <m/>
    <m/>
    <m/>
  </r>
  <r>
    <s v="NMNM125209"/>
    <x v="2"/>
    <x v="0"/>
    <d v="2010-07-21T00:00:00"/>
    <d v="2010-10-01T00:00:00"/>
    <x v="44"/>
    <n v="240"/>
    <x v="116"/>
    <x v="7"/>
    <m/>
    <n v="0.1"/>
    <n v="0.09"/>
    <n v="201007"/>
    <n v="985"/>
    <n v="6000"/>
    <n v="6985"/>
    <n v="360"/>
    <m/>
    <m/>
    <m/>
    <x v="1"/>
    <x v="13"/>
    <m/>
    <m/>
    <s v="MERIDIAN NMPM, T0090N, R0340E"/>
    <s v="SEC.009, NE, E2SE"/>
    <m/>
    <m/>
    <m/>
  </r>
  <r>
    <s v="NMNM125210"/>
    <x v="2"/>
    <x v="0"/>
    <d v="2010-07-21T00:00:00"/>
    <d v="2010-10-01T00:00:00"/>
    <x v="44"/>
    <n v="115.69"/>
    <x v="116"/>
    <x v="7"/>
    <m/>
    <n v="0.1"/>
    <n v="0.09"/>
    <n v="201007"/>
    <n v="551"/>
    <n v="1160"/>
    <n v="1711"/>
    <n v="174"/>
    <m/>
    <m/>
    <m/>
    <x v="1"/>
    <x v="13"/>
    <m/>
    <m/>
    <s v="MERIDIAN NMPM, T0090N, R0340E"/>
    <s v="SEC.018, LOTS 1, 2, SEC.018, NENW"/>
    <m/>
    <m/>
    <m/>
  </r>
  <r>
    <s v="NMNM125211"/>
    <x v="2"/>
    <x v="0"/>
    <d v="2010-07-21T00:00:00"/>
    <d v="2010-10-01T00:00:00"/>
    <x v="44"/>
    <n v="40"/>
    <x v="116"/>
    <x v="7"/>
    <m/>
    <n v="0.1"/>
    <n v="0.09"/>
    <n v="201007"/>
    <n v="285"/>
    <n v="800"/>
    <n v="1085"/>
    <n v="60"/>
    <m/>
    <m/>
    <m/>
    <x v="1"/>
    <x v="13"/>
    <m/>
    <m/>
    <s v="MERIDIAN NMPM, T0090N, R0340E"/>
    <s v="SEC.020, NWNE"/>
    <m/>
    <m/>
    <m/>
  </r>
  <r>
    <s v="NMNM125212"/>
    <x v="2"/>
    <x v="0"/>
    <d v="2010-07-21T00:00:00"/>
    <d v="2010-10-01T00:00:00"/>
    <x v="44"/>
    <n v="120"/>
    <x v="116"/>
    <x v="7"/>
    <m/>
    <n v="0.1"/>
    <n v="0.09"/>
    <n v="201007"/>
    <n v="565"/>
    <n v="1080"/>
    <n v="1645"/>
    <n v="180"/>
    <m/>
    <m/>
    <m/>
    <x v="1"/>
    <x v="13"/>
    <m/>
    <m/>
    <s v="MERIDIAN NMPM, T0090N, R0340E"/>
    <s v="SEC.020 W2NW, SENW"/>
    <m/>
    <m/>
    <m/>
  </r>
  <r>
    <s v="NMNM125213"/>
    <x v="2"/>
    <x v="0"/>
    <d v="2010-07-21T00:00:00"/>
    <d v="2010-10-01T00:00:00"/>
    <x v="44"/>
    <n v="280"/>
    <x v="116"/>
    <x v="7"/>
    <m/>
    <n v="0.1"/>
    <n v="0.09"/>
    <n v="201007"/>
    <n v="1125"/>
    <n v="2240"/>
    <n v="3365"/>
    <n v="420"/>
    <m/>
    <m/>
    <m/>
    <x v="1"/>
    <x v="13"/>
    <m/>
    <m/>
    <s v="MERIDIAN NMPM, T0090N, R0340E"/>
    <s v="SEC.020 SENE, E2SE, SWSE"/>
    <s v="SEC.021 SWNW, W2SW"/>
    <m/>
    <m/>
  </r>
  <r>
    <s v="NMNM125214"/>
    <x v="2"/>
    <x v="0"/>
    <d v="2010-07-21T00:00:00"/>
    <d v="2010-12-01T00:00:00"/>
    <x v="45"/>
    <n v="80"/>
    <x v="63"/>
    <x v="7"/>
    <m/>
    <n v="0.1"/>
    <n v="0.09"/>
    <n v="201007"/>
    <n v="425"/>
    <n v="3840"/>
    <n v="4265"/>
    <n v="160"/>
    <m/>
    <m/>
    <m/>
    <x v="1"/>
    <x v="13"/>
    <m/>
    <m/>
    <s v="MERIDIAN NMPM, T0130S, R0340E"/>
    <s v="SEC.014,S2SW"/>
    <m/>
    <m/>
    <s v="Instrument#50535 Book 1806 Page- 384"/>
  </r>
  <r>
    <s v="NMNM125215"/>
    <x v="2"/>
    <x v="0"/>
    <d v="2010-07-21T00:00:00"/>
    <d v="2010-10-01T00:00:00"/>
    <x v="44"/>
    <n v="80"/>
    <x v="63"/>
    <x v="7"/>
    <m/>
    <n v="0.1"/>
    <n v="0.09"/>
    <n v="201007"/>
    <n v="425"/>
    <n v="3840"/>
    <n v="4265"/>
    <n v="120"/>
    <m/>
    <m/>
    <m/>
    <x v="1"/>
    <x v="13"/>
    <m/>
    <m/>
    <s v="MERIDIAN NMPM, T0130S, R0340E"/>
    <s v="SEC.014, E2SE"/>
    <m/>
    <m/>
    <s v="Instrument#50536 Book 1806 Page- 392"/>
  </r>
  <r>
    <s v="NMNM125216"/>
    <x v="2"/>
    <x v="0"/>
    <d v="2010-07-21T00:00:00"/>
    <d v="2010-10-01T00:00:00"/>
    <x v="44"/>
    <n v="80"/>
    <x v="63"/>
    <x v="7"/>
    <m/>
    <n v="0.1"/>
    <n v="0.09"/>
    <n v="201007"/>
    <n v="425"/>
    <n v="3840"/>
    <n v="4265"/>
    <n v="120"/>
    <m/>
    <m/>
    <m/>
    <x v="1"/>
    <x v="13"/>
    <m/>
    <m/>
    <s v="MERIDIAN NMPM, T0130S, R0340E"/>
    <s v="SEC.014, N2NE"/>
    <m/>
    <m/>
    <s v="Instrument#50537 Book 1806 Page- 399"/>
  </r>
  <r>
    <s v="NMNM125217"/>
    <x v="2"/>
    <x v="0"/>
    <d v="2010-07-21T00:00:00"/>
    <d v="2010-10-01T00:00:00"/>
    <x v="44"/>
    <n v="120"/>
    <x v="63"/>
    <x v="7"/>
    <m/>
    <n v="0.1"/>
    <n v="0.09"/>
    <n v="201007"/>
    <n v="565"/>
    <n v="5760"/>
    <n v="6325"/>
    <n v="180"/>
    <m/>
    <m/>
    <m/>
    <x v="1"/>
    <x v="13"/>
    <m/>
    <m/>
    <s v="MERIDIAN NMPM, T0130S, R0340E"/>
    <s v="SEC.014, W2NW, SEC.015 NENE"/>
    <m/>
    <m/>
    <s v="Instrument#50519 Book 1806 Page- 261"/>
  </r>
  <r>
    <s v="NMNM125221"/>
    <x v="2"/>
    <x v="0"/>
    <d v="2010-07-21T00:00:00"/>
    <d v="2010-10-01T00:00:00"/>
    <x v="44"/>
    <n v="40"/>
    <x v="116"/>
    <x v="7"/>
    <m/>
    <n v="0.1"/>
    <n v="0.09"/>
    <n v="201007"/>
    <n v="285"/>
    <n v="760"/>
    <n v="1045"/>
    <n v="60"/>
    <m/>
    <m/>
    <m/>
    <x v="1"/>
    <x v="13"/>
    <m/>
    <m/>
    <s v="MERIDIAN NMPM, T0100N, R0350E"/>
    <s v="SEC.012 NWSW"/>
    <m/>
    <m/>
    <m/>
  </r>
  <r>
    <s v="NMNM125234"/>
    <x v="2"/>
    <x v="0"/>
    <d v="2010-07-21T00:00:00"/>
    <d v="2010-10-01T00:00:00"/>
    <x v="44"/>
    <n v="240"/>
    <x v="116"/>
    <x v="7"/>
    <m/>
    <n v="0.1"/>
    <n v="0.09"/>
    <n v="201007"/>
    <n v="985"/>
    <n v="9600"/>
    <n v="10585"/>
    <n v="360"/>
    <m/>
    <m/>
    <m/>
    <x v="1"/>
    <x v="13"/>
    <m/>
    <m/>
    <s v="MERIDIAN NMPM, T0090N, R0360E"/>
    <s v="SEC.013 SESE, SEC.024 NENE, S2NE, N2SE"/>
    <m/>
    <m/>
    <m/>
  </r>
  <r>
    <s v="NMNM125240"/>
    <x v="2"/>
    <x v="0"/>
    <d v="2010-07-21T00:00:00"/>
    <d v="2010-10-01T00:00:00"/>
    <x v="44"/>
    <n v="80"/>
    <x v="116"/>
    <x v="7"/>
    <m/>
    <n v="0.1"/>
    <n v="0.09"/>
    <n v="201007"/>
    <n v="425"/>
    <n v="1040"/>
    <n v="1465"/>
    <n v="120"/>
    <m/>
    <m/>
    <m/>
    <x v="1"/>
    <x v="13"/>
    <m/>
    <m/>
    <s v="MERIDIAN NMPM, T0100N, R0360E"/>
    <s v="SEC.007, SWSE, SEC.018, NWNE"/>
    <m/>
    <m/>
    <m/>
  </r>
  <r>
    <s v="NMNM125241"/>
    <x v="2"/>
    <x v="0"/>
    <d v="2010-07-21T00:00:00"/>
    <d v="2010-10-01T00:00:00"/>
    <x v="44"/>
    <n v="160"/>
    <x v="116"/>
    <x v="7"/>
    <m/>
    <n v="0.1"/>
    <n v="0.09"/>
    <n v="201007"/>
    <n v="705"/>
    <n v="2080"/>
    <n v="2785"/>
    <n v="240"/>
    <m/>
    <m/>
    <m/>
    <x v="1"/>
    <x v="13"/>
    <m/>
    <m/>
    <s v="MERIDIAN NMPM, T0100N, R0360E"/>
    <s v="SEC.008 SW"/>
    <m/>
    <m/>
    <m/>
  </r>
  <r>
    <s v="NMNM125242"/>
    <x v="2"/>
    <x v="0"/>
    <d v="2010-07-21T00:00:00"/>
    <d v="2010-10-01T00:00:00"/>
    <x v="44"/>
    <n v="160"/>
    <x v="116"/>
    <x v="7"/>
    <m/>
    <n v="0.1"/>
    <n v="0.09"/>
    <n v="201007"/>
    <n v="705"/>
    <n v="1600"/>
    <n v="2305"/>
    <n v="240"/>
    <m/>
    <m/>
    <m/>
    <x v="1"/>
    <x v="13"/>
    <m/>
    <m/>
    <s v="MERIDIAN NMPM, T0100N, R0360E"/>
    <s v="SEC.009, W2NE, E2NW"/>
    <m/>
    <m/>
    <m/>
  </r>
  <r>
    <s v="NMNM125244"/>
    <x v="2"/>
    <x v="0"/>
    <d v="2010-07-21T00:00:00"/>
    <d v="2010-10-01T00:00:00"/>
    <x v="44"/>
    <n v="80"/>
    <x v="116"/>
    <x v="7"/>
    <m/>
    <n v="0.1"/>
    <n v="0.09"/>
    <n v="201007"/>
    <n v="425"/>
    <n v="2080"/>
    <n v="2505"/>
    <n v="120"/>
    <m/>
    <m/>
    <m/>
    <x v="1"/>
    <x v="13"/>
    <m/>
    <m/>
    <s v="MERIDIAN NMPM, T0100N, R0360E"/>
    <s v="SEC.015, N2NE"/>
    <m/>
    <m/>
    <m/>
  </r>
  <r>
    <s v="NMNM125245"/>
    <x v="2"/>
    <x v="0"/>
    <d v="2010-07-21T00:00:00"/>
    <d v="2010-10-01T00:00:00"/>
    <x v="44"/>
    <n v="156.22999999999999"/>
    <x v="116"/>
    <x v="7"/>
    <m/>
    <n v="0.1"/>
    <n v="0.09"/>
    <n v="201007"/>
    <n v="694.5"/>
    <n v="3454"/>
    <n v="4148.5"/>
    <n v="235.5"/>
    <m/>
    <m/>
    <m/>
    <x v="1"/>
    <x v="13"/>
    <m/>
    <m/>
    <s v="MERIDIAN NMPM, T0100N, R0360E"/>
    <s v="SEC.019, LOTS 1-4"/>
    <m/>
    <m/>
    <m/>
  </r>
  <r>
    <s v="NMNM125246"/>
    <x v="2"/>
    <x v="0"/>
    <d v="2010-07-21T00:00:00"/>
    <d v="2010-10-01T00:00:00"/>
    <x v="44"/>
    <n v="80"/>
    <x v="116"/>
    <x v="7"/>
    <m/>
    <n v="0.1"/>
    <n v="0.09"/>
    <n v="201007"/>
    <n v="425"/>
    <n v="2080"/>
    <n v="2505"/>
    <n v="120"/>
    <m/>
    <m/>
    <m/>
    <x v="1"/>
    <x v="13"/>
    <m/>
    <m/>
    <s v="MERIDIAN NMPM, T0100N, R0360E"/>
    <s v="SEC.020 SWNE, SENW"/>
    <m/>
    <m/>
    <m/>
  </r>
  <r>
    <s v="NMNM125251"/>
    <x v="2"/>
    <x v="0"/>
    <d v="2010-07-21T00:00:00"/>
    <d v="2010-10-01T00:00:00"/>
    <x v="44"/>
    <n v="160"/>
    <x v="116"/>
    <x v="7"/>
    <m/>
    <n v="0.1"/>
    <n v="0.09"/>
    <n v="201007"/>
    <n v="705"/>
    <n v="4160"/>
    <n v="4865"/>
    <n v="240"/>
    <m/>
    <m/>
    <m/>
    <x v="1"/>
    <x v="13"/>
    <m/>
    <m/>
    <s v="MERIDIAN NMPM, T0100N, R0360E"/>
    <s v="SEC.030, W2NE, E2NW"/>
    <m/>
    <m/>
    <m/>
  </r>
  <r>
    <s v="NMNM125253"/>
    <x v="2"/>
    <x v="0"/>
    <d v="2010-07-21T00:00:00"/>
    <d v="2010-10-01T00:00:00"/>
    <x v="44"/>
    <n v="1580.74"/>
    <x v="116"/>
    <x v="7"/>
    <m/>
    <n v="0.1"/>
    <n v="0.09"/>
    <n v="201007"/>
    <n v="5678.5"/>
    <n v="37944"/>
    <n v="43622.5"/>
    <n v="2371.5"/>
    <m/>
    <m/>
    <m/>
    <x v="1"/>
    <x v="13"/>
    <m/>
    <m/>
    <s v="MERIDIAN NMPM, T0090N, R0370E"/>
    <s v="SEC.005 LOTS 1-4, SEC.005, SWNW, W2SW, SEC.006 LOTS 1-4"/>
    <s v="SEC.006, SWNW, NWSW,S2SW, SEC.007 ALL, SEC.008, W2NW, SEC.017, W2NW, SEC.018, NE, N2NW"/>
    <m/>
    <m/>
  </r>
  <r>
    <s v="NMNM125254"/>
    <x v="2"/>
    <x v="0"/>
    <d v="2010-07-21T00:00:00"/>
    <d v="2010-10-01T00:00:00"/>
    <x v="44"/>
    <n v="674.54"/>
    <x v="116"/>
    <x v="7"/>
    <m/>
    <n v="0.1"/>
    <n v="0.09"/>
    <n v="201007"/>
    <n v="2507.5"/>
    <n v="16200"/>
    <n v="18707.5"/>
    <n v="1012.5"/>
    <m/>
    <m/>
    <m/>
    <x v="1"/>
    <x v="13"/>
    <m/>
    <m/>
    <s v="MERIDIAN NMPM, T0090N, R0370E"/>
    <s v="SEC.020 LOTS 3,4, SEC.020, W2SW, SEC.029, LOTS 1-4"/>
    <s v="SEC.029 W2W2, SEC.030 E2"/>
    <m/>
    <m/>
  </r>
  <r>
    <s v="NMNM125261"/>
    <x v="2"/>
    <x v="0"/>
    <d v="2010-07-21T00:00:00"/>
    <d v="2010-10-01T00:00:00"/>
    <x v="44"/>
    <n v="477.98"/>
    <x v="47"/>
    <x v="7"/>
    <m/>
    <n v="0.1"/>
    <n v="0.09"/>
    <n v="201007"/>
    <n v="1818"/>
    <n v="3824"/>
    <n v="5642"/>
    <n v="717"/>
    <m/>
    <m/>
    <m/>
    <x v="1"/>
    <x v="13"/>
    <m/>
    <m/>
    <s v="MERIDIAN NMPM, T0170N, R0080W"/>
    <s v="SEC.004, LOTS 1,2 SEC.004 S2NE, S2"/>
    <m/>
    <m/>
    <m/>
  </r>
  <r>
    <s v="NMNM125263"/>
    <x v="2"/>
    <x v="0"/>
    <d v="2010-07-21T00:00:00"/>
    <d v="2010-10-01T00:00:00"/>
    <x v="44"/>
    <n v="251.82"/>
    <x v="47"/>
    <x v="7"/>
    <m/>
    <n v="0.1"/>
    <n v="0.09"/>
    <n v="201007"/>
    <n v="1027"/>
    <n v="34776"/>
    <n v="35803"/>
    <n v="378"/>
    <m/>
    <m/>
    <m/>
    <x v="1"/>
    <x v="13"/>
    <m/>
    <m/>
    <s v="MERIDIAN NMPM, T0170N, R0090W"/>
    <s v="SEC.012, LOTS 5,6, SEC.012 SW, NWSE"/>
    <m/>
    <m/>
    <m/>
  </r>
  <r>
    <s v="NMNM125264"/>
    <x v="2"/>
    <x v="0"/>
    <d v="2010-07-21T00:00:00"/>
    <d v="2010-12-01T00:00:00"/>
    <x v="45"/>
    <n v="40"/>
    <x v="47"/>
    <x v="7"/>
    <m/>
    <n v="0.1"/>
    <n v="0.09"/>
    <n v="201007"/>
    <n v="285"/>
    <n v="0"/>
    <n v="285"/>
    <n v="80"/>
    <m/>
    <m/>
    <m/>
    <x v="1"/>
    <x v="13"/>
    <m/>
    <m/>
    <s v="MERIDIAN NMPM, T0170N, R0090W"/>
    <s v="SEC.012, NWNW - SEE LSE FOR DEPTH LIMITS"/>
    <m/>
    <m/>
    <m/>
  </r>
  <r>
    <s v="NMNM125265"/>
    <x v="2"/>
    <x v="0"/>
    <d v="2010-07-21T00:00:00"/>
    <d v="2010-10-01T00:00:00"/>
    <x v="44"/>
    <n v="680"/>
    <x v="116"/>
    <x v="7"/>
    <m/>
    <n v="0.1"/>
    <n v="0.09"/>
    <n v="201007"/>
    <n v="2525"/>
    <n v="14960"/>
    <n v="17485"/>
    <n v="1020"/>
    <m/>
    <m/>
    <m/>
    <x v="1"/>
    <x v="13"/>
    <m/>
    <m/>
    <s v="MERIDIAN NMPM, T0100N, R0330E"/>
    <s v="SEC.021, SESW, S2SE, SEC.022, E2NW, SW, SEC.027, N2NW"/>
    <s v="SEC.028, E2E2, NWNE, NWSE"/>
    <m/>
    <m/>
  </r>
  <r>
    <s v="NMNM125266"/>
    <x v="2"/>
    <x v="0"/>
    <d v="2010-07-21T00:00:00"/>
    <d v="2010-10-01T00:00:00"/>
    <x v="44"/>
    <n v="200"/>
    <x v="116"/>
    <x v="7"/>
    <m/>
    <n v="0.1"/>
    <n v="0.09"/>
    <n v="201007"/>
    <n v="845"/>
    <n v="3600"/>
    <n v="4445"/>
    <n v="300"/>
    <m/>
    <m/>
    <m/>
    <x v="1"/>
    <x v="13"/>
    <m/>
    <m/>
    <s v="MERIDIAN NMPM, T0100N, R0330E"/>
    <s v="SEC.023, SWNE, S2NW, W2SW"/>
    <m/>
    <m/>
    <m/>
  </r>
  <r>
    <s v="TXNM125272"/>
    <x v="2"/>
    <x v="0"/>
    <d v="2010-07-21T00:00:00"/>
    <d v="2010-10-01T00:00:00"/>
    <x v="44"/>
    <n v="618.58000000000004"/>
    <x v="144"/>
    <x v="0"/>
    <m/>
    <n v="0.1"/>
    <n v="0.09"/>
    <n v="201007"/>
    <n v="2311.5"/>
    <n v="0"/>
    <n v="2311.5"/>
    <n v="928.5"/>
    <m/>
    <m/>
    <m/>
    <x v="1"/>
    <x v="13"/>
    <m/>
    <m/>
    <s v="MERIDIAN TX, T111"/>
    <s v="SEC. 050, BLOCK 1-T, TEXAS, SEC.050, NEW ORLEANS RAILWAY CO"/>
    <s v="SEC.050 SURVEY"/>
    <s v="YES"/>
    <m/>
  </r>
  <r>
    <s v="TXNM125273"/>
    <x v="2"/>
    <x v="0"/>
    <d v="2010-07-21T00:00:00"/>
    <d v="2010-10-01T00:00:00"/>
    <x v="44"/>
    <n v="320"/>
    <x v="144"/>
    <x v="0"/>
    <m/>
    <n v="0.1"/>
    <n v="0.09"/>
    <n v="201007"/>
    <n v="1265"/>
    <n v="0"/>
    <n v="1265"/>
    <n v="480"/>
    <m/>
    <m/>
    <m/>
    <x v="1"/>
    <x v="13"/>
    <m/>
    <m/>
    <s v="MERIDIAN TX, T111"/>
    <s v="SEC.089, W2 OF BLOCK 1-T, SEC.089 TEXAS &amp; NEW ORLEANS"/>
    <s v="SEC.089 RAILWAY COMPANY SURVEY"/>
    <s v="YES"/>
    <m/>
  </r>
  <r>
    <s v="TXNM125274"/>
    <x v="2"/>
    <x v="0"/>
    <d v="2010-07-21T00:00:00"/>
    <d v="2010-10-01T00:00:00"/>
    <x v="44"/>
    <n v="249"/>
    <x v="59"/>
    <x v="0"/>
    <m/>
    <n v="0.1"/>
    <n v="0.09"/>
    <n v="201007"/>
    <n v="1016.5"/>
    <n v="43077"/>
    <n v="44093.5"/>
    <n v="373.5"/>
    <m/>
    <m/>
    <m/>
    <x v="1"/>
    <x v="13"/>
    <m/>
    <m/>
    <s v="MERIDIAN TX, T419"/>
    <s v="TR S-1F"/>
    <s v="SEE ATTACHED M&amp;B'S W/MAP"/>
    <m/>
    <m/>
  </r>
  <r>
    <s v="TXNM125276"/>
    <x v="2"/>
    <x v="0"/>
    <d v="2010-07-21T00:00:00"/>
    <d v="2010-10-01T00:00:00"/>
    <x v="44"/>
    <n v="520.20000000000005"/>
    <x v="145"/>
    <x v="0"/>
    <m/>
    <n v="0.1"/>
    <n v="0.09"/>
    <n v="201007"/>
    <n v="1968.5"/>
    <n v="30218"/>
    <n v="32186.5"/>
    <n v="781.5"/>
    <m/>
    <m/>
    <m/>
    <x v="1"/>
    <x v="13"/>
    <m/>
    <m/>
    <s v="MERIDIAN TX, T445"/>
    <s v="SEC.027, A-101, SEC.030, A-102, SEC.033, A-103, A-104"/>
    <s v="SEC.033, BLOCK E, EL&amp;RR RR CO SURVEY, SEC.033 SEE ATTACHED M&amp;B'S W/MAP"/>
    <s v="YES"/>
    <m/>
  </r>
  <r>
    <m/>
    <x v="1"/>
    <x v="1"/>
    <m/>
    <m/>
    <x v="1"/>
    <m/>
    <x v="1"/>
    <x v="1"/>
    <m/>
    <m/>
    <m/>
    <m/>
    <n v="77645"/>
    <n v="366519"/>
    <n v="444164"/>
    <m/>
    <m/>
    <m/>
    <m/>
    <x v="1"/>
    <x v="1"/>
    <m/>
    <m/>
    <m/>
    <m/>
    <m/>
    <m/>
    <m/>
  </r>
  <r>
    <m/>
    <x v="1"/>
    <x v="1"/>
    <m/>
    <m/>
    <x v="1"/>
    <m/>
    <x v="1"/>
    <x v="1"/>
    <m/>
    <m/>
    <m/>
    <s v="CK #2801"/>
    <n v="77645"/>
    <m/>
    <n v="77645"/>
    <m/>
    <m/>
    <m/>
    <m/>
    <x v="1"/>
    <x v="1"/>
    <m/>
    <m/>
    <m/>
    <m/>
    <m/>
    <m/>
    <m/>
  </r>
  <r>
    <m/>
    <x v="1"/>
    <x v="1"/>
    <m/>
    <m/>
    <x v="1"/>
    <m/>
    <x v="1"/>
    <x v="1"/>
    <m/>
    <m/>
    <m/>
    <s v="CK #2816"/>
    <m/>
    <n v="267519"/>
    <n v="267519"/>
    <m/>
    <m/>
    <m/>
    <m/>
    <x v="1"/>
    <x v="1"/>
    <m/>
    <m/>
    <m/>
    <m/>
    <m/>
    <m/>
    <m/>
  </r>
  <r>
    <m/>
    <x v="1"/>
    <x v="1"/>
    <m/>
    <m/>
    <x v="1"/>
    <m/>
    <x v="1"/>
    <x v="1"/>
    <m/>
    <m/>
    <m/>
    <s v="AXP 8/6/10 STMT"/>
    <m/>
    <n v="99000"/>
    <n v="99000"/>
    <m/>
    <m/>
    <m/>
    <m/>
    <x v="1"/>
    <x v="1"/>
    <m/>
    <m/>
    <m/>
    <m/>
    <m/>
    <m/>
    <m/>
  </r>
  <r>
    <m/>
    <x v="1"/>
    <x v="1"/>
    <m/>
    <m/>
    <x v="1"/>
    <m/>
    <x v="1"/>
    <x v="1"/>
    <m/>
    <m/>
    <m/>
    <m/>
    <n v="77645"/>
    <n v="366519"/>
    <n v="444164"/>
    <m/>
    <m/>
    <m/>
    <m/>
    <x v="1"/>
    <x v="1"/>
    <m/>
    <m/>
    <m/>
    <m/>
    <m/>
    <m/>
    <m/>
  </r>
  <r>
    <m/>
    <x v="1"/>
    <x v="1"/>
    <m/>
    <m/>
    <x v="1"/>
    <m/>
    <x v="1"/>
    <x v="1"/>
    <m/>
    <m/>
    <m/>
    <m/>
    <m/>
    <m/>
    <m/>
    <m/>
    <m/>
    <m/>
    <m/>
    <x v="1"/>
    <x v="1"/>
    <m/>
    <m/>
    <m/>
    <m/>
    <m/>
    <m/>
    <m/>
  </r>
  <r>
    <s v="LAES56464"/>
    <x v="2"/>
    <x v="0"/>
    <d v="2010-09-16T00:00:00"/>
    <d v="2010-12-01T00:00:00"/>
    <x v="45"/>
    <n v="319.3"/>
    <x v="140"/>
    <x v="3"/>
    <m/>
    <n v="0.1"/>
    <n v="0.09"/>
    <n v="16"/>
    <n v="5105"/>
    <m/>
    <n v="5105"/>
    <n v="640"/>
    <m/>
    <m/>
    <m/>
    <x v="1"/>
    <x v="13"/>
    <m/>
    <m/>
    <s v="MERIDIAN LA, T13N, R4W"/>
    <s v="Sec.6, W2SW, SE; Sec.18, SESW; Sec19, NWNW"/>
    <s v="Subject to F.S. Controlled surface use stipulations #1 and #2. Subject to F.S Lease Notice No.3"/>
    <m/>
    <m/>
  </r>
  <r>
    <s v="LAES56465"/>
    <x v="2"/>
    <x v="0"/>
    <d v="2010-09-16T00:00:00"/>
    <d v="2010-12-01T00:00:00"/>
    <x v="45"/>
    <n v="12"/>
    <x v="146"/>
    <x v="3"/>
    <m/>
    <n v="0.1"/>
    <n v="0.09"/>
    <n v="17"/>
    <n v="2923"/>
    <m/>
    <n v="2923"/>
    <n v="24"/>
    <m/>
    <m/>
    <m/>
    <x v="1"/>
    <x v="13"/>
    <m/>
    <m/>
    <s v="MERIDIAN LA, T22N, R4W"/>
    <s v="Sec.6, Tract Y-47 in NENE"/>
    <s v="Subject to F.S. Controlled Surface Use Stipulation #1 and F.S. Lease Notice No.3"/>
    <m/>
    <m/>
  </r>
  <r>
    <s v="LAES56467"/>
    <x v="2"/>
    <x v="0"/>
    <d v="2010-09-16T00:00:00"/>
    <d v="2010-12-01T00:00:00"/>
    <x v="45"/>
    <n v="585.15"/>
    <x v="147"/>
    <x v="3"/>
    <m/>
    <n v="0.1"/>
    <n v="0.09"/>
    <n v="19"/>
    <n v="2196"/>
    <m/>
    <n v="2196"/>
    <n v="1172"/>
    <m/>
    <m/>
    <m/>
    <x v="1"/>
    <x v="13"/>
    <m/>
    <m/>
    <s v="MERIDIAN LA, T13N, R6W"/>
    <s v="Sec.10, E2SWNW,E2W2SWNW,N2SW,SWSW,SE; Sec.11, N2NE,N2SWNE,SENE,NENW,SWNW,N2SENW,SESE"/>
    <s v="Subject to F.S. Controlled Surface use stipulations #1 and #2; F.S. Lease Notices No.3 and No.4"/>
    <m/>
    <m/>
  </r>
  <r>
    <s v="LAES56468"/>
    <x v="2"/>
    <x v="0"/>
    <d v="2010-09-16T00:00:00"/>
    <d v="2010-12-01T00:00:00"/>
    <x v="45"/>
    <n v="433.13"/>
    <x v="147"/>
    <x v="3"/>
    <m/>
    <n v="0.1"/>
    <n v="0.09"/>
    <n v="20"/>
    <n v="1664"/>
    <m/>
    <n v="1664"/>
    <n v="868"/>
    <m/>
    <m/>
    <m/>
    <x v="1"/>
    <x v="13"/>
    <m/>
    <m/>
    <s v="MERIDIAN LA, T13N, R6W"/>
    <s v="Sec.12, W2NE, NW,NESW,SWSW,N2SE,SWSE"/>
    <s v="Subject to F.S. No Surface Occupancy Stipulation #1 (Sec.12, E2; 113.4 acres) Subject to F.S. Controlled Surface Use Stipulations #1 and #2 ; F.S. Lease Notices No.3 and No.4"/>
    <m/>
    <m/>
  </r>
  <r>
    <s v="LAES56469"/>
    <x v="2"/>
    <x v="0"/>
    <d v="2010-09-16T00:00:00"/>
    <d v="2010-12-01T00:00:00"/>
    <x v="45"/>
    <n v="432.59"/>
    <x v="147"/>
    <x v="3"/>
    <m/>
    <n v="0.1"/>
    <n v="0.09"/>
    <n v="21"/>
    <n v="5124.5"/>
    <m/>
    <n v="5124.5"/>
    <n v="866"/>
    <m/>
    <m/>
    <m/>
    <x v="1"/>
    <x v="13"/>
    <m/>
    <m/>
    <s v="MERIDIAN LA, T13N, R6W"/>
    <s v="Sec. 13, E2,NWSW,S2SW"/>
    <s v="Subject to F.S. No Surface Occupancy Stipulation #1 (Sec.13, E2E2; 45.9 acres) Subject to F.S. Controlled Surface Use Stipulations #1 and #2 ; F.S. Lease Notices No.3 and No.4"/>
    <m/>
    <m/>
  </r>
  <r>
    <s v="LAES56470"/>
    <x v="2"/>
    <x v="0"/>
    <d v="2010-09-16T00:00:00"/>
    <d v="2010-12-01T00:00:00"/>
    <x v="45"/>
    <n v="378.49"/>
    <x v="147"/>
    <x v="3"/>
    <m/>
    <n v="0.1"/>
    <n v="0.09"/>
    <n v="22"/>
    <n v="7535.5"/>
    <m/>
    <n v="7535.5"/>
    <n v="758"/>
    <m/>
    <m/>
    <m/>
    <x v="1"/>
    <x v="13"/>
    <m/>
    <m/>
    <s v="MERIDIAN LA, T13N, R6W"/>
    <s v="Sec. 14, S2S2, NESE; Sec.15, N2NWNW; Sec.23, NWNE, NESE, S2SE"/>
    <s v="Subject to F.S. Controlled Surface Use Stipulations #1 and #2; F.S. Lease Notices No.3 and No.4 (Sec.23)"/>
    <m/>
    <m/>
  </r>
  <r>
    <s v="LAES56471"/>
    <x v="2"/>
    <x v="0"/>
    <d v="2010-09-16T00:00:00"/>
    <d v="2010-12-01T00:00:00"/>
    <x v="45"/>
    <n v="627"/>
    <x v="147"/>
    <x v="3"/>
    <m/>
    <n v="0.1"/>
    <n v="0.09"/>
    <n v="23"/>
    <n v="10490.5"/>
    <m/>
    <n v="10490.5"/>
    <n v="1254"/>
    <m/>
    <m/>
    <m/>
    <x v="1"/>
    <x v="13"/>
    <m/>
    <m/>
    <s v="MERIDIAN LA, T13N, R6W"/>
    <s v="Sec. 24, All"/>
    <s v="Subject to F.S. Controlled Surface Use Stipulations #1 and #2; F.S. Lease Notices No.3 and No.4"/>
    <m/>
    <m/>
  </r>
  <r>
    <s v="LAES56472"/>
    <x v="2"/>
    <x v="0"/>
    <d v="2010-09-16T00:00:00"/>
    <d v="2010-12-01T00:00:00"/>
    <x v="45"/>
    <n v="632.29"/>
    <x v="147"/>
    <x v="3"/>
    <m/>
    <n v="0.1"/>
    <n v="0.09"/>
    <n v="24"/>
    <n v="10589.5"/>
    <m/>
    <n v="10589.5"/>
    <n v="1266"/>
    <m/>
    <m/>
    <m/>
    <x v="1"/>
    <x v="13"/>
    <m/>
    <m/>
    <s v="MERIDIAN LA, T13N, R6W"/>
    <s v="Sec. 25, All"/>
    <s v="Subject to F.S. Controlled Surface Use Stipulations #1 and #2; F.S. Lease Notices No.3 and No.4 Subject to F.S. No Surface Occupancy Stipulation #2 (Sec.25, NESE; 4.2 Acres)"/>
    <m/>
    <m/>
  </r>
  <r>
    <s v="LAES56473"/>
    <x v="2"/>
    <x v="0"/>
    <d v="2010-09-16T00:00:00"/>
    <d v="2010-12-01T00:00:00"/>
    <x v="45"/>
    <n v="517.26"/>
    <x v="147"/>
    <x v="3"/>
    <m/>
    <n v="0.1"/>
    <n v="0.09"/>
    <n v="25"/>
    <n v="6102"/>
    <m/>
    <n v="6102"/>
    <n v="1036"/>
    <m/>
    <m/>
    <m/>
    <x v="1"/>
    <x v="13"/>
    <m/>
    <m/>
    <s v="MERIDIAN LA, T13N, R6W"/>
    <s v="Sec.26, E2, SENW,SW"/>
    <s v="Subject to F.S. Controlled Surface Use Stipulations #1; F.S. Lease Notices No.3"/>
    <m/>
    <m/>
  </r>
  <r>
    <s v="LAES56474"/>
    <x v="2"/>
    <x v="0"/>
    <d v="2010-09-16T00:00:00"/>
    <d v="2010-12-01T00:00:00"/>
    <x v="45"/>
    <n v="360"/>
    <x v="147"/>
    <x v="3"/>
    <m/>
    <n v="0.1"/>
    <n v="0.09"/>
    <n v="26"/>
    <n v="4285"/>
    <m/>
    <n v="4285"/>
    <n v="720"/>
    <m/>
    <m/>
    <m/>
    <x v="1"/>
    <x v="13"/>
    <m/>
    <m/>
    <s v="MERIDIAN LA, T13N, R6W"/>
    <s v="Sec.27, SENE, S2"/>
    <s v="Subject to F.S Controlled Surface Use Stipulations #1 and #2; F.S. Lease Notice No.3 and No.4 (Sec.27, SENE)"/>
    <m/>
    <m/>
  </r>
  <r>
    <m/>
    <x v="1"/>
    <x v="1"/>
    <m/>
    <s v="PAID TO MEADE HUFFORD 9/16/2010"/>
    <x v="1"/>
    <m/>
    <x v="1"/>
    <x v="1"/>
    <m/>
    <m/>
    <m/>
    <m/>
    <n v="56015"/>
    <m/>
    <n v="56015"/>
    <m/>
    <m/>
    <m/>
    <m/>
    <x v="1"/>
    <x v="1"/>
    <m/>
    <m/>
    <m/>
    <m/>
    <m/>
    <m/>
    <m/>
  </r>
  <r>
    <m/>
    <x v="1"/>
    <x v="1"/>
    <m/>
    <m/>
    <x v="1"/>
    <m/>
    <x v="1"/>
    <x v="1"/>
    <m/>
    <m/>
    <m/>
    <m/>
    <m/>
    <m/>
    <m/>
    <m/>
    <m/>
    <m/>
    <m/>
    <x v="1"/>
    <x v="1"/>
    <m/>
    <m/>
    <m/>
    <m/>
    <m/>
    <m/>
    <m/>
  </r>
  <r>
    <m/>
    <x v="1"/>
    <x v="1"/>
    <m/>
    <m/>
    <x v="1"/>
    <m/>
    <x v="1"/>
    <x v="1"/>
    <m/>
    <m/>
    <m/>
    <m/>
    <m/>
    <m/>
    <m/>
    <m/>
    <m/>
    <m/>
    <m/>
    <x v="1"/>
    <x v="1"/>
    <m/>
    <m/>
    <m/>
    <m/>
    <m/>
    <m/>
    <m/>
  </r>
  <r>
    <s v="KSNM125630"/>
    <x v="2"/>
    <x v="0"/>
    <d v="2010-10-20T00:00:00"/>
    <d v="2011-01-01T00:00:00"/>
    <x v="46"/>
    <n v="54.38"/>
    <x v="148"/>
    <x v="8"/>
    <m/>
    <n v="0.1"/>
    <n v="0.09"/>
    <n v="1"/>
    <n v="2482.5"/>
    <m/>
    <n v="2482.5"/>
    <n v="110"/>
    <m/>
    <m/>
    <m/>
    <x v="1"/>
    <x v="15"/>
    <m/>
    <m/>
    <s v="MERIDIAN 06th, T0190S, R0030E"/>
    <s v="Sec. 015 W2NWNWNW,NWSWNWNW; 015 N2SWSWNWNW, S2S2SWNWNW; 015 S2SWSENWNW, W2SWNW, SESWNW; 015 W2NESWNW, S2SENESWNW; 015 SWSWNWSENW, W2NWSWSENW; 015 SWSWSENW, W2SESWSENW;"/>
    <m/>
    <m/>
    <m/>
  </r>
  <r>
    <s v="NMNM125632"/>
    <x v="2"/>
    <x v="0"/>
    <d v="2010-10-20T00:00:00"/>
    <d v="2011-01-01T00:00:00"/>
    <x v="46"/>
    <n v="40"/>
    <x v="62"/>
    <x v="7"/>
    <m/>
    <n v="0.1"/>
    <n v="0.09"/>
    <n v="3"/>
    <n v="365"/>
    <m/>
    <n v="365"/>
    <n v="80"/>
    <m/>
    <m/>
    <m/>
    <x v="1"/>
    <x v="15"/>
    <m/>
    <m/>
    <s v="MERIDIAN NMPM, T0040S, R0270E"/>
    <s v="Sec. 032 NWNW;"/>
    <m/>
    <m/>
    <m/>
  </r>
  <r>
    <s v="NMNM125636"/>
    <x v="2"/>
    <x v="0"/>
    <d v="2010-10-20T00:00:00"/>
    <d v="2011-01-01T00:00:00"/>
    <x v="46"/>
    <n v="40"/>
    <x v="116"/>
    <x v="7"/>
    <m/>
    <n v="0.1"/>
    <n v="0.09"/>
    <n v="9"/>
    <n v="285"/>
    <m/>
    <n v="285"/>
    <n v="80"/>
    <m/>
    <m/>
    <m/>
    <x v="1"/>
    <x v="15"/>
    <m/>
    <m/>
    <s v="MERIDIAN NMPM, T0110N, R0330E"/>
    <s v="Sec. 001 SWNW;"/>
    <m/>
    <m/>
    <m/>
  </r>
  <r>
    <s v="NMNM125637"/>
    <x v="2"/>
    <x v="0"/>
    <d v="2010-10-20T00:00:00"/>
    <d v="2011-01-01T00:00:00"/>
    <x v="46"/>
    <n v="40"/>
    <x v="116"/>
    <x v="7"/>
    <m/>
    <n v="0.1"/>
    <n v="0.09"/>
    <n v="10"/>
    <n v="285"/>
    <m/>
    <n v="285"/>
    <n v="80"/>
    <m/>
    <m/>
    <m/>
    <x v="1"/>
    <x v="15"/>
    <m/>
    <m/>
    <s v="MERIDIAN NMPM, T0110N, R0330E"/>
    <s v="Sec. 004 SENE;"/>
    <m/>
    <m/>
    <m/>
  </r>
  <r>
    <s v="NMNM125638"/>
    <x v="2"/>
    <x v="0"/>
    <d v="2010-10-20T00:00:00"/>
    <d v="2011-01-01T00:00:00"/>
    <x v="46"/>
    <n v="600"/>
    <x v="116"/>
    <x v="7"/>
    <m/>
    <n v="0.1"/>
    <n v="0.09"/>
    <n v="11"/>
    <n v="19045"/>
    <m/>
    <n v="19045"/>
    <n v="1200"/>
    <m/>
    <m/>
    <m/>
    <x v="1"/>
    <x v="15"/>
    <m/>
    <m/>
    <s v="MERIDIAN NMPM, T0110N, R0330E"/>
    <s v="Sec. 005 S2NW, SW, W2SE; 007 NE; 008 N2NW, SENW; "/>
    <m/>
    <m/>
    <m/>
  </r>
  <r>
    <s v="NMNM125639"/>
    <x v="2"/>
    <x v="0"/>
    <d v="2010-10-20T00:00:00"/>
    <d v="2011-01-01T00:00:00"/>
    <x v="46"/>
    <n v="40"/>
    <x v="116"/>
    <x v="7"/>
    <m/>
    <n v="0.1"/>
    <n v="0.09"/>
    <n v="12"/>
    <n v="1405"/>
    <m/>
    <n v="1405"/>
    <n v="80"/>
    <m/>
    <m/>
    <m/>
    <x v="1"/>
    <x v="15"/>
    <m/>
    <m/>
    <s v="MERIDIAN NMPM, T0110N, R0330E"/>
    <s v="Sec. 008 NESE;"/>
    <m/>
    <m/>
    <m/>
  </r>
  <r>
    <s v="NMNM125640"/>
    <x v="2"/>
    <x v="0"/>
    <d v="2010-10-20T00:00:00"/>
    <d v="2011-01-01T00:00:00"/>
    <x v="46"/>
    <n v="120"/>
    <x v="116"/>
    <x v="7"/>
    <m/>
    <n v="0.1"/>
    <n v="0.09"/>
    <n v="13"/>
    <n v="1525"/>
    <m/>
    <n v="1525"/>
    <n v="240"/>
    <m/>
    <m/>
    <m/>
    <x v="1"/>
    <x v="15"/>
    <m/>
    <m/>
    <s v="MERIDIAN NMPM, T0110N, R0330E"/>
    <s v="Sec. 010 N2SW, SESW;"/>
    <m/>
    <m/>
    <m/>
  </r>
  <r>
    <s v="NMNM125641"/>
    <x v="2"/>
    <x v="0"/>
    <d v="2010-10-20T00:00:00"/>
    <d v="2011-01-01T00:00:00"/>
    <x v="46"/>
    <n v="40"/>
    <x v="116"/>
    <x v="7"/>
    <m/>
    <n v="0.1"/>
    <n v="0.09"/>
    <n v="14"/>
    <n v="605"/>
    <m/>
    <n v="605"/>
    <n v="80"/>
    <m/>
    <m/>
    <m/>
    <x v="1"/>
    <x v="15"/>
    <m/>
    <m/>
    <s v="MERIDIAN NMPM, T0110N, R0330E"/>
    <s v="Sec. 010 NESE;"/>
    <m/>
    <m/>
    <m/>
  </r>
  <r>
    <s v="NMNM125642"/>
    <x v="2"/>
    <x v="0"/>
    <d v="2010-10-20T00:00:00"/>
    <d v="2011-01-01T00:00:00"/>
    <x v="46"/>
    <n v="40"/>
    <x v="116"/>
    <x v="7"/>
    <m/>
    <n v="0.1"/>
    <n v="0.09"/>
    <n v="15"/>
    <n v="285"/>
    <m/>
    <n v="285"/>
    <n v="80"/>
    <m/>
    <m/>
    <m/>
    <x v="1"/>
    <x v="15"/>
    <m/>
    <m/>
    <s v="MERIDIAN NMPM, T0110N, R0330E"/>
    <s v="Sec. 011 NENW;"/>
    <m/>
    <m/>
    <m/>
  </r>
  <r>
    <s v="NMNM125643"/>
    <x v="2"/>
    <x v="0"/>
    <d v="2010-10-20T00:00:00"/>
    <d v="2011-01-01T00:00:00"/>
    <x v="46"/>
    <n v="40"/>
    <x v="116"/>
    <x v="7"/>
    <m/>
    <n v="0.1"/>
    <n v="0.09"/>
    <n v="16"/>
    <n v="285"/>
    <m/>
    <n v="285"/>
    <n v="80"/>
    <m/>
    <m/>
    <m/>
    <x v="1"/>
    <x v="15"/>
    <m/>
    <m/>
    <s v="MERIDIAN NMPM, T0110N, R0330E"/>
    <s v="Sec. 015 SENW;"/>
    <m/>
    <m/>
    <m/>
  </r>
  <r>
    <s v="NMNM125644"/>
    <x v="2"/>
    <x v="0"/>
    <d v="2010-10-20T00:00:00"/>
    <d v="2011-01-01T00:00:00"/>
    <x v="46"/>
    <n v="80"/>
    <x v="116"/>
    <x v="7"/>
    <m/>
    <n v="0.1"/>
    <n v="0.09"/>
    <n v="17"/>
    <n v="425"/>
    <m/>
    <n v="425"/>
    <n v="160"/>
    <m/>
    <m/>
    <m/>
    <x v="1"/>
    <x v="15"/>
    <m/>
    <m/>
    <s v="MERIDIAN NMPM, T0110N, R0330E"/>
    <s v="Sec. 015 SENE,NESE;"/>
    <m/>
    <m/>
    <m/>
  </r>
  <r>
    <s v="NMNM125645"/>
    <x v="2"/>
    <x v="0"/>
    <d v="2010-10-20T00:00:00"/>
    <d v="2011-01-01T00:00:00"/>
    <x v="46"/>
    <n v="240"/>
    <x v="116"/>
    <x v="7"/>
    <m/>
    <n v="0.1"/>
    <n v="0.09"/>
    <n v="18"/>
    <n v="7705"/>
    <m/>
    <n v="7705"/>
    <n v="480"/>
    <m/>
    <m/>
    <m/>
    <x v="1"/>
    <x v="15"/>
    <m/>
    <m/>
    <s v="MERIDIAN NMPM, T0110N, R0330E"/>
    <s v="Sec. 017 SWNW, NWSW; 018 N2NE, SENE, NESE ;"/>
    <m/>
    <m/>
    <m/>
  </r>
  <r>
    <s v="NMNM125647"/>
    <x v="2"/>
    <x v="0"/>
    <d v="2010-10-20T00:00:00"/>
    <d v="2011-01-01T00:00:00"/>
    <x v="46"/>
    <n v="40"/>
    <x v="116"/>
    <x v="7"/>
    <m/>
    <n v="0.1"/>
    <n v="0.09"/>
    <n v="20"/>
    <n v="285"/>
    <m/>
    <n v="285"/>
    <n v="80"/>
    <m/>
    <m/>
    <m/>
    <x v="1"/>
    <x v="15"/>
    <m/>
    <m/>
    <s v="MERIDIAN NMPM, T0110N, R0330E"/>
    <s v="Sec. 020 SENW;"/>
    <m/>
    <m/>
    <m/>
  </r>
  <r>
    <s v="NMNM125648"/>
    <x v="2"/>
    <x v="0"/>
    <d v="2010-10-20T00:00:00"/>
    <d v="2011-01-01T00:00:00"/>
    <x v="46"/>
    <n v="80"/>
    <x v="116"/>
    <x v="7"/>
    <m/>
    <n v="0.1"/>
    <n v="0.09"/>
    <n v="21"/>
    <n v="425"/>
    <m/>
    <n v="425"/>
    <n v="160"/>
    <m/>
    <m/>
    <m/>
    <x v="1"/>
    <x v="15"/>
    <m/>
    <m/>
    <s v="MERIDIAN NMPM, T0110N, R0330E"/>
    <s v="Sec. 020 N2SE;"/>
    <m/>
    <m/>
    <m/>
  </r>
  <r>
    <s v="NMNM125649"/>
    <x v="2"/>
    <x v="0"/>
    <d v="2010-10-20T00:00:00"/>
    <d v="2011-01-01T00:00:00"/>
    <x v="46"/>
    <n v="40"/>
    <x v="116"/>
    <x v="7"/>
    <m/>
    <n v="0.1"/>
    <n v="0.09"/>
    <n v="22"/>
    <n v="285"/>
    <m/>
    <n v="285"/>
    <n v="80"/>
    <m/>
    <m/>
    <m/>
    <x v="1"/>
    <x v="15"/>
    <m/>
    <m/>
    <s v="MERIDIAN NMPM, T0110N, R0330E"/>
    <s v="Sec. 020 SWNW;"/>
    <m/>
    <m/>
    <m/>
  </r>
  <r>
    <s v="NMNM125650"/>
    <x v="2"/>
    <x v="0"/>
    <d v="2010-10-20T00:00:00"/>
    <d v="2011-01-01T00:00:00"/>
    <x v="46"/>
    <n v="40"/>
    <x v="116"/>
    <x v="7"/>
    <m/>
    <n v="0.1"/>
    <n v="0.09"/>
    <n v="23"/>
    <n v="285"/>
    <m/>
    <n v="285"/>
    <n v="80"/>
    <m/>
    <m/>
    <m/>
    <x v="1"/>
    <x v="15"/>
    <m/>
    <m/>
    <s v="MERIDIAN NMPM, T0110N, R0330E"/>
    <s v="Sec. 022 NESW;"/>
    <m/>
    <m/>
    <m/>
  </r>
  <r>
    <s v="NMNM125651"/>
    <x v="2"/>
    <x v="0"/>
    <d v="2010-10-20T00:00:00"/>
    <d v="2011-01-01T00:00:00"/>
    <x v="46"/>
    <n v="80"/>
    <x v="116"/>
    <x v="7"/>
    <m/>
    <n v="0.1"/>
    <n v="0.09"/>
    <n v="24"/>
    <n v="425"/>
    <m/>
    <n v="425"/>
    <n v="160"/>
    <m/>
    <m/>
    <m/>
    <x v="1"/>
    <x v="15"/>
    <m/>
    <m/>
    <s v="MERIDIAN NMPM, T0110N, R0330E"/>
    <s v="Sec. 020 SENE,NESE;"/>
    <m/>
    <m/>
    <m/>
  </r>
  <r>
    <s v="TXNM125666"/>
    <x v="2"/>
    <x v="0"/>
    <d v="2010-10-20T00:00:00"/>
    <d v="2011-01-01T00:00:00"/>
    <x v="46"/>
    <n v="170"/>
    <x v="58"/>
    <x v="0"/>
    <m/>
    <n v="0.1"/>
    <n v="0.09"/>
    <n v="39"/>
    <n v="8900"/>
    <m/>
    <n v="8900"/>
    <n v="340"/>
    <m/>
    <m/>
    <m/>
    <x v="1"/>
    <x v="15"/>
    <m/>
    <m/>
    <s v="MERIDIAN TX, TX 403"/>
    <s v="TR S-1Aq; SEE ATTACHED METES &amp; BOUNDS DESCRIPTION"/>
    <s v="* SABINE NATIONAL FOREST - 59.10 ACRES, SABINE RIVER AUTHORITY - 110.90 ACRES (SRA - TRACT 2312, 2312A)"/>
    <s v="YES"/>
    <m/>
  </r>
  <r>
    <s v="TXNM125667"/>
    <x v="2"/>
    <x v="0"/>
    <d v="2010-10-20T00:00:00"/>
    <d v="2011-01-01T00:00:00"/>
    <x v="46"/>
    <n v="837"/>
    <x v="58"/>
    <x v="0"/>
    <m/>
    <n v="0.1"/>
    <n v="0.09"/>
    <n v="40"/>
    <n v="93470.5"/>
    <m/>
    <n v="93470.5"/>
    <n v="1674"/>
    <m/>
    <m/>
    <m/>
    <x v="1"/>
    <x v="15"/>
    <m/>
    <m/>
    <s v="MERIDIAN TX, TX 404"/>
    <s v="TR S-1Av; SEE ATTACHED METES &amp; BOUNDS DESCRIPTION"/>
    <s v="* SABINE NATIONAL FOREST - 11.40 ACRES, SABINE RIVER AUTHORITY - 825.60 ACRES (SRA - TRACT 2300)"/>
    <s v="YES"/>
    <m/>
  </r>
  <r>
    <m/>
    <x v="1"/>
    <x v="1"/>
    <m/>
    <m/>
    <x v="1"/>
    <m/>
    <x v="1"/>
    <x v="1"/>
    <m/>
    <m/>
    <m/>
    <s v="TOTAL"/>
    <n v="138773"/>
    <m/>
    <n v="138773"/>
    <m/>
    <m/>
    <m/>
    <m/>
    <x v="1"/>
    <x v="1"/>
    <m/>
    <m/>
    <m/>
    <m/>
    <m/>
    <m/>
    <m/>
  </r>
  <r>
    <m/>
    <x v="1"/>
    <x v="1"/>
    <m/>
    <m/>
    <x v="1"/>
    <m/>
    <x v="1"/>
    <x v="1"/>
    <m/>
    <m/>
    <m/>
    <s v="AXP"/>
    <n v="99072"/>
    <m/>
    <m/>
    <m/>
    <m/>
    <m/>
    <m/>
    <x v="1"/>
    <x v="1"/>
    <m/>
    <m/>
    <m/>
    <m/>
    <m/>
    <m/>
    <m/>
  </r>
  <r>
    <m/>
    <x v="1"/>
    <x v="1"/>
    <m/>
    <s v="     11/3 CK 3115-FED ABSTRACT"/>
    <x v="1"/>
    <m/>
    <x v="1"/>
    <x v="1"/>
    <m/>
    <m/>
    <m/>
    <m/>
    <n v="40701"/>
    <m/>
    <m/>
    <m/>
    <m/>
    <m/>
    <m/>
    <x v="1"/>
    <x v="1"/>
    <m/>
    <m/>
    <m/>
    <m/>
    <m/>
    <m/>
    <m/>
  </r>
  <r>
    <m/>
    <x v="1"/>
    <x v="1"/>
    <m/>
    <m/>
    <x v="1"/>
    <m/>
    <x v="1"/>
    <x v="1"/>
    <m/>
    <m/>
    <m/>
    <m/>
    <n v="139773"/>
    <m/>
    <m/>
    <m/>
    <m/>
    <m/>
    <m/>
    <x v="1"/>
    <x v="1"/>
    <m/>
    <m/>
    <m/>
    <m/>
    <m/>
    <m/>
    <m/>
  </r>
  <r>
    <m/>
    <x v="1"/>
    <x v="1"/>
    <m/>
    <m/>
    <x v="1"/>
    <m/>
    <x v="1"/>
    <x v="1"/>
    <m/>
    <m/>
    <m/>
    <m/>
    <m/>
    <m/>
    <m/>
    <m/>
    <m/>
    <m/>
    <m/>
    <x v="1"/>
    <x v="1"/>
    <m/>
    <m/>
    <m/>
    <m/>
    <m/>
    <m/>
    <m/>
  </r>
  <r>
    <s v="ALES56528"/>
    <x v="2"/>
    <x v="0"/>
    <d v="2010-12-09T00:00:00"/>
    <d v="2011-02-01T00:00:00"/>
    <x v="47"/>
    <n v="249.09"/>
    <x v="24"/>
    <x v="6"/>
    <m/>
    <n v="0.1"/>
    <n v="0.09"/>
    <n v="1"/>
    <n v="1020"/>
    <m/>
    <n v="1020"/>
    <n v="500"/>
    <m/>
    <m/>
    <m/>
    <x v="1"/>
    <x v="15"/>
    <m/>
    <m/>
    <s v="MERIDIAN ST.STEPHENS, T2N, R16E"/>
    <s v="Conecuh National Forest Sec. 12, NW, N2SW"/>
    <s v="Subject to F.S. Lease Notices No.3 and No.4. Subject to BLM'S Privately-owned Surface Tracts Stipulations, Freshwater Aquatic Habitat Stipulation and Lease Notices/Best Management Practices Stipulations"/>
    <m/>
    <m/>
  </r>
  <r>
    <s v="ALES56529"/>
    <x v="2"/>
    <x v="0"/>
    <d v="2010-12-09T00:00:00"/>
    <d v="2011-02-01T00:00:00"/>
    <x v="47"/>
    <n v="39.93"/>
    <x v="130"/>
    <x v="6"/>
    <m/>
    <n v="0.1"/>
    <n v="0.09"/>
    <n v="2"/>
    <n v="285"/>
    <m/>
    <n v="285"/>
    <n v="60"/>
    <m/>
    <m/>
    <m/>
    <x v="89"/>
    <x v="15"/>
    <m/>
    <m/>
    <s v="MERIDIAN ST.STEPHENS, T4N, R7E"/>
    <s v="Sec.35, SWNW. "/>
    <s v="Subject to BLM'S Privately-owned Surface Tracts Stipulations, Freshwater Aquatic Habitat Stipulation and Lease Notices/Best Management Practices Stipulations"/>
    <m/>
    <s v="Book 2015 Page 5142"/>
  </r>
  <r>
    <s v="ARES56531"/>
    <x v="2"/>
    <x v="0"/>
    <d v="2010-12-09T00:00:00"/>
    <d v="2011-02-01T00:00:00"/>
    <x v="47"/>
    <n v="160"/>
    <x v="38"/>
    <x v="2"/>
    <m/>
    <n v="0.1"/>
    <n v="0.09"/>
    <n v="4"/>
    <n v="705"/>
    <m/>
    <n v="705"/>
    <n v="320"/>
    <m/>
    <m/>
    <m/>
    <x v="1"/>
    <x v="15"/>
    <m/>
    <m/>
    <s v="MERIDIAN FIFTH PRINCIPAL, T10N, R26W"/>
    <s v="Sec.2, NWNE, NENW, SESW, SESE"/>
    <s v="Subject to BLM'S Privately-owned Surface Tracts Stipulations, Freshwater Aquatic Habitat Stipulation and Lease Notices/Best Management Practices Stipulations, plus BLM'S American Burying Beetle Stipulation, and BLM's Lease Notices/Best Management Practices for the American Burying Beetle - pesticide Use, and Bats"/>
    <m/>
    <m/>
  </r>
  <r>
    <s v="LAES56532"/>
    <x v="2"/>
    <x v="0"/>
    <d v="2010-12-09T00:00:00"/>
    <d v="2011-02-01T00:00:00"/>
    <x v="47"/>
    <n v="56.25"/>
    <x v="149"/>
    <x v="3"/>
    <m/>
    <n v="0.1"/>
    <n v="0.09"/>
    <n v="5"/>
    <n v="344.5"/>
    <m/>
    <n v="344.5"/>
    <n v="114"/>
    <m/>
    <m/>
    <m/>
    <x v="1"/>
    <x v="15"/>
    <m/>
    <m/>
    <s v="MERIDIAN LOUISIANA, T9N, R9W"/>
    <s v="Sec.24, Lots 1,2,3; T9N, R10W"/>
    <s v="Sec.19, SWNE. Subject to BLM'S Privately-owned Surface Tracts Stipulations, Freshwater Aquatic Habitat Stipulation and Lease Notices/Best Management Practices Stipulations"/>
    <m/>
    <m/>
  </r>
  <r>
    <s v="LAES56534"/>
    <x v="2"/>
    <x v="0"/>
    <d v="2010-12-09T00:00:00"/>
    <d v="2011-02-01T00:00:00"/>
    <x v="47"/>
    <n v="583.49"/>
    <x v="95"/>
    <x v="3"/>
    <m/>
    <n v="0.1"/>
    <n v="0.09"/>
    <n v="7"/>
    <n v="2189"/>
    <m/>
    <n v="2189"/>
    <n v="1168"/>
    <m/>
    <m/>
    <m/>
    <x v="1"/>
    <x v="15"/>
    <m/>
    <m/>
    <s v="MERIDIAN LOUISIANA, T13N, R4E"/>
    <s v="Sec.28, NENW. T14N, R4E "/>
    <s v="Sec.24, Lot 7; Sec.25, Lots 1 &amp; 3, E2,E2NW,NESW. Subject to BLM's Privately owned Surface Tracts Stipulations, Freshwater Aquatic Habitat Stipulation and Lease Notices/Best Management Practices Stipulations."/>
    <m/>
    <m/>
  </r>
  <r>
    <s v="LAES56537"/>
    <x v="2"/>
    <x v="0"/>
    <d v="2010-12-09T00:00:00"/>
    <d v="2011-02-01T00:00:00"/>
    <x v="47"/>
    <n v="55.5"/>
    <x v="12"/>
    <x v="3"/>
    <m/>
    <n v="0.1"/>
    <n v="0.09"/>
    <n v="10"/>
    <n v="341"/>
    <m/>
    <n v="341"/>
    <n v="112"/>
    <m/>
    <m/>
    <m/>
    <x v="1"/>
    <x v="15"/>
    <m/>
    <m/>
    <s v="MERIDIAN LOUISIANA, T17N, R10W"/>
    <s v="Sec.36, Lot 3"/>
    <s v="Subject to BLM's Privately-owned Surface Tracts Stipulations, Freshwater Aquatic Habitat Stipulation and Lease Notices/Best Management Practices Stipulations"/>
    <m/>
    <m/>
  </r>
  <r>
    <s v="LAES56538"/>
    <x v="2"/>
    <x v="0"/>
    <d v="2010-12-09T00:00:00"/>
    <d v="2011-02-01T00:00:00"/>
    <x v="47"/>
    <n v="213.97"/>
    <x v="12"/>
    <x v="3"/>
    <m/>
    <n v="0.1"/>
    <n v="0.09"/>
    <n v="11"/>
    <n v="894"/>
    <m/>
    <n v="894"/>
    <n v="428"/>
    <m/>
    <m/>
    <m/>
    <x v="1"/>
    <x v="15"/>
    <m/>
    <m/>
    <s v="MERIDIAN LOUISIANA, T17N, R10W"/>
    <s v="Sec.14, Lot 6-15 Sec.23, Lot 1"/>
    <s v="Subject to BLM's Privately-owned Surface Tracts Stipulations, Freshwater Aquatic Habitat Stipulation and Lease Notices/Best Management Practices Stipulations"/>
    <m/>
    <m/>
  </r>
  <r>
    <s v="LAES56539"/>
    <x v="2"/>
    <x v="0"/>
    <d v="2010-12-09T00:00:00"/>
    <d v="2011-02-01T00:00:00"/>
    <x v="47"/>
    <n v="39.93"/>
    <x v="150"/>
    <x v="3"/>
    <m/>
    <n v="0.1"/>
    <n v="0.09"/>
    <n v="12"/>
    <n v="285"/>
    <m/>
    <n v="285"/>
    <n v="80"/>
    <m/>
    <m/>
    <m/>
    <x v="1"/>
    <x v="15"/>
    <m/>
    <m/>
    <s v="MERIDIAN LOUISIANA, T17N, R11W"/>
    <s v="Sec.24, SESE"/>
    <s v="Subject to BLM's Privately-owned Surface Tracts Stipulations, Freshwater Aquatic Habitat Stipulation and Lease Notices/Best Management Practices Stipulations"/>
    <m/>
    <m/>
  </r>
  <r>
    <s v="LAES56546"/>
    <x v="2"/>
    <x v="0"/>
    <d v="2010-12-09T00:00:00"/>
    <d v="2011-02-01T00:00:00"/>
    <x v="47"/>
    <n v="287.04000000000002"/>
    <x v="95"/>
    <x v="3"/>
    <m/>
    <n v="0.1"/>
    <n v="0.09"/>
    <n v="19"/>
    <n v="1153"/>
    <m/>
    <n v="1153"/>
    <n v="576"/>
    <m/>
    <m/>
    <m/>
    <x v="1"/>
    <x v="15"/>
    <m/>
    <m/>
    <s v="MERIDIAN LOUISIANA, T13N, R4E"/>
    <s v="See attached records for land descriptions and stipulations"/>
    <m/>
    <m/>
    <m/>
  </r>
  <r>
    <s v="LAES56547"/>
    <x v="2"/>
    <x v="0"/>
    <d v="2010-12-09T00:00:00"/>
    <d v="2011-02-01T00:00:00"/>
    <x v="47"/>
    <n v="169.39"/>
    <x v="95"/>
    <x v="3"/>
    <m/>
    <n v="0.1"/>
    <n v="0.09"/>
    <n v="20"/>
    <n v="740"/>
    <m/>
    <n v="740"/>
    <n v="340"/>
    <m/>
    <m/>
    <m/>
    <x v="1"/>
    <x v="15"/>
    <m/>
    <m/>
    <s v="MERIDIAN LOUISIANA, T13N, R4E"/>
    <s v="See attached records for land descriptions and stipulations"/>
    <m/>
    <m/>
    <m/>
  </r>
  <r>
    <s v="LAES56548"/>
    <x v="2"/>
    <x v="0"/>
    <d v="2010-12-09T00:00:00"/>
    <d v="2011-02-01T00:00:00"/>
    <x v="47"/>
    <n v="278.82"/>
    <x v="151"/>
    <x v="3"/>
    <m/>
    <n v="0.1"/>
    <n v="0.09"/>
    <n v="21"/>
    <n v="1121.5"/>
    <m/>
    <n v="1121.5"/>
    <n v="558"/>
    <m/>
    <m/>
    <m/>
    <x v="1"/>
    <x v="15"/>
    <m/>
    <m/>
    <s v="MERIDIAN LOUISIANA, T10N, R5W"/>
    <s v="Sec.8, Tract C-107 in SESW; S2SE; Sec.19 N2SE; Sec.20 NESW; SWSW."/>
    <s v="Subject to F.S. No Surface Occupancy Stipulation #1 (Sec.8) Subject to F.S. Controlled Surface Use Stipulation #1 (Sec.19 &amp; 20) Subject to F.S. Lease Notice No.3 Subject to F.S. l"/>
    <m/>
    <m/>
  </r>
  <r>
    <s v="LAES56551"/>
    <x v="2"/>
    <x v="0"/>
    <d v="2010-12-09T00:00:00"/>
    <d v="2011-02-01T00:00:00"/>
    <x v="47"/>
    <n v="158.44"/>
    <x v="151"/>
    <x v="3"/>
    <m/>
    <n v="0.1"/>
    <n v="0.09"/>
    <n v="24"/>
    <n v="701.5"/>
    <m/>
    <n v="701.5"/>
    <n v="318"/>
    <m/>
    <m/>
    <m/>
    <x v="1"/>
    <x v="15"/>
    <m/>
    <m/>
    <s v="MERIDIAN LOUISIANA, T13N, R6W"/>
    <s v="Sec.5, S2NENE; SENE; W2NESE; S2SE"/>
    <s v="Subject to F.S. Controlled  Surface use Stipulation #1. Subject to F.S. Lease No 3 and 4."/>
    <m/>
    <m/>
  </r>
  <r>
    <s v="MIES56552"/>
    <x v="2"/>
    <x v="0"/>
    <d v="2010-12-09T00:00:00"/>
    <d v="2011-02-01T00:00:00"/>
    <x v="47"/>
    <n v="245"/>
    <x v="152"/>
    <x v="9"/>
    <m/>
    <n v="0.1"/>
    <n v="0.09"/>
    <n v="25"/>
    <n v="1002.5"/>
    <m/>
    <n v="1002.5"/>
    <n v="490"/>
    <m/>
    <m/>
    <m/>
    <x v="61"/>
    <x v="15"/>
    <m/>
    <m/>
    <s v="MERIDIAN MICHIGAN, T16N, R15W"/>
    <s v="Sec.21, W2NE, W2SWSENE, SE"/>
    <s v="Subject to F.S. Standard Lease Stipulations . Subject to F.S.Lease Notices #1, #2, #3, #6. Lease Stipulation #2 applies to Sec.21, S2NENWSE,N2SENWSE,E2SWNWSE, S2NWNESE,N2SWNESE. Lease Stipulation #3 applies to Sec.21, NWNE,N2N2SWNE,SWSWSE,S2BWSWSE, S2SWSESE Lease Stipulation #9 applies to all lands"/>
    <m/>
    <m/>
  </r>
  <r>
    <s v="MSES56556"/>
    <x v="2"/>
    <x v="0"/>
    <d v="2010-12-09T00:00:00"/>
    <d v="2011-02-01T00:00:00"/>
    <x v="47"/>
    <n v="65.05"/>
    <x v="38"/>
    <x v="4"/>
    <m/>
    <n v="0.1"/>
    <n v="0.09"/>
    <n v="29"/>
    <n v="5524"/>
    <m/>
    <n v="5524"/>
    <n v="132"/>
    <m/>
    <m/>
    <m/>
    <x v="1"/>
    <x v="15"/>
    <m/>
    <m/>
    <s v="MERIDIAN WASHINGTON, T6N, R5E"/>
    <s v="Subject to BLM's Privately-owned Surface Tracts Stipulations, Freshwater Aquatic Habitat Stipulation and Lease Notices/Best Management Practices Stipulations "/>
    <m/>
    <m/>
    <m/>
  </r>
  <r>
    <s v="MSES56557"/>
    <x v="2"/>
    <x v="0"/>
    <d v="2010-12-09T00:00:00"/>
    <d v="2011-02-01T00:00:00"/>
    <x v="47"/>
    <n v="29.4"/>
    <x v="38"/>
    <x v="4"/>
    <m/>
    <n v="0.1"/>
    <n v="0.09"/>
    <n v="30"/>
    <n v="4090"/>
    <m/>
    <n v="4090"/>
    <n v="60"/>
    <m/>
    <m/>
    <m/>
    <x v="1"/>
    <x v="15"/>
    <m/>
    <m/>
    <s v="MERIDIAN WASHINGTON, T7N, R5E"/>
    <s v="Subject to BLM's Privately-owned Surface Tracts Stipulations, Freshwater Aquatic Habitat Stipulation and Lease Notices/Best Management Practices Stipulations "/>
    <m/>
    <m/>
    <m/>
  </r>
  <r>
    <m/>
    <x v="1"/>
    <x v="1"/>
    <m/>
    <m/>
    <x v="1"/>
    <m/>
    <x v="1"/>
    <x v="1"/>
    <m/>
    <m/>
    <m/>
    <m/>
    <n v="20396"/>
    <m/>
    <n v="20396"/>
    <m/>
    <m/>
    <m/>
    <m/>
    <x v="1"/>
    <x v="1"/>
    <m/>
    <m/>
    <m/>
    <m/>
    <m/>
    <m/>
    <m/>
  </r>
  <r>
    <m/>
    <x v="1"/>
    <x v="1"/>
    <m/>
    <m/>
    <x v="1"/>
    <m/>
    <x v="1"/>
    <x v="1"/>
    <m/>
    <m/>
    <m/>
    <m/>
    <m/>
    <m/>
    <m/>
    <m/>
    <m/>
    <m/>
    <m/>
    <x v="1"/>
    <x v="1"/>
    <m/>
    <m/>
    <m/>
    <m/>
    <m/>
    <m/>
    <m/>
  </r>
  <r>
    <m/>
    <x v="1"/>
    <x v="1"/>
    <m/>
    <m/>
    <x v="1"/>
    <m/>
    <x v="1"/>
    <x v="1"/>
    <m/>
    <m/>
    <m/>
    <m/>
    <m/>
    <m/>
    <m/>
    <m/>
    <m/>
    <m/>
    <m/>
    <x v="1"/>
    <x v="1"/>
    <m/>
    <m/>
    <m/>
    <m/>
    <m/>
    <m/>
    <m/>
  </r>
  <r>
    <m/>
    <x v="1"/>
    <x v="1"/>
    <m/>
    <m/>
    <x v="1"/>
    <m/>
    <x v="1"/>
    <x v="1"/>
    <m/>
    <m/>
    <m/>
    <s v="BALANCE 12-31-2010"/>
    <m/>
    <m/>
    <n v="19960803.5"/>
    <m/>
    <m/>
    <m/>
    <m/>
    <x v="1"/>
    <x v="1"/>
    <m/>
    <m/>
    <m/>
    <m/>
    <m/>
    <m/>
    <m/>
  </r>
  <r>
    <m/>
    <x v="1"/>
    <x v="1"/>
    <s v="EXPIRED LEASES WRITTEN OFF IN 2010"/>
    <m/>
    <x v="1"/>
    <m/>
    <x v="1"/>
    <x v="1"/>
    <m/>
    <m/>
    <m/>
    <m/>
    <m/>
    <m/>
    <n v="-313523"/>
    <m/>
    <m/>
    <m/>
    <m/>
    <x v="1"/>
    <x v="1"/>
    <m/>
    <m/>
    <m/>
    <m/>
    <m/>
    <m/>
    <m/>
  </r>
  <r>
    <s v="ARES54411"/>
    <x v="0"/>
    <x v="0"/>
    <s v="REFUNDED BY BLM 8/2010"/>
    <m/>
    <x v="1"/>
    <m/>
    <x v="1"/>
    <x v="1"/>
    <n v="0.5"/>
    <m/>
    <m/>
    <m/>
    <m/>
    <m/>
    <n v="-1905"/>
    <m/>
    <m/>
    <m/>
    <m/>
    <x v="1"/>
    <x v="1"/>
    <m/>
    <m/>
    <m/>
    <m/>
    <m/>
    <m/>
    <m/>
  </r>
  <r>
    <s v="OHES56260"/>
    <x v="2"/>
    <x v="0"/>
    <s v="REFUNDED BY BLM 11/2010"/>
    <m/>
    <x v="1"/>
    <m/>
    <x v="1"/>
    <x v="1"/>
    <m/>
    <n v="0.18179999999999999"/>
    <m/>
    <m/>
    <m/>
    <m/>
    <n v="-280"/>
    <m/>
    <m/>
    <m/>
    <m/>
    <x v="1"/>
    <x v="1"/>
    <m/>
    <m/>
    <m/>
    <m/>
    <m/>
    <m/>
    <m/>
  </r>
  <r>
    <s v="VRS"/>
    <x v="1"/>
    <x v="0"/>
    <s v="NET CREDITS NOT ANALYZED"/>
    <m/>
    <x v="1"/>
    <m/>
    <x v="1"/>
    <x v="1"/>
    <m/>
    <m/>
    <m/>
    <m/>
    <m/>
    <m/>
    <n v="-197.5"/>
    <m/>
    <m/>
    <m/>
    <m/>
    <x v="1"/>
    <x v="1"/>
    <m/>
    <m/>
    <m/>
    <m/>
    <m/>
    <m/>
    <m/>
  </r>
  <r>
    <m/>
    <x v="1"/>
    <x v="1"/>
    <m/>
    <m/>
    <x v="1"/>
    <m/>
    <x v="1"/>
    <x v="1"/>
    <m/>
    <m/>
    <m/>
    <m/>
    <m/>
    <m/>
    <m/>
    <m/>
    <m/>
    <m/>
    <m/>
    <x v="1"/>
    <x v="1"/>
    <m/>
    <m/>
    <m/>
    <m/>
    <m/>
    <m/>
    <m/>
  </r>
  <r>
    <m/>
    <x v="1"/>
    <x v="1"/>
    <m/>
    <m/>
    <x v="1"/>
    <m/>
    <x v="1"/>
    <x v="1"/>
    <m/>
    <m/>
    <m/>
    <m/>
    <m/>
    <m/>
    <m/>
    <m/>
    <m/>
    <m/>
    <m/>
    <x v="1"/>
    <x v="1"/>
    <m/>
    <m/>
    <m/>
    <m/>
    <m/>
    <m/>
    <m/>
  </r>
  <r>
    <m/>
    <x v="1"/>
    <x v="1"/>
    <s v="AGREES WITH G/L"/>
    <m/>
    <x v="1"/>
    <m/>
    <x v="1"/>
    <x v="1"/>
    <m/>
    <m/>
    <m/>
    <s v="BALANCE 12-31-2010"/>
    <m/>
    <n v="20111"/>
    <n v="19644898"/>
    <m/>
    <m/>
    <m/>
    <m/>
    <x v="1"/>
    <x v="1"/>
    <m/>
    <m/>
    <m/>
    <m/>
    <m/>
    <m/>
    <m/>
  </r>
  <r>
    <m/>
    <x v="1"/>
    <x v="1"/>
    <m/>
    <m/>
    <x v="1"/>
    <m/>
    <x v="1"/>
    <x v="1"/>
    <m/>
    <m/>
    <m/>
    <m/>
    <m/>
    <m/>
    <m/>
    <m/>
    <m/>
    <m/>
    <m/>
    <x v="1"/>
    <x v="1"/>
    <m/>
    <m/>
    <m/>
    <m/>
    <m/>
    <m/>
    <m/>
  </r>
  <r>
    <m/>
    <x v="1"/>
    <x v="1"/>
    <m/>
    <m/>
    <x v="1"/>
    <m/>
    <x v="1"/>
    <x v="1"/>
    <m/>
    <m/>
    <m/>
    <m/>
    <m/>
    <m/>
    <m/>
    <m/>
    <m/>
    <m/>
    <m/>
    <x v="1"/>
    <x v="1"/>
    <m/>
    <m/>
    <m/>
    <m/>
    <m/>
    <m/>
    <m/>
  </r>
  <r>
    <s v="NMNM126069"/>
    <x v="2"/>
    <x v="0"/>
    <d v="2011-01-19T00:00:00"/>
    <d v="2011-03-01T00:00:00"/>
    <x v="48"/>
    <n v="320"/>
    <x v="153"/>
    <x v="7"/>
    <m/>
    <n v="0.1"/>
    <n v="0.09"/>
    <m/>
    <m/>
    <m/>
    <n v="12785"/>
    <n v="640"/>
    <m/>
    <m/>
    <m/>
    <x v="1"/>
    <x v="15"/>
    <m/>
    <m/>
    <s v="MERIDIAN NMPM, T0040S, R0330E"/>
    <s v="Sec.014 S2;"/>
    <m/>
    <m/>
    <m/>
  </r>
  <r>
    <s v="NMNM126070"/>
    <x v="2"/>
    <x v="0"/>
    <d v="2011-01-19T00:00:00"/>
    <d v="2011-03-01T00:00:00"/>
    <x v="48"/>
    <n v="152.34"/>
    <x v="116"/>
    <x v="7"/>
    <m/>
    <n v="0.1"/>
    <n v="0.09"/>
    <m/>
    <m/>
    <m/>
    <n v="5270.5"/>
    <n v="306"/>
    <m/>
    <m/>
    <m/>
    <x v="1"/>
    <x v="15"/>
    <m/>
    <m/>
    <s v="MERIDIAN NMPM, T0100N, R0370E"/>
    <s v="Sec.005 LOTS 1.3-5; 008 LOTS 1-4; 017 LOTS 1;"/>
    <m/>
    <m/>
    <m/>
  </r>
  <r>
    <s v="NMNM126071"/>
    <x v="2"/>
    <x v="0"/>
    <d v="2011-01-19T00:00:00"/>
    <d v="2011-03-01T00:00:00"/>
    <x v="48"/>
    <n v="1004.52"/>
    <x v="116"/>
    <x v="7"/>
    <m/>
    <n v="0.1"/>
    <n v="0.09"/>
    <m/>
    <m/>
    <m/>
    <n v="35822.5"/>
    <n v="2010"/>
    <m/>
    <m/>
    <m/>
    <x v="1"/>
    <x v="15"/>
    <m/>
    <m/>
    <s v="MERIDIAN NMPM, T0100N, R0370E"/>
    <s v="Sec.017 LOT 4, SWSW; 018 S2S2; 019 NENE; 020 LOTS 1-4 NWNW; 029 LOTS 1-4, SWSW; 030 S2S2; 031 N2, NESE;"/>
    <m/>
    <m/>
    <m/>
  </r>
  <r>
    <s v="NMNM126072"/>
    <x v="2"/>
    <x v="0"/>
    <d v="2011-01-19T00:00:00"/>
    <d v="2011-03-01T00:00:00"/>
    <x v="48"/>
    <n v="40"/>
    <x v="116"/>
    <x v="7"/>
    <m/>
    <n v="0.1"/>
    <n v="0.09"/>
    <m/>
    <m/>
    <m/>
    <n v="1565"/>
    <n v="80"/>
    <m/>
    <m/>
    <m/>
    <x v="1"/>
    <x v="15"/>
    <m/>
    <m/>
    <s v="MERIDIAN NMPM, T0100N, R0370E"/>
    <s v="Sec. 030 SWNE;"/>
    <m/>
    <m/>
    <m/>
  </r>
  <r>
    <s v="NMNM126073"/>
    <x v="2"/>
    <x v="0"/>
    <d v="2011-01-19T00:00:00"/>
    <d v="2011-03-01T00:00:00"/>
    <x v="48"/>
    <n v="1420.87"/>
    <x v="47"/>
    <x v="7"/>
    <m/>
    <n v="0.1"/>
    <n v="0.09"/>
    <m/>
    <m/>
    <m/>
    <n v="194111.5"/>
    <n v="2842"/>
    <m/>
    <m/>
    <m/>
    <x v="1"/>
    <x v="15"/>
    <m/>
    <m/>
    <s v="MERIDIAN NMPM, T0200N, R0050W"/>
    <s v="Sec. 005 LOTS 1,2; 005 S2NE, SE; 007 LOTS 1-4; 007 E2,E2W2; 008 N2; 009 NW;"/>
    <m/>
    <m/>
    <m/>
  </r>
  <r>
    <s v="NMNM126074"/>
    <x v="2"/>
    <x v="0"/>
    <d v="2011-01-19T00:00:00"/>
    <d v="2011-03-01T00:00:00"/>
    <x v="48"/>
    <n v="240"/>
    <x v="47"/>
    <x v="7"/>
    <m/>
    <n v="0.1"/>
    <n v="0.09"/>
    <m/>
    <m/>
    <m/>
    <n v="24505"/>
    <n v="480"/>
    <m/>
    <m/>
    <m/>
    <x v="1"/>
    <x v="15"/>
    <m/>
    <m/>
    <s v="MERIDIAN NMPM, T0200N, R0050W"/>
    <s v="Sec. 022 NW, N2SW;"/>
    <m/>
    <m/>
    <m/>
  </r>
  <r>
    <s v="TXNM126082"/>
    <x v="2"/>
    <x v="0"/>
    <d v="2011-01-19T00:00:00"/>
    <d v="2011-03-01T00:00:00"/>
    <x v="48"/>
    <n v="274.89"/>
    <x v="5"/>
    <x v="0"/>
    <m/>
    <n v="0.1"/>
    <n v="0.09"/>
    <m/>
    <m/>
    <m/>
    <n v="110557.5"/>
    <n v="550"/>
    <m/>
    <m/>
    <m/>
    <x v="1"/>
    <x v="15"/>
    <m/>
    <m/>
    <s v="NONE GIVEN"/>
    <s v="Tract K-1-II, Parcel 8; "/>
    <s v="SEE ATTACHMENT FOR METES &amp; BOUNDS WITH MAP;"/>
    <s v="YES"/>
    <m/>
  </r>
  <r>
    <m/>
    <x v="1"/>
    <x v="1"/>
    <m/>
    <m/>
    <x v="1"/>
    <m/>
    <x v="1"/>
    <x v="1"/>
    <m/>
    <m/>
    <m/>
    <m/>
    <m/>
    <m/>
    <n v="384617"/>
    <m/>
    <m/>
    <m/>
    <m/>
    <x v="1"/>
    <x v="1"/>
    <m/>
    <m/>
    <m/>
    <m/>
    <m/>
    <m/>
    <m/>
  </r>
  <r>
    <m/>
    <x v="1"/>
    <x v="1"/>
    <m/>
    <m/>
    <x v="1"/>
    <m/>
    <x v="1"/>
    <x v="1"/>
    <m/>
    <m/>
    <m/>
    <s v="AXP CHARGES"/>
    <n v="13104"/>
    <n v="85896"/>
    <n v="99000"/>
    <m/>
    <m/>
    <m/>
    <m/>
    <x v="1"/>
    <x v="1"/>
    <m/>
    <m/>
    <m/>
    <m/>
    <m/>
    <m/>
    <m/>
  </r>
  <r>
    <m/>
    <x v="1"/>
    <x v="1"/>
    <m/>
    <m/>
    <x v="1"/>
    <m/>
    <x v="1"/>
    <x v="1"/>
    <m/>
    <m/>
    <m/>
    <s v="CK. #3318"/>
    <m/>
    <n v="285617"/>
    <n v="285617"/>
    <m/>
    <m/>
    <m/>
    <m/>
    <x v="1"/>
    <x v="1"/>
    <m/>
    <m/>
    <m/>
    <m/>
    <m/>
    <m/>
    <m/>
  </r>
  <r>
    <m/>
    <x v="1"/>
    <x v="1"/>
    <m/>
    <m/>
    <x v="1"/>
    <m/>
    <x v="1"/>
    <x v="1"/>
    <m/>
    <m/>
    <m/>
    <m/>
    <m/>
    <m/>
    <n v="384617"/>
    <m/>
    <m/>
    <m/>
    <m/>
    <x v="1"/>
    <x v="1"/>
    <m/>
    <m/>
    <m/>
    <m/>
    <m/>
    <m/>
    <m/>
  </r>
  <r>
    <m/>
    <x v="1"/>
    <x v="1"/>
    <m/>
    <m/>
    <x v="1"/>
    <m/>
    <x v="1"/>
    <x v="1"/>
    <m/>
    <m/>
    <m/>
    <m/>
    <m/>
    <m/>
    <m/>
    <m/>
    <m/>
    <m/>
    <m/>
    <x v="1"/>
    <x v="1"/>
    <m/>
    <m/>
    <m/>
    <m/>
    <m/>
    <m/>
    <m/>
  </r>
  <r>
    <s v="LAES53371"/>
    <x v="0"/>
    <x v="0"/>
    <d v="2005-03-24T00:00:00"/>
    <d v="2005-06-01T00:00:00"/>
    <x v="49"/>
    <n v="102.45"/>
    <x v="154"/>
    <x v="3"/>
    <m/>
    <n v="0.1"/>
    <n v="0.09"/>
    <m/>
    <m/>
    <m/>
    <n v="1536.75"/>
    <n v="206"/>
    <m/>
    <m/>
    <m/>
    <x v="90"/>
    <x v="9"/>
    <m/>
    <m/>
    <m/>
    <s v="SEC 17, SENE; SEC 19, E2SWSW; SEC 22, SEE LSE; SEC 27, NWSW"/>
    <m/>
    <m/>
    <m/>
  </r>
  <r>
    <s v="LAES53372"/>
    <x v="0"/>
    <x v="0"/>
    <d v="2005-03-24T00:00:00"/>
    <d v="2005-06-01T00:00:00"/>
    <x v="49"/>
    <n v="912.84"/>
    <x v="154"/>
    <x v="3"/>
    <m/>
    <n v="0.1"/>
    <n v="0.09"/>
    <m/>
    <m/>
    <m/>
    <n v="13692.6"/>
    <n v="1826"/>
    <m/>
    <m/>
    <m/>
    <x v="90"/>
    <x v="9"/>
    <m/>
    <m/>
    <m/>
    <s v="SEC 30, NE,N2SE,SESE; SEC 31, NENE,S2NE,NW,SE"/>
    <m/>
    <m/>
    <m/>
  </r>
  <r>
    <m/>
    <x v="1"/>
    <x v="1"/>
    <m/>
    <m/>
    <x v="1"/>
    <m/>
    <x v="1"/>
    <x v="1"/>
    <m/>
    <m/>
    <m/>
    <m/>
    <m/>
    <m/>
    <n v="15229.35"/>
    <m/>
    <m/>
    <m/>
    <m/>
    <x v="91"/>
    <x v="1"/>
    <m/>
    <m/>
    <m/>
    <m/>
    <m/>
    <m/>
    <m/>
  </r>
  <r>
    <m/>
    <x v="1"/>
    <x v="1"/>
    <m/>
    <m/>
    <x v="1"/>
    <m/>
    <x v="1"/>
    <x v="1"/>
    <m/>
    <m/>
    <m/>
    <m/>
    <m/>
    <m/>
    <m/>
    <m/>
    <m/>
    <m/>
    <m/>
    <x v="1"/>
    <x v="1"/>
    <m/>
    <m/>
    <m/>
    <m/>
    <m/>
    <m/>
    <m/>
  </r>
  <r>
    <m/>
    <x v="1"/>
    <x v="1"/>
    <m/>
    <m/>
    <x v="1"/>
    <m/>
    <x v="1"/>
    <x v="1"/>
    <m/>
    <m/>
    <m/>
    <m/>
    <m/>
    <m/>
    <m/>
    <m/>
    <m/>
    <m/>
    <m/>
    <x v="1"/>
    <x v="1"/>
    <m/>
    <m/>
    <m/>
    <m/>
    <m/>
    <m/>
    <m/>
  </r>
  <r>
    <s v="ALES56628"/>
    <x v="2"/>
    <x v="0"/>
    <d v="2011-03-17T00:00:00"/>
    <d v="2011-05-01T00:00:00"/>
    <x v="50"/>
    <n v="507.45"/>
    <x v="24"/>
    <x v="6"/>
    <m/>
    <n v="0.1"/>
    <n v="0.09"/>
    <m/>
    <n v="1923"/>
    <n v="9144"/>
    <n v="11067"/>
    <n v="762"/>
    <m/>
    <m/>
    <m/>
    <x v="59"/>
    <x v="15"/>
    <m/>
    <m/>
    <s v="MERIDIAN ST.STEPHENS T1N, R14E"/>
    <s v="SEC.11, NW; SEC.12, SWNE, NENW, NWSE, SESW; SEC.13, NE, NENW"/>
    <s v="SUBJECT TP F.S. LEASE NOTICE NOS. 3 AND 4"/>
    <m/>
    <m/>
  </r>
  <r>
    <s v="ALES56636"/>
    <x v="2"/>
    <x v="0"/>
    <d v="2011-03-17T00:00:00"/>
    <d v="2011-05-01T00:00:00"/>
    <x v="50"/>
    <n v="734.12"/>
    <x v="155"/>
    <x v="6"/>
    <m/>
    <n v="0.1"/>
    <n v="0.09"/>
    <m/>
    <n v="2717.5"/>
    <m/>
    <n v="2717.5"/>
    <n v="1102.5"/>
    <m/>
    <m/>
    <m/>
    <x v="1"/>
    <x v="15"/>
    <m/>
    <m/>
    <s v="MERIDIAN ST.STEPHENS T23N, R7E"/>
    <s v="SEC.1, SESE, W2SW; SEC.2, All except that part of Tract o-695a lying in the NENE containing 19.85 acres. 734.12 Acres "/>
    <s v="SUBJECT TO F.S. LEASE NOTICES NO.3"/>
    <m/>
    <m/>
  </r>
  <r>
    <s v="ALES56637"/>
    <x v="2"/>
    <x v="0"/>
    <d v="2011-03-17T00:00:00"/>
    <d v="2011-05-01T00:00:00"/>
    <x v="50"/>
    <n v="34.549999999999997"/>
    <x v="155"/>
    <x v="6"/>
    <m/>
    <n v="0.1"/>
    <n v="0.09"/>
    <m/>
    <n v="267.5"/>
    <m/>
    <n v="267.5"/>
    <n v="52.5"/>
    <m/>
    <m/>
    <m/>
    <x v="1"/>
    <x v="15"/>
    <m/>
    <m/>
    <s v="MERIDIAN ST.STEPHENS T23N, R7E"/>
    <s v="Sec.1, That part of Tract U-153e lying in the NW corner of Sec.1 containg 14.70 acres; Sec.2, that part of Tract O-695a lying in the NENE containing 19.85 acres"/>
    <s v="SUBJECT TO F.S. LEASE NOTICE NO.3"/>
    <m/>
    <m/>
  </r>
  <r>
    <s v="ARES56639"/>
    <x v="2"/>
    <x v="0"/>
    <d v="2011-03-17T00:00:00"/>
    <d v="2011-05-01T00:00:00"/>
    <x v="50"/>
    <n v="558.03"/>
    <x v="27"/>
    <x v="2"/>
    <m/>
    <n v="0.1"/>
    <n v="0.09"/>
    <m/>
    <n v="2101.5"/>
    <m/>
    <n v="2101.5"/>
    <n v="838.5"/>
    <m/>
    <m/>
    <m/>
    <x v="1"/>
    <x v="15"/>
    <m/>
    <m/>
    <s v="MERIDIAN 5TH PRINCIPAL T3N, R28W"/>
    <s v="Sec.13, N2; Sec.14, E2NE,SWNE,NWNW; Sec.15, NENE,E2NWNE, Tract A-1682 in SENE(18.03 acs)"/>
    <s v="SUBJECT TO F.S. LEASE NOTICE NO.4"/>
    <m/>
    <m/>
  </r>
  <r>
    <s v="ARES56640"/>
    <x v="2"/>
    <x v="0"/>
    <d v="2011-03-17T00:00:00"/>
    <d v="2011-05-01T00:00:00"/>
    <x v="50"/>
    <n v="12.4"/>
    <x v="27"/>
    <x v="2"/>
    <m/>
    <n v="0.1"/>
    <n v="0.09"/>
    <m/>
    <n v="190.5"/>
    <m/>
    <n v="190.5"/>
    <n v="19.5"/>
    <m/>
    <m/>
    <m/>
    <x v="1"/>
    <x v="15"/>
    <m/>
    <m/>
    <s v="MERIDIAN 5TH PRINCIPAL T3N, R28W"/>
    <s v="Sec.27, Partial NENW. "/>
    <s v="SUBJECT TO FS LEASE NOTICES NO.3 &amp; 4 FS NO SURFACE AND OCCUPANCY STIPULATION #2"/>
    <m/>
    <m/>
  </r>
  <r>
    <s v="ARES56641"/>
    <x v="2"/>
    <x v="0"/>
    <d v="2011-03-17T00:00:00"/>
    <d v="2011-05-01T00:00:00"/>
    <x v="50"/>
    <n v="157.47"/>
    <x v="27"/>
    <x v="2"/>
    <m/>
    <n v="0.1"/>
    <n v="0.09"/>
    <m/>
    <n v="698"/>
    <m/>
    <n v="698"/>
    <n v="237"/>
    <m/>
    <m/>
    <m/>
    <x v="1"/>
    <x v="15"/>
    <m/>
    <m/>
    <s v="MERIDIAN 5TH PRINCIPAL T3N, R30W"/>
    <s v="Sec.3, fr. W2NW less and except a 3.6 acre parcel described as follows: beginning 8 rods south of the NE corner of the NWNW; thence running south 72 rods; thence West 8 rods; thence North 72 rods; thence East 8 rods to place of beginning; sec.6, SENW, fr. W2NW"/>
    <s v="SUBJECT TO FS LEASE NOTICES NO.3 &amp; 4 FS CONTROLLED SURFACE USE STIPULATION #1"/>
    <m/>
    <m/>
  </r>
  <r>
    <s v="ARES56642"/>
    <x v="2"/>
    <x v="0"/>
    <d v="2011-03-17T00:00:00"/>
    <d v="2011-05-01T00:00:00"/>
    <x v="50"/>
    <n v="40"/>
    <x v="27"/>
    <x v="2"/>
    <m/>
    <n v="0.1"/>
    <n v="0.09"/>
    <m/>
    <n v="285"/>
    <n v="852"/>
    <n v="1137"/>
    <n v="60"/>
    <m/>
    <m/>
    <m/>
    <x v="1"/>
    <x v="15"/>
    <m/>
    <m/>
    <s v="MERIDIAN 5TH PRINCIPAL T3N, R30W"/>
    <s v="Sec. 16, SWSW"/>
    <s v="Subject to FS Lease Notices No.3 &amp; 4; FS CONTROLLED SURFACE USE STIPULATION #1"/>
    <m/>
    <m/>
  </r>
  <r>
    <s v="ARES56644"/>
    <x v="2"/>
    <x v="0"/>
    <d v="2011-03-17T00:00:00"/>
    <d v="2011-05-01T00:00:00"/>
    <x v="50"/>
    <n v="522.16999999999996"/>
    <x v="27"/>
    <x v="2"/>
    <m/>
    <n v="0.1"/>
    <n v="0.09"/>
    <m/>
    <n v="1975.5"/>
    <n v="2092"/>
    <n v="4067.5"/>
    <n v="784.5"/>
    <m/>
    <m/>
    <m/>
    <x v="1"/>
    <x v="15"/>
    <m/>
    <m/>
    <s v="MERIDIAN 5TH PRINCIPAL T3N, R30W"/>
    <s v="Sec. 30 Fr. S2SW; Sec.31; W2E2, NENE, fr.W2"/>
    <s v="SUBJECT TO FS LEASE NOTICES NO. 3 &amp; 4 ; FS CONTROLLED SURFACE STIPULATION #1; FS NO SURFACE AND OCCUPANCY STIPULATION #2(SEC.30)"/>
    <m/>
    <m/>
  </r>
  <r>
    <s v="ARES56645"/>
    <x v="2"/>
    <x v="0"/>
    <d v="2011-03-17T00:00:00"/>
    <d v="2011-05-01T00:00:00"/>
    <x v="50"/>
    <n v="767.1"/>
    <x v="27"/>
    <x v="2"/>
    <m/>
    <n v="0.1"/>
    <n v="0.09"/>
    <m/>
    <n v="2833"/>
    <n v="3072"/>
    <n v="5905"/>
    <n v="1152"/>
    <m/>
    <m/>
    <m/>
    <x v="1"/>
    <x v="15"/>
    <m/>
    <m/>
    <s v="MERIDIAN 5TH PRINCIPAL T3N, R30W"/>
    <s v="Sec.2 Fr. N2N2; Sec.4, fr. NE; sec.5, fr. NW, Fr. W2NE( part of tract A-5672), SENE (part of tract A-5672), partial NWSE (part of tract A-5672); Sec.6 Fr. NENW, Fr. N2NE"/>
    <s v="SUBJECT TO FS LEASE NOTICES NO. 3 &amp; 4 ; FS CONTROLLED SURFACE USE STIPULATION #1"/>
    <m/>
    <m/>
  </r>
  <r>
    <s v="ARES56647"/>
    <x v="2"/>
    <x v="0"/>
    <d v="2011-03-17T00:00:00"/>
    <d v="2011-05-01T00:00:00"/>
    <x v="50"/>
    <n v="358.3"/>
    <x v="27"/>
    <x v="2"/>
    <m/>
    <n v="0.1"/>
    <n v="0.09"/>
    <m/>
    <n v="1401.5"/>
    <n v="1436"/>
    <n v="2837.5"/>
    <n v="538.5"/>
    <m/>
    <m/>
    <m/>
    <x v="1"/>
    <x v="15"/>
    <m/>
    <m/>
    <s v="MERIDIAN 5TH PRINCIPAL T3N, R30W"/>
    <s v="Sec.30, NENE, S2NE, fr. NWNW, W2NENW, Tract A-785 in the SWNW; Sec.31, NESE; Sec.32 , N2NW, N2NWNE, NWSW. "/>
    <s v="SUBJECT TO: FS LEASE NOTICES NO. 3 &amp; 4; FS CONTROLLED SURFACE USE STIPULATION #1; FS NO SURFACE AND OCCUPANCY STIPULATION #2 (SEC.30, NENE, S2NE, FR.NWNW, W2NENW)"/>
    <m/>
    <m/>
  </r>
  <r>
    <s v="ARES56652"/>
    <x v="2"/>
    <x v="0"/>
    <d v="2011-03-17T00:00:00"/>
    <d v="2011-05-01T00:00:00"/>
    <x v="50"/>
    <n v="80"/>
    <x v="27"/>
    <x v="2"/>
    <m/>
    <n v="0.1"/>
    <n v="0.09"/>
    <m/>
    <n v="425"/>
    <m/>
    <n v="425"/>
    <n v="120"/>
    <m/>
    <m/>
    <m/>
    <x v="1"/>
    <x v="15"/>
    <m/>
    <m/>
    <s v="MERIDIAN 5TH PRINCIPAL T3N, R31W"/>
    <s v="Sec.36, E2NE"/>
    <s v="SUBJECT TO: FS LEASE NOTICES NO.3 &amp; 4; FS CONTROLLED SURFACE USE STIPULATION #1c"/>
    <m/>
    <m/>
  </r>
  <r>
    <s v="ARES56654"/>
    <x v="2"/>
    <x v="0"/>
    <d v="2011-03-17T00:00:00"/>
    <d v="2011-05-01T00:00:00"/>
    <x v="50"/>
    <n v="62.454999999999998"/>
    <x v="73"/>
    <x v="2"/>
    <m/>
    <n v="0.1"/>
    <n v="0.09"/>
    <m/>
    <n v="365.5"/>
    <n v="126"/>
    <n v="491.5"/>
    <n v="94.5"/>
    <m/>
    <m/>
    <m/>
    <x v="1"/>
    <x v="15"/>
    <m/>
    <m/>
    <s v="MERIDIAN 5TH PRINCIPAL T11N, R17W"/>
    <s v="Sec. 30, S2SWSW; Sec.31, NWNW"/>
    <s v="SUBJECT TO FS LEASE NOTICES NO.3 &amp;4 ; FS CONTROLLED SURFACE USE STIPULATION #1; FS CONTROLLED SURFACE USE STIPULATION #1B. "/>
    <m/>
    <m/>
  </r>
  <r>
    <s v="ARES56657"/>
    <x v="2"/>
    <x v="0"/>
    <d v="2011-03-17T00:00:00"/>
    <d v="2011-05-01T00:00:00"/>
    <x v="50"/>
    <n v="79"/>
    <x v="73"/>
    <x v="2"/>
    <m/>
    <n v="0.1"/>
    <n v="0.09"/>
    <m/>
    <n v="421.5"/>
    <n v="316"/>
    <n v="737.5"/>
    <n v="118.5"/>
    <m/>
    <m/>
    <m/>
    <x v="1"/>
    <x v="15"/>
    <m/>
    <m/>
    <s v="MERIDIAN 5TH PRINCIPAL T11N, R18W"/>
    <s v="Sec. 7, SWNW and NWSW less 1 acre"/>
    <s v="SUBJECT TO: FS LEASE NOTICES NO.3; THE LANDS DESCRIBED ABOVE ARE FULLY COMMITTED TO EXPLORATORY UNIT AGREEMENT ARES 55699X, APPROVED MAY 27, 2009 EFFECTIVE JUNE 1, 2009"/>
    <m/>
    <m/>
  </r>
  <r>
    <s v="ARES56658"/>
    <x v="2"/>
    <x v="0"/>
    <d v="2011-03-17T00:00:00"/>
    <d v="2011-05-01T00:00:00"/>
    <x v="50"/>
    <n v="40"/>
    <x v="73"/>
    <x v="2"/>
    <m/>
    <n v="0.1"/>
    <n v="0.09"/>
    <m/>
    <n v="285"/>
    <m/>
    <n v="285"/>
    <n v="60"/>
    <m/>
    <m/>
    <m/>
    <x v="1"/>
    <x v="15"/>
    <m/>
    <m/>
    <s v="MERIDIAN 5TH PRINCIPAL T11N, R18W"/>
    <s v="Sec.8, SESE."/>
    <s v="SUBJECT TO FS LEASE NOTICES NO.3; FS CONTROLLED SURFACE USE STIPULATION #1D, THE LANDS DESCRIBED ABOVE ARE FULLY COMMITTED TO EXPLORATORY UNIT AGREEMENT ARES 55699X, APPROVED MAY 27, 2009 ; EFFECTIVE JUNE 1,2009"/>
    <m/>
    <m/>
  </r>
  <r>
    <s v="ARES56659"/>
    <x v="2"/>
    <x v="0"/>
    <d v="2011-03-17T00:00:00"/>
    <d v="2011-05-01T00:00:00"/>
    <x v="50"/>
    <n v="20"/>
    <x v="73"/>
    <x v="2"/>
    <m/>
    <n v="0.1"/>
    <n v="0.09"/>
    <m/>
    <n v="215"/>
    <n v="80"/>
    <n v="295"/>
    <n v="30"/>
    <m/>
    <m/>
    <m/>
    <x v="1"/>
    <x v="15"/>
    <m/>
    <m/>
    <s v="MERIDIAN 5TH PRINCIPAL T11N, R19W"/>
    <s v="Sec.29, SENWSE"/>
    <s v="SUBJECT TO FS LEASE NOTICES NO.3; FS NO SURFACE OCCUPANCY STIPULATION 2C"/>
    <m/>
    <m/>
  </r>
  <r>
    <s v="ARES56660"/>
    <x v="2"/>
    <x v="0"/>
    <d v="2011-03-17T00:00:00"/>
    <d v="2011-05-01T00:00:00"/>
    <x v="50"/>
    <n v="640"/>
    <x v="73"/>
    <x v="2"/>
    <m/>
    <n v="0.1"/>
    <n v="0.09"/>
    <m/>
    <n v="2385"/>
    <m/>
    <n v="2385"/>
    <n v="960"/>
    <m/>
    <m/>
    <m/>
    <x v="1"/>
    <x v="15"/>
    <m/>
    <m/>
    <s v="MERIDIAN 5TH PRINCIPAL T11N, R21W"/>
    <s v="Sec.22, all"/>
    <s v="SUBJECT TO FS LEASE NOTICES NO,.3 AND 4 ; FS CONTROLLED SURFACE USE STIPULATION 1B"/>
    <m/>
    <m/>
  </r>
  <r>
    <s v="ARES56661"/>
    <x v="2"/>
    <x v="0"/>
    <d v="2011-03-17T00:00:00"/>
    <d v="2011-05-01T00:00:00"/>
    <x v="50"/>
    <n v="74"/>
    <x v="81"/>
    <x v="2"/>
    <m/>
    <n v="0.1"/>
    <n v="0.09"/>
    <m/>
    <n v="404"/>
    <m/>
    <n v="404"/>
    <n v="111"/>
    <m/>
    <m/>
    <m/>
    <x v="1"/>
    <x v="15"/>
    <m/>
    <m/>
    <s v="MERIDIAN 5TH PRINCIPAL T11N, R22W"/>
    <s v="Sec.2 , part of the NESW; Sec.31, NWSE"/>
    <s v="SUBJECT TO: FS LEASE NOTICES NO.3; FS CONTROLLED SURFACE USE STIPULATION #1,1-A,B,C (SEC.2); "/>
    <m/>
    <m/>
  </r>
  <r>
    <s v="ARES56662"/>
    <x v="2"/>
    <x v="0"/>
    <d v="2011-03-17T00:00:00"/>
    <d v="2011-05-01T00:00:00"/>
    <x v="50"/>
    <n v="75.97"/>
    <x v="81"/>
    <x v="2"/>
    <m/>
    <n v="0.1"/>
    <n v="0.09"/>
    <m/>
    <n v="411"/>
    <m/>
    <n v="411"/>
    <n v="114"/>
    <m/>
    <m/>
    <m/>
    <x v="1"/>
    <x v="15"/>
    <m/>
    <m/>
    <s v="MERIDIAN 5TH PRINCIPAL T11N, R22W"/>
    <s v="Sec.2 NWSW, part of the swsw lying north of big piney creek containing 16.80 acres, SESW - containing 19.17 acres more or less"/>
    <s v="SUBJECT TO: FS LEASE NOTICES NO.3; FS CONTROLLED SURFACE USE STIPULATION #1,1-A,B,C "/>
    <m/>
    <m/>
  </r>
  <r>
    <s v="KYES56663"/>
    <x v="2"/>
    <x v="0"/>
    <d v="2011-03-17T00:00:00"/>
    <d v="2011-05-01T00:00:00"/>
    <x v="50"/>
    <n v="66.099999999999994"/>
    <x v="156"/>
    <x v="12"/>
    <m/>
    <n v="0.1"/>
    <n v="0.09"/>
    <m/>
    <n v="379.5"/>
    <m/>
    <n v="379.5"/>
    <n v="100.5"/>
    <m/>
    <m/>
    <m/>
    <x v="1"/>
    <x v="15"/>
    <m/>
    <m/>
    <s v="N.A."/>
    <s v="Tracts C-3118"/>
    <m/>
    <m/>
    <m/>
  </r>
  <r>
    <s v="KYES56664"/>
    <x v="2"/>
    <x v="0"/>
    <d v="2011-03-17T00:00:00"/>
    <d v="2011-05-01T00:00:00"/>
    <x v="50"/>
    <n v="1418.9"/>
    <x v="156"/>
    <x v="12"/>
    <m/>
    <n v="0.1"/>
    <n v="0.09"/>
    <m/>
    <n v="5111.5"/>
    <m/>
    <n v="5111.5"/>
    <n v="2128.5"/>
    <m/>
    <m/>
    <m/>
    <x v="1"/>
    <x v="15"/>
    <m/>
    <m/>
    <s v="N.A."/>
    <s v="Tracts C-1476, eastern half"/>
    <m/>
    <m/>
    <m/>
  </r>
  <r>
    <s v="KYES56665"/>
    <x v="2"/>
    <x v="0"/>
    <d v="2011-03-17T00:00:00"/>
    <d v="2011-05-01T00:00:00"/>
    <x v="50"/>
    <n v="183.7"/>
    <x v="156"/>
    <x v="12"/>
    <m/>
    <n v="0.1"/>
    <n v="0.09"/>
    <m/>
    <n v="789"/>
    <m/>
    <n v="789"/>
    <n v="276"/>
    <m/>
    <m/>
    <m/>
    <x v="1"/>
    <x v="15"/>
    <m/>
    <m/>
    <s v="N.A."/>
    <s v="Tracts C-1888c, C-1941 m-l, C-1941n"/>
    <m/>
    <m/>
    <m/>
  </r>
  <r>
    <s v="KYES56666"/>
    <x v="2"/>
    <x v="0"/>
    <d v="2011-03-17T00:00:00"/>
    <d v="2011-05-01T00:00:00"/>
    <x v="50"/>
    <n v="95.2"/>
    <x v="157"/>
    <x v="12"/>
    <m/>
    <n v="0.1"/>
    <n v="0.09"/>
    <m/>
    <n v="481"/>
    <m/>
    <n v="481"/>
    <n v="144"/>
    <m/>
    <m/>
    <m/>
    <x v="1"/>
    <x v="15"/>
    <m/>
    <m/>
    <s v="N.A."/>
    <s v="Tracts C-1888u, C-1941L, C-1941p, C-2851c"/>
    <m/>
    <m/>
    <m/>
  </r>
  <r>
    <s v="KYES56667"/>
    <x v="2"/>
    <x v="0"/>
    <d v="2011-03-17T00:00:00"/>
    <d v="2011-05-01T00:00:00"/>
    <x v="50"/>
    <n v="2069.6999999999998"/>
    <x v="158"/>
    <x v="12"/>
    <m/>
    <n v="0.1"/>
    <n v="0.09"/>
    <m/>
    <n v="7390"/>
    <m/>
    <n v="7390"/>
    <n v="3105"/>
    <m/>
    <m/>
    <m/>
    <x v="1"/>
    <x v="15"/>
    <m/>
    <m/>
    <s v="N.A."/>
    <s v="Tracts C-1888-II, C-1941m"/>
    <m/>
    <m/>
    <m/>
  </r>
  <r>
    <s v="LAES56671"/>
    <x v="2"/>
    <x v="0"/>
    <d v="2011-03-17T00:00:00"/>
    <d v="2011-05-01T00:00:00"/>
    <x v="50"/>
    <n v="794.84"/>
    <x v="139"/>
    <x v="3"/>
    <m/>
    <n v="0.1"/>
    <n v="0.09"/>
    <m/>
    <n v="2927.5"/>
    <m/>
    <n v="2927.5"/>
    <n v="1192.5"/>
    <m/>
    <m/>
    <m/>
    <x v="1"/>
    <x v="15"/>
    <m/>
    <m/>
    <s v="MERIDIAN LOUISIANA T8N, R2W"/>
    <s v="Sec.22, N2NE, SENE,NESE; Sec.23, All."/>
    <s v="SUBJECT TO FS CONTROLLED SURFACE USE STIPULATION #1 AND #2A; FS NO SURFACE OCCUPANCY STIPULATION #1 (SEC.23); FS LEASE NOTICE NO.3"/>
    <m/>
    <m/>
  </r>
  <r>
    <s v="LAES56672"/>
    <x v="2"/>
    <x v="0"/>
    <d v="2011-03-17T00:00:00"/>
    <d v="2011-05-01T00:00:00"/>
    <x v="50"/>
    <n v="80"/>
    <x v="139"/>
    <x v="3"/>
    <m/>
    <n v="0.1"/>
    <n v="0.09"/>
    <m/>
    <n v="425"/>
    <n v="1600"/>
    <n v="2025"/>
    <n v="120"/>
    <m/>
    <m/>
    <m/>
    <x v="1"/>
    <x v="15"/>
    <m/>
    <m/>
    <s v="MERIDIAN LOUISIANA T8N, R2W"/>
    <s v="Sec.22, E2SW."/>
    <s v="SUBJECT TO FS CONTROLLED SURFACE USE STIPULATION#1 AND #2A; FS LEASE NOTICE NO.3"/>
    <m/>
    <m/>
  </r>
  <r>
    <s v="LAES56673"/>
    <x v="2"/>
    <x v="0"/>
    <d v="2011-03-17T00:00:00"/>
    <d v="2011-05-01T00:00:00"/>
    <x v="50"/>
    <n v="1112"/>
    <x v="139"/>
    <x v="3"/>
    <m/>
    <n v="0.1"/>
    <n v="0.09"/>
    <m/>
    <n v="4037"/>
    <n v="22240"/>
    <n v="26277"/>
    <n v="1668"/>
    <m/>
    <m/>
    <m/>
    <x v="1"/>
    <x v="15"/>
    <m/>
    <m/>
    <s v="MERIDIAN LOUISIANA T8N, R2W"/>
    <s v="Sec. 24, W2, SE; Sec.25, All"/>
    <s v="SUBJECT TO FS CONTROLLED SURFACE USE STIPULATION #1 AND #2A; FS NO SURFACE OCCUPANCY STIPULATION #1 AND 2; FS LEASE NOTICE NO.3"/>
    <m/>
    <m/>
  </r>
  <r>
    <s v="LAES56674"/>
    <x v="2"/>
    <x v="0"/>
    <d v="2011-03-17T00:00:00"/>
    <d v="2011-05-01T00:00:00"/>
    <x v="50"/>
    <n v="477.66"/>
    <x v="139"/>
    <x v="3"/>
    <m/>
    <n v="0.1"/>
    <n v="0.09"/>
    <m/>
    <n v="1818"/>
    <n v="15296"/>
    <n v="17114"/>
    <n v="717"/>
    <m/>
    <m/>
    <m/>
    <x v="1"/>
    <x v="15"/>
    <m/>
    <m/>
    <s v="MERIDIAN LOUISIANA T8N, R2W"/>
    <s v="Sec.27,NE,E2NW,NWNW,S2S2,NESE"/>
    <s v="SUBJECT TO FS CONTROLLED SURFACE USE STIPULTION #1, 2, 2A; FS LEASE NOTICE NO.3"/>
    <m/>
    <m/>
  </r>
  <r>
    <s v="LAES56676"/>
    <x v="2"/>
    <x v="0"/>
    <d v="2011-03-17T00:00:00"/>
    <d v="2011-05-01T00:00:00"/>
    <x v="50"/>
    <n v="793.21"/>
    <x v="139"/>
    <x v="3"/>
    <m/>
    <n v="0.1"/>
    <n v="0.09"/>
    <m/>
    <n v="2924"/>
    <n v="15880"/>
    <n v="18804"/>
    <n v="1191"/>
    <m/>
    <m/>
    <m/>
    <x v="1"/>
    <x v="15"/>
    <m/>
    <m/>
    <s v="MERIDIAN 5TH PRINCIPAL T8N, R2W"/>
    <s v="Sec.35, All; Sec.36, NW"/>
    <s v="SUBJECT TO FS CONTROLLED SURFACE USE STIPULATION #1 (SEC.35); FS CONTROLLED SURFACE USE STIPULATION #2(SEC.35)"/>
    <m/>
    <m/>
  </r>
  <r>
    <s v="LAES56677"/>
    <x v="2"/>
    <x v="0"/>
    <d v="2011-03-17T00:00:00"/>
    <d v="2011-05-01T00:00:00"/>
    <x v="50"/>
    <n v="1071.9100000000001"/>
    <x v="139"/>
    <x v="3"/>
    <m/>
    <n v="0.1"/>
    <n v="0.09"/>
    <m/>
    <n v="3897"/>
    <m/>
    <n v="3897"/>
    <n v="1608"/>
    <m/>
    <m/>
    <m/>
    <x v="1"/>
    <x v="15"/>
    <m/>
    <m/>
    <s v="MERIDIAN LOUISIANA T9N, R1W"/>
    <s v="Sec.1, NWNENW,W2W2,SESW,S2SE; Sec.5, E2NENW; Sec.8, S2NE,NESE, Tract C-77 in S2NENE; Sec.10, E2SWSW, SESW; Sec.12, E2,E2W2,SWNW,NWSW,W2W2SWSW"/>
    <s v="SUBJECT TO FS CONTROLLED SURFACE USE STIPULATION #1 ; FS CONTROLLED SURFACE USE STIPULATION #2(SEC.8,10,12);  FS LEASE NOTICE NO.3"/>
    <m/>
    <m/>
  </r>
  <r>
    <s v="LAES56678"/>
    <x v="2"/>
    <x v="0"/>
    <d v="2011-03-17T00:00:00"/>
    <d v="2011-05-01T00:00:00"/>
    <x v="50"/>
    <n v="1083.6500000000001"/>
    <x v="139"/>
    <x v="3"/>
    <m/>
    <n v="0.1"/>
    <n v="0.09"/>
    <m/>
    <n v="3939"/>
    <m/>
    <n v="3939"/>
    <n v="1626"/>
    <m/>
    <m/>
    <m/>
    <x v="1"/>
    <x v="15"/>
    <m/>
    <m/>
    <s v="MERIDIAN LOUISIANA T9N, R1W"/>
    <s v="Sec.13,Entire Section less &amp; except 19.07 acres south of Road in SESE; Sec.14, W2SW,SWNW,W2SENW; Sec.17, NWNW; Sec.18,N2NE, Tract C-2138 IN nwnw, s2nw; Sec.24, Tract C-52 in N2SW, SESW"/>
    <s v="SUBJECT TO FS CONTROLLED SURFACE USE STIPULATION#1 AND #2; FS LEASE NOTICE NO.3, 4 (SEC.13 AND 14)"/>
    <m/>
    <m/>
  </r>
  <r>
    <s v="LAES56679"/>
    <x v="2"/>
    <x v="0"/>
    <d v="2011-03-17T00:00:00"/>
    <d v="2011-05-01T00:00:00"/>
    <x v="50"/>
    <n v="179.05"/>
    <x v="139"/>
    <x v="3"/>
    <m/>
    <n v="0.1"/>
    <n v="0.09"/>
    <m/>
    <n v="775"/>
    <m/>
    <n v="775"/>
    <n v="270"/>
    <m/>
    <m/>
    <m/>
    <x v="1"/>
    <x v="15"/>
    <m/>
    <m/>
    <s v="MERIDIAN LOUISIANA T9N, R1W"/>
    <s v="Sec.30,NESW,NESE,SWSE,E2SENW;Sec.32,NWNW less &amp; except 1.0 acre on east side"/>
    <s v="SUBJECT TO FS CONTROLLED SURFACE USE STIPULATION #1 AND #2; FS LEASE NOTICE NO.3 AND NO.4"/>
    <m/>
    <m/>
  </r>
  <r>
    <s v="LAES56680"/>
    <x v="2"/>
    <x v="0"/>
    <d v="2011-03-17T00:00:00"/>
    <d v="2011-05-01T00:00:00"/>
    <x v="50"/>
    <n v="655.28"/>
    <x v="139"/>
    <x v="3"/>
    <m/>
    <n v="0.1"/>
    <n v="0.09"/>
    <m/>
    <n v="2441"/>
    <m/>
    <n v="2441"/>
    <n v="984"/>
    <m/>
    <m/>
    <m/>
    <x v="1"/>
    <x v="15"/>
    <m/>
    <m/>
    <s v="MERIDIAN LOUISIANA T9N, R1W"/>
    <s v="Sec.33, NESE; Sec.34, SW,SWSE,N2SE,SESE;Sec.35,SW,S2SE;Sec.36,Tract C-67a in SWNW and NWSW"/>
    <s v="SUBJECT TO FS CONTROLLED SURFACE USE STIPULATION #1 AND #2 FS LEASE NOTICE NO.3 FS LEASE NOTICE NO.4 (SEC.34, 35 AND 36)"/>
    <m/>
    <m/>
  </r>
  <r>
    <s v="LAES56681"/>
    <x v="2"/>
    <x v="0"/>
    <d v="2011-03-17T00:00:00"/>
    <d v="2011-05-01T00:00:00"/>
    <x v="50"/>
    <n v="976.88"/>
    <x v="140"/>
    <x v="3"/>
    <m/>
    <n v="0.1"/>
    <n v="0.09"/>
    <m/>
    <n v="3564.5"/>
    <m/>
    <n v="3564.5"/>
    <n v="1465.5"/>
    <m/>
    <m/>
    <m/>
    <x v="1"/>
    <x v="15"/>
    <m/>
    <m/>
    <s v="MERIDIAN LOUISIANA T10N, R2W"/>
    <s v="Sec.7, SENE,NESW,S2SW,SE; Sec.8, W2NWSE; Sec.9,NWNE,S2NE,NW less &amp; except 15.20 acres west of centerline of highway 167, N2SW, SESW, W2SE; Sec.10 W2SW,NESE,SESE"/>
    <s v="SUBJECT TO FS CONTROLLED SURFACE USE STIPULATION #1; FS CONTROLLED SURFACE USE STIPULATION#2(SEC.7,9 AND 10); FS LEASE NOTICE NO.3"/>
    <m/>
    <m/>
  </r>
  <r>
    <s v="LAES56682"/>
    <x v="2"/>
    <x v="0"/>
    <d v="2011-03-17T00:00:00"/>
    <d v="2011-05-01T00:00:00"/>
    <x v="50"/>
    <n v="761.76"/>
    <x v="140"/>
    <x v="3"/>
    <m/>
    <n v="0.1"/>
    <n v="0.09"/>
    <m/>
    <n v="2812"/>
    <m/>
    <n v="2812"/>
    <n v="1143"/>
    <m/>
    <m/>
    <m/>
    <x v="1"/>
    <x v="15"/>
    <m/>
    <m/>
    <s v="MERIDIAN LOUISIANA T10N, R2W"/>
    <s v="Sec.11, W2SW, SESW,NWNE; Sec.13, SWSE,S2SW, SESE; Sec.14 N2NE,SWNE,E2NW,NWNW,SWNW,NESW,NWSW,SWSE,SESE"/>
    <s v="SUBJECT TO FS CONTROLLED SURFACE USE STIPULATION #1,2 FS LEASE NOTICE NO.3"/>
    <m/>
    <m/>
  </r>
  <r>
    <s v="LAES56683"/>
    <x v="2"/>
    <x v="0"/>
    <d v="2011-03-17T00:00:00"/>
    <d v="2011-05-01T00:00:00"/>
    <x v="50"/>
    <n v="1079.17"/>
    <x v="140"/>
    <x v="3"/>
    <m/>
    <n v="0.1"/>
    <n v="0.09"/>
    <m/>
    <n v="3925"/>
    <m/>
    <n v="3925"/>
    <n v="1620"/>
    <m/>
    <m/>
    <m/>
    <x v="1"/>
    <x v="15"/>
    <m/>
    <m/>
    <s v="MERIDIAN LOUISIANA T10N, R2W"/>
    <s v="Sec.15, All. Sec.16, NE,E2NW less &amp; except 0.45 acre on South side of SESW, SE less &amp; except 1.45 acres on West side of NWSE. "/>
    <s v="SUBJECT TO FS CONTROLLED SURFACE USE STIPULATION #1,2 FS LEASE NOTICE NO.3"/>
    <m/>
    <m/>
  </r>
  <r>
    <s v="LAES56684"/>
    <x v="2"/>
    <x v="0"/>
    <d v="2011-03-17T00:00:00"/>
    <d v="2011-05-01T00:00:00"/>
    <x v="50"/>
    <n v="19.829999999999998"/>
    <x v="140"/>
    <x v="3"/>
    <m/>
    <n v="0.1"/>
    <n v="0.09"/>
    <m/>
    <n v="215"/>
    <m/>
    <n v="215"/>
    <n v="30"/>
    <m/>
    <m/>
    <m/>
    <x v="1"/>
    <x v="15"/>
    <m/>
    <m/>
    <s v="MERIDIAN LOUISIANA T10N, R2W"/>
    <s v="50% U.S. Mineral Interest, Sec.18, S2NWSW"/>
    <s v="SUBJECT TO FS CONTROLLED SURFACE USE STIPULATION #1,2 FS LEASE NOTICE NO.3"/>
    <m/>
    <m/>
  </r>
  <r>
    <s v="LAES56685"/>
    <x v="2"/>
    <x v="0"/>
    <d v="2011-03-17T00:00:00"/>
    <d v="2011-05-01T00:00:00"/>
    <x v="50"/>
    <n v="1283.5899999999999"/>
    <x v="140"/>
    <x v="3"/>
    <m/>
    <n v="0.1"/>
    <n v="0.09"/>
    <m/>
    <n v="4639"/>
    <m/>
    <n v="4639"/>
    <n v="1926"/>
    <m/>
    <m/>
    <m/>
    <x v="1"/>
    <x v="15"/>
    <m/>
    <m/>
    <s v="MERIDIAN LOUISIANA T10N, R2W"/>
    <s v="Sec.17, W2NE,NW,S2 less &amp; except 10 acres in SESW; Sec.18, E2NENE,W2NW,NENW,NESW,SWSW; Sec.19, NE,E2NW, SW,W2SE,SESE"/>
    <s v="SUBJECT TO FS CONTROLLED SURFACE USE STIPULATION #1; FS CONTROLLED SURFACE USE STIPULATION#2(SEC.17,18); FS LEASE NOTICE NO.3"/>
    <m/>
    <m/>
  </r>
  <r>
    <s v="LAES56686"/>
    <x v="2"/>
    <x v="0"/>
    <d v="2011-03-17T00:00:00"/>
    <d v="2011-05-01T00:00:00"/>
    <x v="50"/>
    <n v="848.11"/>
    <x v="140"/>
    <x v="3"/>
    <m/>
    <n v="0.1"/>
    <n v="0.09"/>
    <m/>
    <n v="3116.5"/>
    <m/>
    <n v="3116.5"/>
    <n v="1273.5"/>
    <m/>
    <m/>
    <m/>
    <x v="1"/>
    <x v="15"/>
    <m/>
    <m/>
    <s v="MERIDIAN LOUISIANA T10N, R2W"/>
    <s v="Sec.20, NESW,SENE,S2SE,Part of NWSW; Sec.21,NE,SENW,S2; Sec.28,NE."/>
    <s v="SUBJECT TO FS CONTROLLED SURFACE USE STIPULATION #1; FS CONTROLLED SURFACE USE STIPULATION #2 (SEC.20 AND 21); FS LEASE NOTICE NO.3"/>
    <m/>
    <m/>
  </r>
  <r>
    <s v="LAES56687"/>
    <x v="2"/>
    <x v="0"/>
    <d v="2011-03-17T00:00:00"/>
    <d v="2011-05-01T00:00:00"/>
    <x v="50"/>
    <n v="802.2"/>
    <x v="140"/>
    <x v="3"/>
    <m/>
    <n v="0.1"/>
    <n v="0.09"/>
    <m/>
    <n v="2955.5"/>
    <m/>
    <n v="2955.5"/>
    <n v="1204.5"/>
    <m/>
    <m/>
    <m/>
    <x v="1"/>
    <x v="15"/>
    <m/>
    <m/>
    <s v="MERIDIAN LOUISIANA T10N, R2W"/>
    <s v="Sec.22, E2NE,W2SE; Sec.23, S2NE,NWNE,W2,SE;,Sec.24,NWNE"/>
    <s v="SUBJECT TO FS CONTROLLED SURFACE USE STIPULATION #1; FS CONTROLLED SURFACE USE STIPULATION #2 (SEC.23 AND 24); FS LEASE NOTICE NO.3"/>
    <m/>
    <m/>
  </r>
  <r>
    <s v="LAES56688"/>
    <x v="2"/>
    <x v="0"/>
    <d v="2011-03-17T00:00:00"/>
    <d v="2011-05-01T00:00:00"/>
    <x v="50"/>
    <n v="1239.46"/>
    <x v="140"/>
    <x v="3"/>
    <m/>
    <n v="0.1"/>
    <n v="0.09"/>
    <m/>
    <n v="4485"/>
    <m/>
    <n v="4485"/>
    <n v="1860"/>
    <m/>
    <m/>
    <m/>
    <x v="1"/>
    <x v="15"/>
    <m/>
    <m/>
    <s v="MERIDIAN LOUISIANA T10N, R2W"/>
    <s v="Sec.25, All; Sec.26, N2NE,SWNE,W2,SE"/>
    <s v="SUBJECT TO FS CONTROLLED SURFACE USE STIPULATION #1,2 FS LEASE NOTICE NO.3"/>
    <m/>
    <m/>
  </r>
  <r>
    <s v="LAES56689"/>
    <x v="2"/>
    <x v="0"/>
    <d v="2011-03-17T00:00:00"/>
    <d v="2011-05-01T00:00:00"/>
    <x v="50"/>
    <n v="1453.53"/>
    <x v="140"/>
    <x v="3"/>
    <m/>
    <n v="0.1"/>
    <n v="0.09"/>
    <m/>
    <n v="5234"/>
    <m/>
    <n v="5234"/>
    <n v="2181"/>
    <m/>
    <m/>
    <m/>
    <x v="1"/>
    <x v="15"/>
    <m/>
    <m/>
    <s v="MERIDIAN LOUISIANA T10N, R2W"/>
    <s v="Sec.27, All; Sec.30, W2NENW; Sec.32, S2SWNE,NWSE;Sec.33,NE,NESE,E2SESE. Sec.34,E2E2,SWSW,NWSE,W2NE,NW,NWSW"/>
    <s v="SUBJECT TO FS CONTROLLED SURFACE USE STIPULATION #1; FS CONTROLLED SURFACE USE STIPULATION #2(SEC.27,32,33,34) FS LEASE NOTICE NO.3"/>
    <m/>
    <m/>
  </r>
  <r>
    <s v="LAES56690"/>
    <x v="2"/>
    <x v="0"/>
    <d v="2011-03-17T00:00:00"/>
    <d v="2011-05-01T00:00:00"/>
    <x v="50"/>
    <n v="1107.43"/>
    <x v="140"/>
    <x v="3"/>
    <m/>
    <n v="0.1"/>
    <n v="0.09"/>
    <m/>
    <n v="4023"/>
    <m/>
    <n v="4023"/>
    <n v="1662"/>
    <m/>
    <m/>
    <m/>
    <x v="1"/>
    <x v="15"/>
    <m/>
    <m/>
    <s v="MERIDIAN 5TH PRINCIPAL T10N, R2W"/>
    <s v="Sec.35,NENE,S2NE,NW,S2;Sec.36,N2N2 less &amp; except 7.0 acres in SWNENE,SWNW,S2"/>
    <s v="SUBJECT TO FS CONTROLLED SURFACE USE STIPULATION #1,2 FS LEASE NOTICE NO.3"/>
    <m/>
    <m/>
  </r>
  <r>
    <s v="LAES56691"/>
    <x v="2"/>
    <x v="0"/>
    <d v="2011-03-17T00:00:00"/>
    <d v="2011-05-01T00:00:00"/>
    <x v="50"/>
    <n v="323.39"/>
    <x v="140"/>
    <x v="3"/>
    <m/>
    <n v="0.1"/>
    <n v="0.09"/>
    <m/>
    <n v="1279"/>
    <m/>
    <n v="1279"/>
    <n v="486"/>
    <m/>
    <m/>
    <m/>
    <x v="1"/>
    <x v="15"/>
    <m/>
    <m/>
    <s v="MERIDIAN LOUISIANA T11N, R4W"/>
    <s v="Sec.1, N2NW; Sec.5,SW;Sec.10,W2W2NWSW,SESW;Sec.15,NWSW"/>
    <s v="SUBJECT TO FS CONTROLLED SURFACE USE STIPULATION #1; FS CONTROLLED SURFACE USE STIPULATION #2(SEC.10); FS LEASE NOTICE NO.3"/>
    <m/>
    <m/>
  </r>
  <r>
    <s v="LAES56692"/>
    <x v="2"/>
    <x v="0"/>
    <d v="2011-03-17T00:00:00"/>
    <d v="2011-05-01T00:00:00"/>
    <x v="50"/>
    <n v="1219.1199999999999"/>
    <x v="140"/>
    <x v="3"/>
    <m/>
    <n v="0.1"/>
    <n v="0.09"/>
    <m/>
    <n v="4415"/>
    <m/>
    <n v="4415"/>
    <n v="1830"/>
    <m/>
    <m/>
    <m/>
    <x v="1"/>
    <x v="15"/>
    <m/>
    <m/>
    <s v="MERIDIAN LOUISIANA T11N, R4W"/>
    <s v="Sec.6, S2N2, NWNE,N2NW,S2( Subject to railroad right og way containing 18.20 acres, which traverses the N2NW and NWNE) Sec.7, W2E2, SESE,S2NESE,S2N2NESE,SW,E2NW,NWNW,SWNW less that part of Tract C-108 containing about 3.03 acres; Sec.9, S2NE"/>
    <s v="SUBJECT TO FS CONTROLLED SURFACE USE STIPULATION #1 FS CONTROLLED SURFACE USE STIPULATION #2 (SEC.6,9) FS LEASE NOTICE NO.3"/>
    <m/>
    <m/>
  </r>
  <r>
    <s v="LAES56693"/>
    <x v="2"/>
    <x v="0"/>
    <d v="2011-03-17T00:00:00"/>
    <d v="2011-05-01T00:00:00"/>
    <x v="50"/>
    <n v="80"/>
    <x v="140"/>
    <x v="3"/>
    <m/>
    <n v="0.1"/>
    <n v="0.09"/>
    <m/>
    <n v="425"/>
    <m/>
    <n v="425"/>
    <n v="120"/>
    <m/>
    <m/>
    <m/>
    <x v="1"/>
    <x v="15"/>
    <m/>
    <m/>
    <s v="MERIDIAN LOUISIANA T11N, R4W"/>
    <s v="Sec.18, E2NW"/>
    <s v="SUBJECT TO FS CONTROLLED SURFACE USE STIPULATION #1,2  FS NO SURFACE OCCUPANCY STIPULATION FS LEASE NOTICE NO.3"/>
    <m/>
    <m/>
  </r>
  <r>
    <s v="LAES56694"/>
    <x v="2"/>
    <x v="0"/>
    <d v="2011-03-17T00:00:00"/>
    <d v="2011-05-01T00:00:00"/>
    <x v="50"/>
    <n v="299.45"/>
    <x v="140"/>
    <x v="3"/>
    <m/>
    <n v="0.1"/>
    <n v="0.09"/>
    <m/>
    <n v="1195"/>
    <m/>
    <n v="1195"/>
    <n v="450"/>
    <m/>
    <m/>
    <m/>
    <x v="1"/>
    <x v="15"/>
    <m/>
    <m/>
    <s v="MERIDIAN LOUISIANA T11N, R4W"/>
    <s v="T11N, R4W, Louisiana Meridian Sec.22, SESENE; Sec.23, SWSWNW,S2NE,SE; Sec.26, NENE"/>
    <s v="FS LEASE NOTICE NO.3"/>
    <m/>
    <m/>
  </r>
  <r>
    <s v="LAES56695"/>
    <x v="2"/>
    <x v="0"/>
    <d v="2011-03-17T00:00:00"/>
    <d v="2011-05-01T00:00:00"/>
    <x v="50"/>
    <n v="79.14"/>
    <x v="140"/>
    <x v="3"/>
    <m/>
    <n v="0.1"/>
    <n v="0.09"/>
    <m/>
    <n v="425"/>
    <m/>
    <n v="425"/>
    <n v="120"/>
    <m/>
    <m/>
    <m/>
    <x v="1"/>
    <x v="15"/>
    <m/>
    <m/>
    <s v="MERIDIAN LOUISIANA T11N, R4W"/>
    <s v="Sec.7, E2NE"/>
    <s v="SUBJECT TO FS LEASE NOTICE NO.3"/>
    <m/>
    <m/>
  </r>
  <r>
    <s v="LAES56696"/>
    <x v="2"/>
    <x v="0"/>
    <d v="2011-03-17T00:00:00"/>
    <d v="2011-05-01T00:00:00"/>
    <x v="50"/>
    <n v="77.25"/>
    <x v="140"/>
    <x v="3"/>
    <m/>
    <n v="0.1"/>
    <n v="0.09"/>
    <m/>
    <n v="418"/>
    <m/>
    <n v="418"/>
    <n v="117"/>
    <m/>
    <m/>
    <m/>
    <x v="1"/>
    <x v="15"/>
    <m/>
    <m/>
    <s v="MERIDIAN LOUISIANA T11N, R5W"/>
    <s v="Sec.1, SWSW less &amp; except 1.0 acres in NE/c being part lying N&amp;E of road and less &amp; except 2.02 acres in S2; Sec.11, Tract C-63f lying in E2NENE Sec.12, NWNW less &amp; except 1.0 acres in SE/c"/>
    <s v="SUBJECT TO FS CONTROLLED SURFACE USE STIPULATION #1; FS LEASE NOTICE NO.3"/>
    <m/>
    <m/>
  </r>
  <r>
    <s v="LAES56697"/>
    <x v="2"/>
    <x v="0"/>
    <d v="2011-03-17T00:00:00"/>
    <d v="2011-05-01T00:00:00"/>
    <x v="50"/>
    <n v="513.38"/>
    <x v="159"/>
    <x v="3"/>
    <m/>
    <n v="0.1"/>
    <n v="0.09"/>
    <m/>
    <n v="1944"/>
    <m/>
    <n v="1944"/>
    <n v="771"/>
    <m/>
    <m/>
    <m/>
    <x v="1"/>
    <x v="15"/>
    <m/>
    <m/>
    <s v="MERIDIAN LOUISIANA T11N, R5W"/>
    <s v="Sec.1, SESW, NWSE,S2SE; Sec.2, SESE; Sec.4, Tract in E2W2 west of Saline Bayou, W2W2"/>
    <s v="SUBJECT TO FS CONTROLLED SURFACE USE STIPULATION #1; FS CONTROLLED SURFACE USE STIPULATION #2(SEC.2,4) FS NO SURFACE OCCUPANCY STIPULATION (SEC.4); FS LEASE NOTICE NO.3"/>
    <m/>
    <m/>
  </r>
  <r>
    <s v="LAES56698"/>
    <x v="2"/>
    <x v="0"/>
    <d v="2011-03-17T00:00:00"/>
    <d v="2011-05-01T00:00:00"/>
    <x v="50"/>
    <n v="301.67"/>
    <x v="140"/>
    <x v="3"/>
    <m/>
    <n v="0.1"/>
    <n v="0.09"/>
    <m/>
    <n v="1202"/>
    <m/>
    <n v="1202"/>
    <n v="453"/>
    <m/>
    <m/>
    <m/>
    <x v="1"/>
    <x v="15"/>
    <m/>
    <m/>
    <s v="MERIDIAN LOUISIANA T11N, R5W"/>
    <s v="Sec.3, Tract in SESW; Sec.12, W2NE,NENW less &amp; except 4 acres in SW/c, SENW,SWNW,NWSW,SESE"/>
    <s v="SUBJECT TO FS CONTROLLED SURFACE USE STIPULATION #1; FS CONTROLLED SURFACE USE STIPULATION #2 (SEC.12); FS LEASE NOTICE NO.3"/>
    <m/>
    <m/>
  </r>
  <r>
    <s v="LAES56699"/>
    <x v="2"/>
    <x v="0"/>
    <d v="2011-03-17T00:00:00"/>
    <d v="2011-05-01T00:00:00"/>
    <x v="50"/>
    <n v="37.56"/>
    <x v="140"/>
    <x v="3"/>
    <m/>
    <n v="0.1"/>
    <n v="0.09"/>
    <m/>
    <n v="278"/>
    <m/>
    <n v="278"/>
    <n v="57"/>
    <m/>
    <m/>
    <m/>
    <x v="1"/>
    <x v="15"/>
    <m/>
    <m/>
    <s v="MERIDIAN LOUISIANA T11N, R5W"/>
    <s v="Sec.12, SWSW less &amp; except 2.02 acres in NW/c"/>
    <s v="SUBJECT TO FS CONTROLLED SURFACE USE STIPULATION #1 FS LEASE NOTICE NO.3"/>
    <m/>
    <m/>
  </r>
  <r>
    <s v="LAES56700"/>
    <x v="2"/>
    <x v="0"/>
    <d v="2011-03-17T00:00:00"/>
    <d v="2011-05-01T00:00:00"/>
    <x v="50"/>
    <n v="100"/>
    <x v="140"/>
    <x v="3"/>
    <m/>
    <n v="0.1"/>
    <n v="0.09"/>
    <m/>
    <n v="495"/>
    <m/>
    <n v="495"/>
    <n v="150"/>
    <m/>
    <m/>
    <m/>
    <x v="1"/>
    <x v="15"/>
    <m/>
    <m/>
    <s v="MERIDIAN LOUISIANA T11N, R5W"/>
    <s v="Sec.11, nwse; Sec.14, E2SWSW, SESW"/>
    <s v="SUBJECT TO FS CONTROLLED SURFACE USE STIPULATION #1; FS CONTROLLED SURFACE USE STIPULATION #2, FS LEASE NOTICE NO.3"/>
    <m/>
    <m/>
  </r>
  <r>
    <s v="LAES56701"/>
    <x v="2"/>
    <x v="0"/>
    <d v="2011-03-17T00:00:00"/>
    <d v="2011-05-01T00:00:00"/>
    <x v="50"/>
    <n v="332.91"/>
    <x v="140"/>
    <x v="3"/>
    <m/>
    <n v="0.1"/>
    <n v="0.09"/>
    <m/>
    <n v="1310.5"/>
    <m/>
    <n v="1310.5"/>
    <n v="499.5"/>
    <m/>
    <m/>
    <m/>
    <x v="1"/>
    <x v="15"/>
    <m/>
    <m/>
    <s v="MERIDIAN LOUISIANA T12N, R4W"/>
    <s v="Sec.16, Tract C-107 in N2 &amp; N2SE west of Dudgemonia bayou, SESE"/>
    <s v="SUBJECT TO FS CONTROLLED SURFACE USE STIPULATION #1; FS CONTROLLED SURFACE USE STIPULATION #2; FS NO SURFACE OCCUPANCY STIPULATION; FS LEASE NOTICE NO.3"/>
    <m/>
    <m/>
  </r>
  <r>
    <s v="LAES56705"/>
    <x v="2"/>
    <x v="0"/>
    <d v="2011-03-17T00:00:00"/>
    <d v="2011-05-01T00:00:00"/>
    <x v="50"/>
    <n v="642.48"/>
    <x v="54"/>
    <x v="3"/>
    <m/>
    <n v="0.1"/>
    <n v="0.09"/>
    <m/>
    <n v="2395.5"/>
    <n v="593489"/>
    <n v="595884.5"/>
    <n v="964.5"/>
    <m/>
    <m/>
    <m/>
    <x v="1"/>
    <x v="15"/>
    <m/>
    <m/>
    <s v="MERIDIAN LOUISIANA T23N, R4W"/>
    <s v="Sec.33, All"/>
    <s v="SUBJECT TO FS CONTROLLED SURFACE USE STIPULATION #1,2; FS NO SURFACE OCCUPANCY STIPULATION #2; FS LEASE NOTICE NO.3,4"/>
    <m/>
    <m/>
  </r>
  <r>
    <s v="MIES56707"/>
    <x v="2"/>
    <x v="0"/>
    <d v="2011-03-17T00:00:00"/>
    <d v="2011-05-01T00:00:00"/>
    <x v="50"/>
    <n v="160"/>
    <x v="125"/>
    <x v="9"/>
    <m/>
    <n v="0.1"/>
    <n v="0.09"/>
    <m/>
    <n v="705"/>
    <m/>
    <n v="705"/>
    <n v="240"/>
    <m/>
    <m/>
    <m/>
    <x v="1"/>
    <x v="15"/>
    <m/>
    <m/>
    <s v="MERIDIAN MICHIGAN T17N, R15W"/>
    <s v="Sec.26, W2NW; Sec.27, E2NE"/>
    <s v="SUBJECT TO FOREST SERVICE STANDARD LEASE STIPULATIONS, LEASE NOTICES #1,2,3,6, LEASE STIPULATION #1 APPLIES TO SEC.26, E3/4NWNW, SWNWNW, N2SWNW, NWSWSWNW; AND SEC.27, E2SENE, SWSENE, SENWSENE, S2SENENE LEASE STIPULATION #9 APPLIES TO ALL LANDS"/>
    <m/>
    <m/>
  </r>
  <r>
    <s v="MSES56709"/>
    <x v="2"/>
    <x v="0"/>
    <d v="2011-03-17T00:00:00"/>
    <d v="2011-05-01T00:00:00"/>
    <x v="50"/>
    <n v="407"/>
    <x v="55"/>
    <x v="4"/>
    <m/>
    <n v="0.1"/>
    <n v="0.09"/>
    <m/>
    <n v="1569.5"/>
    <m/>
    <n v="1569.5"/>
    <n v="610.5"/>
    <m/>
    <m/>
    <m/>
    <x v="1"/>
    <x v="15"/>
    <m/>
    <m/>
    <s v="MERIDIAN CHOCTOW,T3N, R7E"/>
    <s v="Sec.27, E 7.00 ACRES OF NENNE, W2, NWSE"/>
    <s v="SUBJECT TO FS STIPULATION, FS LEASE NOTICES NO.3, 4 FS NOTICE TO LESSEE 5&amp;6, FS TIMING LIMITATION STIPULATION 1"/>
    <m/>
    <m/>
  </r>
  <r>
    <s v="MSES56710"/>
    <x v="2"/>
    <x v="0"/>
    <d v="2011-03-17T00:00:00"/>
    <d v="2011-05-01T00:00:00"/>
    <x v="50"/>
    <n v="1011.72"/>
    <x v="55"/>
    <x v="4"/>
    <m/>
    <n v="0.1"/>
    <n v="0.09"/>
    <m/>
    <n v="3687"/>
    <m/>
    <n v="3687"/>
    <n v="1518"/>
    <m/>
    <m/>
    <m/>
    <x v="1"/>
    <x v="15"/>
    <m/>
    <m/>
    <s v="MERIDIAN CHOCTOW,T4N, R6E"/>
    <s v="Sec.1, W2NW, SENW, SWSW,N2SE, SWSE; Sec.2, NENE, S2NWNE, SENE,S2NENW,W2NW,SENW,NWSW,NESESW,N2SE; Sec.3, NE"/>
    <s v="SUBJECT TO FS STIPULATION, FS LEASE NOTICES NO.3, 4 FS NOTICE TO LESSEE 5, FS TIMING LIMITATION STIPULATION 1"/>
    <m/>
    <m/>
  </r>
  <r>
    <s v="MSES56715"/>
    <x v="2"/>
    <x v="0"/>
    <d v="2011-03-17T00:00:00"/>
    <d v="2011-05-01T00:00:00"/>
    <x v="50"/>
    <n v="555.62"/>
    <x v="55"/>
    <x v="4"/>
    <m/>
    <n v="0.1"/>
    <n v="0.09"/>
    <m/>
    <n v="2091"/>
    <m/>
    <n v="2091"/>
    <n v="834"/>
    <m/>
    <m/>
    <m/>
    <x v="1"/>
    <x v="15"/>
    <m/>
    <m/>
    <s v="MERIDIAN CHOCTOW,T4N, R7E"/>
    <s v="Sec.4, N2NE less Tracts B-847 &amp; B-847a, W2NW,SENW, NWSW; Sec.5, E2NE, E2SW, SE."/>
    <s v="SUBJECT TO FS STIPULATION, FS LEASE NOTICES NO.3,4, FS NOTICE TO LESSEE 5 &amp; 6, FS TIMING LIMITATION STIPULATION 1"/>
    <m/>
    <m/>
  </r>
  <r>
    <s v="MSES56716"/>
    <x v="2"/>
    <x v="0"/>
    <d v="2011-03-17T00:00:00"/>
    <d v="2011-05-01T00:00:00"/>
    <x v="50"/>
    <n v="591.4"/>
    <x v="55"/>
    <x v="4"/>
    <m/>
    <n v="0.1"/>
    <n v="0.09"/>
    <m/>
    <n v="2217"/>
    <m/>
    <n v="2217"/>
    <n v="888"/>
    <m/>
    <m/>
    <m/>
    <x v="1"/>
    <x v="15"/>
    <m/>
    <m/>
    <s v="MERIDIAN CHOCTOW,T4N, R7E"/>
    <s v="Sec.7, E2, Esec.7, E2,E2W2,S 30 acres of SWNW, W2SW.2W2"/>
    <s v="SUBJECT TO FS STIPULATION, FS LEASE NOTICES NO.3,4, FS NOTICE TO LESSEE 5 &amp; 6, FS TIMING LIMITATION STIPULATION 1"/>
    <m/>
    <m/>
  </r>
  <r>
    <s v="MSES56717"/>
    <x v="2"/>
    <x v="0"/>
    <d v="2011-03-17T00:00:00"/>
    <d v="2011-05-01T00:00:00"/>
    <x v="50"/>
    <n v="726.54"/>
    <x v="55"/>
    <x v="4"/>
    <m/>
    <n v="0.1"/>
    <n v="0.09"/>
    <m/>
    <n v="2689.5"/>
    <m/>
    <n v="2689.5"/>
    <n v="1090.5"/>
    <m/>
    <m/>
    <m/>
    <x v="1"/>
    <x v="15"/>
    <m/>
    <m/>
    <s v="MERIDIAN CHOCTOW,T4N, R7E"/>
    <s v="Sec.8, N2NE, SWNE, N 24 acres of SENE, W2, NWSE, W15 acres of SWSE; Sec.14, SWNE, S2SENE, E2SENW, NESW, N2SE, North 10 acres of SESE; "/>
    <s v="SUBJECT TO FS STIPULATION, FS LEASE NOTICES NO.3,4, FS NOTICE TO LESSEE 5 &amp; 6, FS TIMING LIMITATION STIPULATION 1"/>
    <m/>
    <m/>
  </r>
  <r>
    <s v="MSES56718"/>
    <x v="2"/>
    <x v="0"/>
    <d v="2011-03-17T00:00:00"/>
    <d v="2011-05-01T00:00:00"/>
    <x v="50"/>
    <n v="757.18"/>
    <x v="55"/>
    <x v="4"/>
    <m/>
    <n v="0.1"/>
    <n v="0.09"/>
    <m/>
    <n v="2798"/>
    <m/>
    <n v="2798"/>
    <n v="1137"/>
    <m/>
    <m/>
    <m/>
    <x v="1"/>
    <x v="15"/>
    <m/>
    <m/>
    <s v="MERIDIAN CHOCTOW,T4N, R7E"/>
    <s v="Sec.17, N2NW,W2SWNW, NWSW less Tract B-78; Sec.18, All less 4 acres in SE corner."/>
    <s v="SUBJECT TO FS STIPULATION, FS LEASE NOTICES NO.3,4, FS NOTICE TO LESSEE 5 &amp; 6, FS TIMING LIMITATION STIPULATION 1"/>
    <m/>
    <m/>
  </r>
  <r>
    <s v="MSES56721"/>
    <x v="0"/>
    <x v="0"/>
    <d v="2011-03-17T00:00:00"/>
    <d v="2011-05-01T00:00:00"/>
    <x v="50"/>
    <n v="1918.38"/>
    <x v="39"/>
    <x v="4"/>
    <m/>
    <n v="0.1"/>
    <n v="0.09"/>
    <m/>
    <n v="6861.5"/>
    <m/>
    <n v="6861.5"/>
    <n v="2878.5"/>
    <m/>
    <m/>
    <m/>
    <x v="36"/>
    <x v="15"/>
    <m/>
    <m/>
    <s v="MERIDIAN ST.STEPHENS T1S, R9W"/>
    <s v="Sec.8, All; Sec.9, All. Sec.10, All;"/>
    <s v="SUBJECT TO FS STIPULATION, FS LEASE NOTICES NO.3,4, FS NOTICE TO LESSEE 5 , FS TIMING LIMITATION STIPULATION 1,FS SPECIAL STIPULATION 6"/>
    <m/>
    <m/>
  </r>
  <r>
    <s v="MSES56722"/>
    <x v="0"/>
    <x v="0"/>
    <d v="2011-03-17T00:00:00"/>
    <d v="2011-05-01T00:00:00"/>
    <x v="50"/>
    <n v="1040.6500000000001"/>
    <x v="39"/>
    <x v="4"/>
    <m/>
    <n v="0.1"/>
    <n v="0.09"/>
    <m/>
    <n v="3788.5"/>
    <m/>
    <n v="3788.5"/>
    <n v="1561.5"/>
    <m/>
    <m/>
    <m/>
    <x v="36"/>
    <x v="15"/>
    <m/>
    <m/>
    <s v="MERIDIAN ST.STEPHENS T1S, R9W"/>
    <s v="Sec.17, N2NE,SWNE,W2,W2SE; Sec.18, E2,E2NW,N2SW,SESW"/>
    <s v="SUBJECT TO FS STIPULATION, FS LEASE NOTICES NO.3,4, FS NOTICE TO LESSEE 5 , FS TIMING LIMITATION STIPULATION 1,FS SPECIAL STIPULATION 6"/>
    <m/>
    <m/>
  </r>
  <r>
    <s v="MSES56724"/>
    <x v="0"/>
    <x v="0"/>
    <d v="2011-03-17T00:00:00"/>
    <d v="2011-05-01T00:00:00"/>
    <x v="50"/>
    <n v="1280.4000000000001"/>
    <x v="39"/>
    <x v="4"/>
    <m/>
    <n v="0.1"/>
    <n v="0.09"/>
    <m/>
    <n v="4628.5"/>
    <n v="5124"/>
    <n v="9752.5"/>
    <n v="1921.5"/>
    <m/>
    <m/>
    <m/>
    <x v="36"/>
    <x v="15"/>
    <m/>
    <m/>
    <s v="MERIDIAN ST.STEPHENS T1S, R9W"/>
    <s v="Sec.21, All; Sec.22, All"/>
    <s v="SUBJECT TO FS STIPULATION, FS LEASE NOTICES NO.3,4, FS NOTICE TO LESSEE 5 , FS TIMING LIMITATION STIPULATION 1,FS SPECIAL STIPULATION 6"/>
    <m/>
    <m/>
  </r>
  <r>
    <s v="MSES56725"/>
    <x v="0"/>
    <x v="0"/>
    <d v="2011-03-17T00:00:00"/>
    <d v="2011-05-01T00:00:00"/>
    <x v="50"/>
    <n v="1280.4000000000001"/>
    <x v="39"/>
    <x v="4"/>
    <m/>
    <n v="0.1"/>
    <n v="0.09"/>
    <m/>
    <n v="4628.5"/>
    <m/>
    <n v="4628.5"/>
    <n v="1921.5"/>
    <m/>
    <m/>
    <m/>
    <x v="36"/>
    <x v="15"/>
    <m/>
    <m/>
    <s v="MERIDIAN ST.STEPHENS T1S, R9W"/>
    <s v="Sec.23, All; Sec.24, All"/>
    <s v="SUBJECT TO FS STIPULATION, FS LEASE NOTICES NO.3,4, FS NOTICE TO LESSEE 5 , FS TIMING LIMITATION STIPULATION 1,FS SPECIAL STIPULATION 6"/>
    <m/>
    <m/>
  </r>
  <r>
    <s v="MSES56726"/>
    <x v="0"/>
    <x v="0"/>
    <d v="2011-03-17T00:00:00"/>
    <d v="2011-05-01T00:00:00"/>
    <x v="50"/>
    <n v="1080.28"/>
    <x v="39"/>
    <x v="4"/>
    <m/>
    <n v="0.1"/>
    <n v="0.09"/>
    <m/>
    <n v="3928.5"/>
    <m/>
    <n v="3928.5"/>
    <n v="1621.5"/>
    <m/>
    <m/>
    <m/>
    <x v="36"/>
    <x v="15"/>
    <m/>
    <m/>
    <s v="MERIDIAN ST.STEPHENS T1S, R9W"/>
    <s v="Sec.25, All; Sec.26, N2,W2SW,NWSE"/>
    <s v="SUBJECT TO FS STIPULATION, FS LEASE NOTICES NO.3,4, FS NOTICE TO LESSEE 5 , FS TIMING LIMITATION STIPULATION 1,FS SPECIAL STIPULATION 6"/>
    <m/>
    <m/>
  </r>
  <r>
    <s v="MSES56728"/>
    <x v="0"/>
    <x v="0"/>
    <d v="2011-03-17T00:00:00"/>
    <d v="2011-05-01T00:00:00"/>
    <x v="50"/>
    <n v="1198.4000000000001"/>
    <x v="39"/>
    <x v="4"/>
    <m/>
    <n v="0.1"/>
    <n v="0.09"/>
    <m/>
    <n v="4341.5"/>
    <n v="4796"/>
    <n v="9137.5"/>
    <n v="1798.5"/>
    <m/>
    <m/>
    <m/>
    <x v="36"/>
    <x v="15"/>
    <m/>
    <m/>
    <s v="MERIDIAN ST.STEPHENS T1S, R9W"/>
    <s v="See attached sheet(on the lease)"/>
    <s v="SEE LEASE FOR MORE INFORMATION"/>
    <m/>
    <m/>
  </r>
  <r>
    <s v="MSES56729"/>
    <x v="0"/>
    <x v="0"/>
    <d v="2011-03-17T00:00:00"/>
    <d v="2011-05-01T00:00:00"/>
    <x v="50"/>
    <n v="915.46"/>
    <x v="39"/>
    <x v="4"/>
    <m/>
    <n v="0.1"/>
    <n v="0.09"/>
    <m/>
    <n v="3351"/>
    <m/>
    <n v="3351"/>
    <n v="1374"/>
    <m/>
    <m/>
    <m/>
    <x v="36"/>
    <x v="15"/>
    <m/>
    <m/>
    <s v="MERIDIAN ST.STEPHENS T1S, R9W"/>
    <s v="See attached sheet(on the lease)"/>
    <s v="SEE LEASE FOR MORE INFORMATION"/>
    <m/>
    <m/>
  </r>
  <r>
    <s v="MSES56730"/>
    <x v="0"/>
    <x v="0"/>
    <d v="2011-03-17T00:00:00"/>
    <d v="2011-05-01T00:00:00"/>
    <x v="50"/>
    <n v="1280"/>
    <x v="39"/>
    <x v="4"/>
    <m/>
    <n v="0.1"/>
    <n v="0.09"/>
    <m/>
    <n v="4625"/>
    <m/>
    <n v="4625"/>
    <n v="1920"/>
    <m/>
    <m/>
    <m/>
    <x v="36"/>
    <x v="15"/>
    <m/>
    <m/>
    <s v="MERIDIAN ST.STEPHENS T1S, R9W"/>
    <s v="Sec.33, N2, N2SW,NWSE; Sec.34, All; Sec.35, W2NW, W2SW,NESW"/>
    <s v="SUBJECT TO FS STIPULATION, FS LEASE NOTICES NO.3,4, FS NOTICE TO LESSEE 5 , FS TIMING LIMITATION STIPULATION 1,FS SPECIAL STIPULATION 6"/>
    <m/>
    <m/>
  </r>
  <r>
    <s v="MSES56731"/>
    <x v="0"/>
    <x v="0"/>
    <d v="2011-03-17T00:00:00"/>
    <d v="2011-05-01T00:00:00"/>
    <x v="50"/>
    <n v="1204.8019999999999"/>
    <x v="39"/>
    <x v="4"/>
    <m/>
    <n v="0.1"/>
    <n v="0.09"/>
    <m/>
    <n v="4362.5"/>
    <m/>
    <n v="4362.5"/>
    <n v="1807.5"/>
    <m/>
    <m/>
    <m/>
    <x v="36"/>
    <x v="15"/>
    <m/>
    <m/>
    <s v="MERIDIAN ST.STEPHENS T1S, R10W"/>
    <s v="See attached sheet(on the lease)"/>
    <s v="SEE LEASE FOR MORE INFORMATION"/>
    <m/>
    <m/>
  </r>
  <r>
    <s v="MSES56732"/>
    <x v="0"/>
    <x v="0"/>
    <d v="2011-03-17T00:00:00"/>
    <d v="2011-05-01T00:00:00"/>
    <x v="50"/>
    <n v="40"/>
    <x v="39"/>
    <x v="4"/>
    <m/>
    <n v="0.1"/>
    <n v="0.09"/>
    <m/>
    <n v="285"/>
    <m/>
    <n v="285"/>
    <n v="60"/>
    <m/>
    <m/>
    <m/>
    <x v="36"/>
    <x v="15"/>
    <m/>
    <m/>
    <s v="MERIDIAN ST.STEPHENS T1S, R10W"/>
    <s v="Sec.4,NWNW 7/32 U.S. Mineral interest"/>
    <s v="SUBJECT TO FS STIPULATION, FS LEASE NOTICES NO.3,4, FS NOTICE TO LESSEE 5 &amp; 6, FS TIMING LIMITATION STIPULATION 1, FS SPECIAL STIPULATION 6"/>
    <m/>
    <m/>
  </r>
  <r>
    <s v="MSES56733"/>
    <x v="0"/>
    <x v="0"/>
    <d v="2011-03-17T00:00:00"/>
    <d v="2011-05-01T00:00:00"/>
    <x v="50"/>
    <n v="1030"/>
    <x v="39"/>
    <x v="4"/>
    <m/>
    <n v="0.1"/>
    <n v="0.09"/>
    <m/>
    <n v="3750"/>
    <m/>
    <n v="3750"/>
    <n v="1545"/>
    <m/>
    <m/>
    <m/>
    <x v="36"/>
    <x v="15"/>
    <m/>
    <m/>
    <s v="MERIDIAN ST.STEPHENS T1S, R10W"/>
    <s v="See attached sheet(on the lease)"/>
    <s v="SEE LEASE FOR MORE INFORMATION"/>
    <m/>
    <m/>
  </r>
  <r>
    <s v="MSES56734"/>
    <x v="0"/>
    <x v="0"/>
    <d v="2011-03-17T00:00:00"/>
    <d v="2011-05-01T00:00:00"/>
    <x v="50"/>
    <n v="921.24"/>
    <x v="39"/>
    <x v="4"/>
    <m/>
    <n v="0.1"/>
    <n v="0.09"/>
    <m/>
    <n v="3372"/>
    <m/>
    <n v="3372"/>
    <n v="1383"/>
    <m/>
    <m/>
    <m/>
    <x v="36"/>
    <x v="15"/>
    <m/>
    <m/>
    <s v="MERIDIAN ST.STEPHENS T1S, R10W"/>
    <s v="Sec.11, NWNE,S2NE, NW,NESW,S2SW, SESE; Sec.13, NW,S2;"/>
    <s v="SUBJECT TO FS STIPULATION, FS LEASE NOTICES NO.3,4, FS NOTICE TO LESSEE 5 &amp; 6, FS TIMING LIMITATION STIPULATION 1"/>
    <m/>
    <m/>
  </r>
  <r>
    <s v="MSES56735"/>
    <x v="0"/>
    <x v="0"/>
    <d v="2011-03-17T00:00:00"/>
    <d v="2011-05-01T00:00:00"/>
    <x v="50"/>
    <n v="692.28899999999999"/>
    <x v="39"/>
    <x v="4"/>
    <m/>
    <n v="0.1"/>
    <n v="0.09"/>
    <m/>
    <n v="2570.5"/>
    <m/>
    <n v="2570.5"/>
    <n v="1039.5"/>
    <m/>
    <m/>
    <m/>
    <x v="36"/>
    <x v="15"/>
    <m/>
    <m/>
    <s v="MERIDIAN ST.STEPHENS T1S, R10W"/>
    <s v="See attached sheet(on the lease)"/>
    <s v="SEE LEASE FOR MORE INFORMATION"/>
    <m/>
    <m/>
  </r>
  <r>
    <s v="MSES56736"/>
    <x v="0"/>
    <x v="0"/>
    <d v="2011-03-17T00:00:00"/>
    <d v="2011-05-01T00:00:00"/>
    <x v="50"/>
    <n v="64.281000000000006"/>
    <x v="39"/>
    <x v="4"/>
    <m/>
    <n v="0.1"/>
    <n v="0.09"/>
    <m/>
    <n v="372.5"/>
    <m/>
    <n v="372.5"/>
    <n v="97.5"/>
    <m/>
    <m/>
    <m/>
    <x v="36"/>
    <x v="15"/>
    <m/>
    <m/>
    <s v="MERIDIAN ST.STEPHENS T1S, R10W"/>
    <s v="Sec.17, 21.051 acres in NENE; Sec.18, SWSW, 3.43 acres in SW corner of NWSW; 1/16 U.S. Mineral Interest"/>
    <s v="SUBJECT TO FS STIPULATION, FS LEASE NOTICES NO.3,4, FS NOTICE TO LESSEE 5 &amp; 6, FS TIMING LIMITATION STIPULATION 1, FS SPECIAL STIPULATION 6"/>
    <m/>
    <m/>
  </r>
  <r>
    <s v="MSES56737"/>
    <x v="0"/>
    <x v="0"/>
    <d v="2011-03-17T00:00:00"/>
    <d v="2011-05-01T00:00:00"/>
    <x v="50"/>
    <n v="914.11"/>
    <x v="39"/>
    <x v="4"/>
    <m/>
    <n v="0.1"/>
    <n v="0.09"/>
    <m/>
    <n v="3347.5"/>
    <m/>
    <n v="3347.5"/>
    <n v="1372.5"/>
    <m/>
    <m/>
    <m/>
    <x v="36"/>
    <x v="15"/>
    <m/>
    <m/>
    <s v="MERIDIAN ST.STEPHENS T1S, R10W"/>
    <s v="See attached sheet(on the lease)"/>
    <s v="SEE LEASE FOR MORE INFORMATION"/>
    <m/>
    <m/>
  </r>
  <r>
    <s v="MSES56740"/>
    <x v="0"/>
    <x v="0"/>
    <d v="2011-03-17T00:00:00"/>
    <d v="2011-05-01T00:00:00"/>
    <x v="50"/>
    <n v="40"/>
    <x v="39"/>
    <x v="4"/>
    <m/>
    <n v="0.1"/>
    <n v="0.09"/>
    <m/>
    <n v="285"/>
    <n v="160"/>
    <n v="445"/>
    <n v="60"/>
    <m/>
    <m/>
    <m/>
    <x v="36"/>
    <x v="15"/>
    <m/>
    <m/>
    <s v="MERIDIAN ST.STEPHENS T1S, R10W"/>
    <s v="Sec.26, SESE. 1/10 U.S. Mineral Interest"/>
    <s v="SUBJECT TO FS STIPULATION, FS LEASE NOTICES NO.3,4, FS NOTICE TO LESSEE 5 &amp; 6, FS TIMING LIMITATION STIPULATION 1"/>
    <m/>
    <m/>
  </r>
  <r>
    <s v="MSES56741"/>
    <x v="0"/>
    <x v="0"/>
    <d v="2011-03-17T00:00:00"/>
    <d v="2011-05-01T00:00:00"/>
    <x v="50"/>
    <n v="760.76"/>
    <x v="11"/>
    <x v="4"/>
    <m/>
    <n v="0.1"/>
    <n v="0.09"/>
    <m/>
    <n v="2808.5"/>
    <n v="4566"/>
    <n v="7374.5"/>
    <n v="1141.5"/>
    <m/>
    <m/>
    <m/>
    <x v="36"/>
    <x v="15"/>
    <m/>
    <m/>
    <s v="MERIDIAN ST.STEPHENS T1S, R13W"/>
    <s v="See attached sheet(on the lease)"/>
    <s v="SEE LEASE FOR MORE INFORMATION"/>
    <m/>
    <m/>
  </r>
  <r>
    <s v="MSES56742"/>
    <x v="0"/>
    <x v="0"/>
    <d v="2011-03-17T00:00:00"/>
    <d v="2011-05-01T00:00:00"/>
    <x v="50"/>
    <n v="840.55"/>
    <x v="11"/>
    <x v="4"/>
    <m/>
    <n v="0.1"/>
    <n v="0.09"/>
    <m/>
    <n v="3088.5"/>
    <n v="3364"/>
    <n v="6452.5"/>
    <n v="1261.5"/>
    <m/>
    <m/>
    <m/>
    <x v="36"/>
    <x v="15"/>
    <m/>
    <m/>
    <s v="MERIDIAN ST.STEPHENS T1S, R13W"/>
    <s v="Sec.13, S2NW, SW; Sec.14, NE,E2SE; Sec.23, NENE, S2"/>
    <s v="SUBJECT TO FS STIPULATION, FS LEASE NOTICES NO.3,4, FS NOTICE TO LESSEE 5 &amp; 6, FS TIMING LIMITATION STIPULATION 1"/>
    <m/>
    <m/>
  </r>
  <r>
    <s v="MSES56743"/>
    <x v="0"/>
    <x v="0"/>
    <d v="2011-03-17T00:00:00"/>
    <d v="2011-05-01T00:00:00"/>
    <x v="50"/>
    <n v="40"/>
    <x v="11"/>
    <x v="4"/>
    <m/>
    <n v="0.1"/>
    <n v="0.09"/>
    <m/>
    <n v="285"/>
    <n v="160"/>
    <n v="445"/>
    <n v="60"/>
    <m/>
    <m/>
    <m/>
    <x v="36"/>
    <x v="15"/>
    <m/>
    <m/>
    <s v="MERIDIAN ST.STEPHENS T1S, R13W"/>
    <s v="Sec.24, SWNE 25% U.S. Mineral Interest"/>
    <s v="SUBJECT TO FS STIPULATION, FS LEASE NOTICES NO.3,4, FS NOTICE TO LESSEE 5, FS TIMING LIMITATION STIPULATION 1"/>
    <m/>
    <m/>
  </r>
  <r>
    <s v="MSES56744"/>
    <x v="0"/>
    <x v="0"/>
    <d v="2011-03-17T00:00:00"/>
    <d v="2011-05-01T00:00:00"/>
    <x v="50"/>
    <n v="800.84"/>
    <x v="11"/>
    <x v="4"/>
    <m/>
    <n v="0.1"/>
    <n v="0.09"/>
    <m/>
    <n v="2948.5"/>
    <n v="3204"/>
    <n v="6152.5"/>
    <n v="1201.5"/>
    <m/>
    <m/>
    <m/>
    <x v="36"/>
    <x v="15"/>
    <m/>
    <m/>
    <s v="MERIDIAN ST.STEPHENS T1S, R13W"/>
    <s v="Sec.25,SE,Sec.26,All"/>
    <s v="SUBJECT TO FS STIPULATION, FS LEASE NOTICES NO.3,4, FS NOTICE TO LESSEE 5, FS TIMING LIMITATION STIPULATION 1"/>
    <m/>
    <m/>
  </r>
  <r>
    <s v="MSES56745"/>
    <x v="0"/>
    <x v="0"/>
    <d v="2011-03-17T00:00:00"/>
    <d v="2011-05-01T00:00:00"/>
    <x v="50"/>
    <n v="281.58999999999997"/>
    <x v="25"/>
    <x v="4"/>
    <m/>
    <n v="0.1"/>
    <n v="0.09"/>
    <m/>
    <n v="1132"/>
    <m/>
    <n v="1132"/>
    <n v="423"/>
    <m/>
    <m/>
    <m/>
    <x v="36"/>
    <x v="15"/>
    <m/>
    <m/>
    <s v="MERIDIAN ST.STEPHENS T1S, R14W"/>
    <s v="Sec.8,N2NE,NENW,S2S2"/>
    <s v="SUBJECT TO FS STIPULATION, FS LEASE NOTICES NO.3,4, FS NOTICE TO LESSEE 5, FS TIMING LIMITATION STIPULATION 1"/>
    <m/>
    <m/>
  </r>
  <r>
    <s v="MSES56746"/>
    <x v="0"/>
    <x v="0"/>
    <d v="2011-03-17T00:00:00"/>
    <d v="2011-05-01T00:00:00"/>
    <x v="50"/>
    <n v="320.14"/>
    <x v="25"/>
    <x v="4"/>
    <m/>
    <n v="0.1"/>
    <n v="0.09"/>
    <m/>
    <n v="1268.5"/>
    <m/>
    <n v="1268.5"/>
    <n v="481.5"/>
    <m/>
    <m/>
    <m/>
    <x v="36"/>
    <x v="15"/>
    <m/>
    <m/>
    <s v="MERIDIAN ST.STEPHENS T1S, R14W"/>
    <s v="Sec.17,N2NE; Sec.25, W2NE,N2NW.N2SE"/>
    <s v="SUBJECT TO FS STIPULATION, FS LEASE NOTICES NO.3,4, FS NOTICE TO LESSEE 5, FS TIMING LIMITATION STIPULATION 1"/>
    <m/>
    <m/>
  </r>
  <r>
    <s v="MSES56747"/>
    <x v="2"/>
    <x v="0"/>
    <d v="2011-03-17T00:00:00"/>
    <d v="2011-05-01T00:00:00"/>
    <x v="50"/>
    <n v="1311.72"/>
    <x v="13"/>
    <x v="4"/>
    <m/>
    <n v="0.1"/>
    <n v="0.09"/>
    <m/>
    <n v="4737"/>
    <m/>
    <n v="4737"/>
    <n v="1968"/>
    <m/>
    <m/>
    <m/>
    <x v="1"/>
    <x v="15"/>
    <m/>
    <m/>
    <s v="MERIDIAN ST.STEPHENS T7N, R9W"/>
    <s v="Sec.1, N2NW, SWNW, W2SENW, NWSW, S2SW; Sec.5, NENE, N2NWNE, SENWNE, S2NE, N2NENW, SWNENW, NWNW, NESW,S2SW,SE; Sec.6 E2, S2NW,SW"/>
    <s v="SUBJECT TO FS STIPULATION, FS LEASE NOTICES NO.3,4, FS NOTICE TO LESSEE 5, FS TIMING LIMITATION STIPULATION 1"/>
    <m/>
    <m/>
  </r>
  <r>
    <s v="MSES56748"/>
    <x v="2"/>
    <x v="0"/>
    <d v="2011-03-17T00:00:00"/>
    <d v="2011-05-01T00:00:00"/>
    <x v="50"/>
    <n v="1206.1099999999999"/>
    <x v="13"/>
    <x v="4"/>
    <m/>
    <n v="0.1"/>
    <n v="0.09"/>
    <m/>
    <n v="4369.5"/>
    <m/>
    <n v="4369.5"/>
    <n v="1810.5"/>
    <m/>
    <m/>
    <m/>
    <x v="1"/>
    <x v="15"/>
    <m/>
    <m/>
    <s v="MERIDIAN ST.STEPHENS T7N, R9W"/>
    <s v="Sec.7, N2, SW, N2SE, SESE; Sec.8, All"/>
    <s v="SUBJECT TO FS STIPULATION, FS LEASE NOTICES NO.3,4, FS NOTICE TO LESSEE 5, FS TIMING LIMITATION STIPULATION 1"/>
    <m/>
    <m/>
  </r>
  <r>
    <s v="MSES56749"/>
    <x v="2"/>
    <x v="0"/>
    <d v="2011-03-17T00:00:00"/>
    <d v="2011-05-01T00:00:00"/>
    <x v="50"/>
    <n v="880.55"/>
    <x v="13"/>
    <x v="4"/>
    <m/>
    <n v="0.1"/>
    <n v="0.09"/>
    <m/>
    <n v="3228.5"/>
    <m/>
    <n v="3228.5"/>
    <n v="1321.5"/>
    <m/>
    <m/>
    <m/>
    <x v="1"/>
    <x v="15"/>
    <m/>
    <m/>
    <s v="MERIDIAN ST.STEPHENS T7N, R9W"/>
    <s v="Sec.9, E2NE; Sec.10, SWNE; Sec.12, NE, W2W2; Sec.13, N2N2,SENE,SWNW,SW,NESE"/>
    <s v="SUBJECT TO FS STIPULATION, FS LEASE NOTICES NO.3,4, FS NOTICE TO LESSEE 5, FS TIMING LIMITATION STIPULATION 1"/>
    <m/>
    <m/>
  </r>
  <r>
    <s v="MSES56751"/>
    <x v="2"/>
    <x v="0"/>
    <d v="2011-03-17T00:00:00"/>
    <d v="2011-05-01T00:00:00"/>
    <x v="50"/>
    <n v="999.45"/>
    <x v="13"/>
    <x v="4"/>
    <m/>
    <n v="0.1"/>
    <n v="0.09"/>
    <m/>
    <n v="3645"/>
    <n v="168000"/>
    <n v="171645"/>
    <n v="1500"/>
    <m/>
    <m/>
    <m/>
    <x v="92"/>
    <x v="15"/>
    <m/>
    <m/>
    <s v="MERIDIAN ST.STEPHENS T7N, R9W"/>
    <s v="Sec.15, W2NE,W2,SESE; Sec.17, N2,N2S2, S2SE"/>
    <s v="SUBJECT TO FS STIPULATION, FS LEASE NOTICES NO.3,4, FS NOTICE TO LESSEE 5, FS TIMING LIMITATION STIPULATION 1"/>
    <m/>
    <m/>
  </r>
  <r>
    <s v="MSES56752"/>
    <x v="2"/>
    <x v="0"/>
    <d v="2011-03-17T00:00:00"/>
    <d v="2011-05-01T00:00:00"/>
    <x v="50"/>
    <n v="944.25"/>
    <x v="13"/>
    <x v="4"/>
    <m/>
    <n v="0.1"/>
    <n v="0.09"/>
    <m/>
    <n v="3452.5"/>
    <m/>
    <n v="3452.5"/>
    <n v="1417.5"/>
    <m/>
    <m/>
    <m/>
    <x v="1"/>
    <x v="15"/>
    <m/>
    <m/>
    <s v="MERIDIAN ST.STEPHENS T7N, R9W"/>
    <s v="Sec.18, NENE,NWNW,S2NW,NESW,S2SW;Sec.19,W2NE,SESW,N2SE; Sec.20 ,NENE,S2NE,SWNW,S2"/>
    <s v="SUBJECT TO FS STIPULATION, FS LEASE NOTICES NO.3,4, FS NOTICE TO LESSEE 5, FS TIMING LIMITATION STIPULATION 1"/>
    <m/>
    <m/>
  </r>
  <r>
    <s v="MSES56755"/>
    <x v="2"/>
    <x v="0"/>
    <d v="2011-03-17T00:00:00"/>
    <d v="2011-05-01T00:00:00"/>
    <x v="50"/>
    <n v="1000"/>
    <x v="13"/>
    <x v="4"/>
    <m/>
    <n v="0.1"/>
    <n v="0.09"/>
    <m/>
    <n v="3645"/>
    <m/>
    <n v="3645"/>
    <n v="1500"/>
    <m/>
    <m/>
    <m/>
    <x v="1"/>
    <x v="15"/>
    <m/>
    <m/>
    <s v="MERIDIAN ST.STEPHENS T7N, R9W"/>
    <s v="Sec.26, NE,N2SE; Sec.27, NW, SENE, N2SW, SWSW less 10 acres of SE corner, SESW less 5 acres off SW corner, SE; Sec.28, N2, SW, N2SE"/>
    <s v="SUBJECT TO FS STIPULATION, FS LEASE NOTICES NO.3,4, FS NOTICE TO LESSEE 5, FS TIMING LIMITATION STIPULATION 1"/>
    <m/>
    <m/>
  </r>
  <r>
    <s v="MSES56756"/>
    <x v="2"/>
    <x v="0"/>
    <d v="2011-03-17T00:00:00"/>
    <d v="2011-05-01T00:00:00"/>
    <x v="50"/>
    <n v="1217.5999999999999"/>
    <x v="13"/>
    <x v="4"/>
    <m/>
    <n v="0.1"/>
    <n v="0.09"/>
    <m/>
    <n v="4408"/>
    <m/>
    <n v="4408"/>
    <n v="1827"/>
    <m/>
    <m/>
    <m/>
    <x v="1"/>
    <x v="15"/>
    <m/>
    <m/>
    <s v="MERIDIAN ST.STEPHENS T7N, R9W"/>
    <s v="Sec.30, All; Sec.31, All"/>
    <s v="SUBJECT TO FS STIPULATION, FS LEASE NOTICES NO.3,4, FS NOTICE TO LESSEE 5, FS TIMING LIMITATION STIPULATION 1"/>
    <m/>
    <m/>
  </r>
  <r>
    <s v="MSES56757"/>
    <x v="2"/>
    <x v="0"/>
    <d v="2011-03-17T00:00:00"/>
    <d v="2011-05-01T00:00:00"/>
    <x v="50"/>
    <n v="1232.4100000000001"/>
    <x v="13"/>
    <x v="4"/>
    <m/>
    <n v="0.1"/>
    <n v="0.09"/>
    <m/>
    <n v="4460.5"/>
    <n v="4932"/>
    <n v="9392.5"/>
    <n v="1849.5"/>
    <m/>
    <m/>
    <m/>
    <x v="1"/>
    <x v="15"/>
    <m/>
    <m/>
    <s v="MERIDIAN ST.STEPHENS T7N, R9W"/>
    <s v="See attached sheet(on the lease)"/>
    <s v="SEE LEASE FOR MORE INFORMATION"/>
    <m/>
    <m/>
  </r>
  <r>
    <m/>
    <x v="1"/>
    <x v="1"/>
    <m/>
    <m/>
    <x v="1"/>
    <m/>
    <x v="1"/>
    <x v="1"/>
    <m/>
    <m/>
    <m/>
    <m/>
    <n v="221123"/>
    <n v="859929"/>
    <n v="1081052"/>
    <m/>
    <m/>
    <m/>
    <m/>
    <x v="1"/>
    <x v="1"/>
    <m/>
    <m/>
    <m/>
    <m/>
    <m/>
    <m/>
    <m/>
  </r>
  <r>
    <m/>
    <x v="1"/>
    <x v="1"/>
    <m/>
    <m/>
    <x v="1"/>
    <m/>
    <x v="1"/>
    <x v="1"/>
    <m/>
    <m/>
    <m/>
    <s v="CHECK 3551"/>
    <n v="221123"/>
    <m/>
    <n v="221123"/>
    <m/>
    <m/>
    <m/>
    <m/>
    <x v="1"/>
    <x v="1"/>
    <m/>
    <m/>
    <m/>
    <m/>
    <m/>
    <m/>
    <m/>
  </r>
  <r>
    <m/>
    <x v="1"/>
    <x v="1"/>
    <m/>
    <m/>
    <x v="1"/>
    <m/>
    <x v="1"/>
    <x v="1"/>
    <m/>
    <m/>
    <m/>
    <s v="AXP"/>
    <m/>
    <n v="99000"/>
    <n v="99000"/>
    <m/>
    <m/>
    <m/>
    <m/>
    <x v="1"/>
    <x v="1"/>
    <m/>
    <m/>
    <m/>
    <m/>
    <m/>
    <m/>
    <m/>
  </r>
  <r>
    <m/>
    <x v="1"/>
    <x v="1"/>
    <m/>
    <m/>
    <x v="1"/>
    <m/>
    <x v="1"/>
    <x v="1"/>
    <m/>
    <m/>
    <m/>
    <s v="CHECK 3554"/>
    <m/>
    <n v="760929"/>
    <n v="760929"/>
    <m/>
    <m/>
    <m/>
    <m/>
    <x v="1"/>
    <x v="1"/>
    <m/>
    <m/>
    <m/>
    <m/>
    <m/>
    <m/>
    <m/>
  </r>
  <r>
    <m/>
    <x v="1"/>
    <x v="1"/>
    <m/>
    <m/>
    <x v="1"/>
    <m/>
    <x v="1"/>
    <x v="1"/>
    <m/>
    <m/>
    <m/>
    <m/>
    <n v="221123"/>
    <n v="859929"/>
    <n v="1081052"/>
    <m/>
    <m/>
    <m/>
    <m/>
    <x v="1"/>
    <x v="1"/>
    <m/>
    <m/>
    <m/>
    <m/>
    <m/>
    <m/>
    <m/>
  </r>
  <r>
    <m/>
    <x v="1"/>
    <x v="1"/>
    <m/>
    <m/>
    <x v="1"/>
    <m/>
    <x v="1"/>
    <x v="1"/>
    <m/>
    <m/>
    <m/>
    <m/>
    <m/>
    <m/>
    <m/>
    <m/>
    <m/>
    <m/>
    <m/>
    <x v="1"/>
    <x v="1"/>
    <m/>
    <m/>
    <m/>
    <m/>
    <m/>
    <m/>
    <m/>
  </r>
  <r>
    <m/>
    <x v="1"/>
    <x v="1"/>
    <m/>
    <m/>
    <x v="1"/>
    <m/>
    <x v="1"/>
    <x v="1"/>
    <m/>
    <m/>
    <m/>
    <m/>
    <m/>
    <m/>
    <m/>
    <m/>
    <m/>
    <m/>
    <m/>
    <x v="1"/>
    <x v="1"/>
    <m/>
    <m/>
    <m/>
    <m/>
    <m/>
    <m/>
    <m/>
  </r>
  <r>
    <s v="ARES056805"/>
    <x v="2"/>
    <x v="0"/>
    <d v="2011-06-16T00:00:00"/>
    <d v="2011-12-01T00:00:00"/>
    <x v="51"/>
    <n v="488"/>
    <x v="73"/>
    <x v="2"/>
    <m/>
    <n v="0.1"/>
    <n v="0.09"/>
    <s v="ES-009-06/11"/>
    <n v="1853"/>
    <n v="976"/>
    <n v="2829"/>
    <n v="732"/>
    <m/>
    <m/>
    <m/>
    <x v="1"/>
    <x v="15"/>
    <m/>
    <m/>
    <s v="MERIDIAN 5TH PRINCIPAL, T10N R20W"/>
    <s v="SEC.24, SENE,W2SWNE,W2NENW,SWNW,S2SENW,NESW,NWSE EXPECTING A TRIANGULAR PARCEL OF LAND CONTAINING 2 ACRES IN THE NORTHEAST CORNER SEC.25 NE NWNW NESE N2SESE N2S2SESE"/>
    <m/>
    <m/>
    <m/>
  </r>
  <r>
    <s v="ARES056806"/>
    <x v="2"/>
    <x v="0"/>
    <d v="2011-06-16T00:00:00"/>
    <d v="2011-12-01T00:00:00"/>
    <x v="51"/>
    <n v="240"/>
    <x v="73"/>
    <x v="2"/>
    <m/>
    <n v="0.1"/>
    <n v="0.09"/>
    <s v="ES-010-06/11"/>
    <n v="985"/>
    <n v="480"/>
    <n v="1465"/>
    <n v="360"/>
    <m/>
    <m/>
    <m/>
    <x v="1"/>
    <x v="15"/>
    <m/>
    <m/>
    <s v="MERIDIAN 5TH PRINCIPAL, T10N R20W"/>
    <s v="SEC.24, N2NE, W2SW,SESW, SWSE"/>
    <m/>
    <m/>
    <m/>
  </r>
  <r>
    <s v="LAES056818"/>
    <x v="2"/>
    <x v="0"/>
    <d v="2011-06-16T00:00:00"/>
    <d v="2011-08-01T00:00:00"/>
    <x v="52"/>
    <n v="39.549999999999997"/>
    <x v="140"/>
    <x v="3"/>
    <m/>
    <n v="0.1"/>
    <n v="0.09"/>
    <s v="ES-023-06/11"/>
    <n v="285"/>
    <n v="120"/>
    <n v="405"/>
    <n v="60"/>
    <m/>
    <m/>
    <m/>
    <x v="1"/>
    <x v="15"/>
    <m/>
    <m/>
    <s v="MERIDIAN LOUISIANA, T10 N R1W"/>
    <s v="SEC.19 NESW"/>
    <m/>
    <m/>
    <m/>
  </r>
  <r>
    <s v="LAES056819"/>
    <x v="2"/>
    <x v="0"/>
    <d v="2011-06-16T00:00:00"/>
    <d v="2011-08-01T00:00:00"/>
    <x v="52"/>
    <n v="377.03"/>
    <x v="140"/>
    <x v="3"/>
    <m/>
    <n v="0.1"/>
    <n v="0.09"/>
    <s v="ES-023-06/11"/>
    <n v="1468"/>
    <n v="756"/>
    <n v="2224"/>
    <n v="567"/>
    <m/>
    <m/>
    <m/>
    <x v="1"/>
    <x v="15"/>
    <m/>
    <m/>
    <s v="MERIDIAN LOUISIANA, T10 N R1W"/>
    <s v="SEC.19 S2NE, N2NW, SWNW, N2SENW, NWSE; SEC.20, SWNW, W2SW"/>
    <m/>
    <m/>
    <m/>
  </r>
  <r>
    <s v="LAES056820"/>
    <x v="2"/>
    <x v="0"/>
    <d v="2011-06-16T00:00:00"/>
    <d v="2011-08-01T00:00:00"/>
    <x v="52"/>
    <n v="757.41"/>
    <x v="140"/>
    <x v="3"/>
    <m/>
    <n v="0.1"/>
    <n v="0.09"/>
    <s v="ES-024-06/11"/>
    <n v="2798"/>
    <n v="2274"/>
    <n v="5072"/>
    <n v="1137"/>
    <m/>
    <m/>
    <m/>
    <x v="1"/>
    <x v="15"/>
    <m/>
    <m/>
    <s v="MERIDIAN LOUISIANA, T10 N R1W"/>
    <s v="SEC.19, NWSW, S2S2, NESE, SEC.20, E2N2, E2NW, NESE, SEC.21, N2"/>
    <m/>
    <m/>
    <m/>
  </r>
  <r>
    <s v="LAES056821"/>
    <x v="2"/>
    <x v="0"/>
    <d v="2011-06-16T00:00:00"/>
    <d v="2011-08-01T00:00:00"/>
    <x v="52"/>
    <n v="715.99"/>
    <x v="140"/>
    <x v="3"/>
    <m/>
    <n v="0.1"/>
    <n v="0.09"/>
    <s v="ES-025-06/11"/>
    <n v="2651"/>
    <n v="1432"/>
    <n v="4083"/>
    <n v="1074"/>
    <m/>
    <m/>
    <m/>
    <x v="1"/>
    <x v="15"/>
    <m/>
    <m/>
    <s v="MERIDIAN LOUISIANA, T10 N R1W"/>
    <s v="SEC.28, NENE, SE, SEC.32, N2, N2SW, NWSE, S2SE less &amp; except 0.85 ac."/>
    <m/>
    <m/>
    <m/>
  </r>
  <r>
    <s v="LAES056822"/>
    <x v="2"/>
    <x v="0"/>
    <d v="2011-06-16T00:00:00"/>
    <d v="2011-08-01T00:00:00"/>
    <x v="52"/>
    <n v="1613.27"/>
    <x v="140"/>
    <x v="3"/>
    <m/>
    <n v="0.1"/>
    <n v="0.09"/>
    <s v="ES-026-06/11"/>
    <n v="5794"/>
    <n v="3228"/>
    <n v="9022"/>
    <n v="2421"/>
    <m/>
    <m/>
    <m/>
    <x v="1"/>
    <x v="15"/>
    <m/>
    <m/>
    <s v="MERIDIAN LOUISIANA, T10 N R1W"/>
    <s v="SEC.28, N2NW, SENW, S2NWSW, S2SW, SEC.29, NE. N2NW, SENW, S2; SEC.30, SW, NWSE; SEC.31, NE, NWNW, S2NW, S2"/>
    <m/>
    <m/>
    <m/>
  </r>
  <r>
    <s v="LAES056823"/>
    <x v="2"/>
    <x v="0"/>
    <d v="2011-06-16T00:00:00"/>
    <d v="2011-08-01T00:00:00"/>
    <x v="52"/>
    <n v="242.37"/>
    <x v="140"/>
    <x v="3"/>
    <m/>
    <n v="0.1"/>
    <n v="0.09"/>
    <s v="ES-027-06/11"/>
    <n v="995.5"/>
    <n v="729"/>
    <n v="1724.5"/>
    <n v="364.5"/>
    <m/>
    <m/>
    <m/>
    <x v="1"/>
    <x v="15"/>
    <m/>
    <m/>
    <s v="MERIDIAN LOUISIANA, T10 N R1W"/>
    <s v="SEC.29, SWNW, SEC.30, N2NE, N2SENE, SWNW, TRACT IN N2N2NW; SEC.33, NESW"/>
    <m/>
    <m/>
    <m/>
  </r>
  <r>
    <s v="LAES056828"/>
    <x v="2"/>
    <x v="0"/>
    <d v="2011-06-16T00:00:00"/>
    <d v="2011-08-01T00:00:00"/>
    <x v="52"/>
    <n v="79.64"/>
    <x v="140"/>
    <x v="3"/>
    <m/>
    <n v="0.1"/>
    <n v="0.09"/>
    <s v="ES-032-06/11"/>
    <n v="425"/>
    <n v="320"/>
    <n v="745"/>
    <n v="120"/>
    <m/>
    <m/>
    <m/>
    <x v="1"/>
    <x v="15"/>
    <m/>
    <m/>
    <s v="MERIDIAN LOUISIANA, T10 N R3W"/>
    <s v="SEC.9 NENE, SEC.10, NWNW"/>
    <m/>
    <m/>
    <m/>
  </r>
  <r>
    <s v="LAES056829"/>
    <x v="2"/>
    <x v="0"/>
    <d v="2011-06-16T00:00:00"/>
    <d v="2011-08-01T00:00:00"/>
    <x v="52"/>
    <n v="79.66"/>
    <x v="140"/>
    <x v="3"/>
    <m/>
    <n v="0.1"/>
    <n v="0.09"/>
    <s v="ES-033-06/11"/>
    <n v="425"/>
    <n v="240"/>
    <n v="665"/>
    <n v="120"/>
    <m/>
    <m/>
    <m/>
    <x v="1"/>
    <x v="15"/>
    <m/>
    <m/>
    <s v="MERIDIAN LOUISIANA, T10 N R3W"/>
    <s v="SEC.22, E2SE"/>
    <m/>
    <m/>
    <m/>
  </r>
  <r>
    <s v="LAES056831"/>
    <x v="2"/>
    <x v="0"/>
    <d v="2011-06-16T00:00:00"/>
    <d v="2011-08-01T00:00:00"/>
    <x v="52"/>
    <n v="279.77999999999997"/>
    <x v="140"/>
    <x v="3"/>
    <m/>
    <n v="0.1"/>
    <n v="0.09"/>
    <s v="ES-035-06/11"/>
    <n v="1125"/>
    <n v="1300"/>
    <n v="2425"/>
    <n v="420"/>
    <m/>
    <m/>
    <m/>
    <x v="1"/>
    <x v="15"/>
    <m/>
    <m/>
    <s v="MERIDIAN LOUISIANA, T10 N R3W"/>
    <s v="SEC.26, S2NW, SESW, SE"/>
    <m/>
    <m/>
    <m/>
  </r>
  <r>
    <s v="LAES056832"/>
    <x v="2"/>
    <x v="0"/>
    <d v="2011-06-16T00:00:00"/>
    <d v="2011-08-01T00:00:00"/>
    <x v="52"/>
    <n v="79.69"/>
    <x v="140"/>
    <x v="3"/>
    <m/>
    <n v="0.1"/>
    <n v="0.09"/>
    <s v="ES-036-06/11"/>
    <n v="425"/>
    <n v="640"/>
    <n v="1065"/>
    <n v="120"/>
    <m/>
    <m/>
    <m/>
    <x v="1"/>
    <x v="15"/>
    <m/>
    <m/>
    <s v="MERIDIAN LOUISIANA, T10 N R3W"/>
    <s v="SEC.34 E2NW"/>
    <m/>
    <m/>
    <m/>
  </r>
  <r>
    <s v="LAES056833"/>
    <x v="2"/>
    <x v="0"/>
    <d v="2011-06-16T00:00:00"/>
    <d v="2011-08-01T00:00:00"/>
    <x v="52"/>
    <n v="399.6"/>
    <x v="140"/>
    <x v="3"/>
    <m/>
    <n v="0.1"/>
    <n v="0.09"/>
    <s v="ES-037-06/11"/>
    <n v="1545"/>
    <n v="800"/>
    <n v="2345"/>
    <n v="600"/>
    <m/>
    <m/>
    <m/>
    <x v="1"/>
    <x v="15"/>
    <m/>
    <m/>
    <s v="MERIDIAN LOUISIANA, T10 N R3W"/>
    <s v="SEC.35 W2NE, NW, N2SW, SWSW, NWSE"/>
    <m/>
    <m/>
    <m/>
  </r>
  <r>
    <s v="MSES056853"/>
    <x v="2"/>
    <x v="0"/>
    <d v="2011-06-16T00:00:00"/>
    <d v="2011-09-01T00:00:00"/>
    <x v="53"/>
    <n v="40.200000000000003"/>
    <x v="160"/>
    <x v="4"/>
    <m/>
    <n v="0.1"/>
    <n v="0.09"/>
    <s v="ES-057-06/11"/>
    <n v="288.5"/>
    <n v="0"/>
    <n v="288.5"/>
    <n v="61.5"/>
    <m/>
    <m/>
    <m/>
    <x v="1"/>
    <x v="15"/>
    <m/>
    <m/>
    <s v="MERIDIAN CHOCTAW, T23N R6E"/>
    <s v="SEC.14, SWSW"/>
    <m/>
    <m/>
    <m/>
  </r>
  <r>
    <s v="MSES056854"/>
    <x v="2"/>
    <x v="0"/>
    <d v="2011-06-16T00:00:00"/>
    <d v="2011-08-01T00:00:00"/>
    <x v="52"/>
    <n v="35.19"/>
    <x v="27"/>
    <x v="4"/>
    <m/>
    <n v="0.1"/>
    <n v="0.09"/>
    <s v="ES-058-06/11"/>
    <n v="271"/>
    <n v="0"/>
    <n v="271"/>
    <n v="54"/>
    <m/>
    <m/>
    <m/>
    <x v="1"/>
    <x v="15"/>
    <m/>
    <m/>
    <s v="MERIDIAN CHOCTAW, T5N R8E"/>
    <s v="SEC.2 NWNE less 3.72 acres described as beginning at a point 7.50 chains S of NW corner of NWNE, thence E 8.18 chains, thence S 4.54 chains, thence W 8.18 chains, thence N 4.54 chains to POB"/>
    <m/>
    <m/>
    <m/>
  </r>
  <r>
    <s v="MSES056855"/>
    <x v="2"/>
    <x v="0"/>
    <d v="2011-06-16T00:00:00"/>
    <d v="2011-08-01T00:00:00"/>
    <x v="52"/>
    <n v="638.96"/>
    <x v="27"/>
    <x v="4"/>
    <m/>
    <n v="0.1"/>
    <n v="0.09"/>
    <s v="ES-059-06/11"/>
    <n v="2381.5"/>
    <n v="0"/>
    <n v="2381.5"/>
    <n v="958.5"/>
    <m/>
    <m/>
    <m/>
    <x v="1"/>
    <x v="15"/>
    <m/>
    <m/>
    <s v="MERIDIAN CHOCTAW, T5N R8E"/>
    <s v="SEC.7, ALL"/>
    <m/>
    <m/>
    <m/>
  </r>
  <r>
    <s v="MSES056856"/>
    <x v="2"/>
    <x v="0"/>
    <d v="2011-06-16T00:00:00"/>
    <d v="2011-08-01T00:00:00"/>
    <x v="52"/>
    <n v="159.19"/>
    <x v="27"/>
    <x v="4"/>
    <m/>
    <n v="0.1"/>
    <n v="0.09"/>
    <s v="ES-060-06/11"/>
    <n v="705"/>
    <n v="0"/>
    <n v="705"/>
    <n v="240"/>
    <m/>
    <m/>
    <m/>
    <x v="1"/>
    <x v="15"/>
    <m/>
    <m/>
    <s v="MERIDIAN CHOCTAW, T5N R8E"/>
    <s v="SEE ATTACHED PAGE"/>
    <m/>
    <m/>
    <m/>
  </r>
  <r>
    <s v="MSES056857"/>
    <x v="2"/>
    <x v="0"/>
    <d v="2011-06-16T00:00:00"/>
    <d v="2011-08-01T00:00:00"/>
    <x v="52"/>
    <n v="199.61"/>
    <x v="27"/>
    <x v="4"/>
    <m/>
    <n v="0.1"/>
    <n v="0.09"/>
    <s v="ES-061-06/11"/>
    <n v="845"/>
    <n v="0"/>
    <n v="845"/>
    <n v="300"/>
    <m/>
    <m/>
    <m/>
    <x v="1"/>
    <x v="15"/>
    <m/>
    <m/>
    <s v="MERIDIAN CHOCTAW, T5N R8E"/>
    <s v="SEC.21 NENE S2NE NESW NWSE"/>
    <m/>
    <m/>
    <m/>
  </r>
  <r>
    <s v="MSES056858"/>
    <x v="2"/>
    <x v="0"/>
    <d v="2011-06-16T00:00:00"/>
    <d v="2011-08-01T00:00:00"/>
    <x v="52"/>
    <n v="60.04"/>
    <x v="27"/>
    <x v="4"/>
    <m/>
    <n v="0.1"/>
    <n v="0.09"/>
    <s v="ES-062-06/11"/>
    <n v="358.5"/>
    <n v="0"/>
    <n v="358.5"/>
    <n v="91.5"/>
    <m/>
    <m/>
    <m/>
    <x v="1"/>
    <x v="15"/>
    <m/>
    <m/>
    <s v="MERIDIAN CHOCTAW, T5N R8E"/>
    <s v="SEC.22, S2SWNE, SENW"/>
    <m/>
    <m/>
    <m/>
  </r>
  <r>
    <s v="MSES056859"/>
    <x v="2"/>
    <x v="0"/>
    <d v="2011-06-16T00:00:00"/>
    <d v="2011-08-01T00:00:00"/>
    <x v="52"/>
    <n v="543.22"/>
    <x v="27"/>
    <x v="4"/>
    <m/>
    <n v="0.1"/>
    <n v="0.09"/>
    <s v="ES-063-06/11"/>
    <n v="2049"/>
    <n v="0"/>
    <n v="2049"/>
    <n v="816"/>
    <m/>
    <m/>
    <m/>
    <x v="1"/>
    <x v="15"/>
    <m/>
    <m/>
    <s v="MERIDIAN CHOCTAW, T5N R8E"/>
    <s v="SEC.25 N2NE SW W2SE SEC.26 NENW SESW NESE S2SE SEC.30 SENW"/>
    <m/>
    <m/>
    <m/>
  </r>
  <r>
    <s v="MSES056860"/>
    <x v="2"/>
    <x v="0"/>
    <d v="2011-06-16T00:00:00"/>
    <d v="2011-08-01T00:00:00"/>
    <x v="52"/>
    <n v="99.54"/>
    <x v="27"/>
    <x v="4"/>
    <m/>
    <n v="0.1"/>
    <n v="0.09"/>
    <s v="ES-064-06/11"/>
    <n v="495"/>
    <n v="0"/>
    <n v="495"/>
    <n v="150"/>
    <m/>
    <m/>
    <m/>
    <x v="1"/>
    <x v="15"/>
    <m/>
    <m/>
    <s v="MERIDIAN CHOCTAW, T5N R8E"/>
    <s v="SEE ATTACHED PAGE"/>
    <m/>
    <m/>
    <m/>
  </r>
  <r>
    <s v="MSES056861"/>
    <x v="2"/>
    <x v="0"/>
    <d v="2011-06-16T00:00:00"/>
    <d v="2011-08-01T00:00:00"/>
    <x v="52"/>
    <n v="159.38"/>
    <x v="27"/>
    <x v="4"/>
    <m/>
    <n v="0.1"/>
    <n v="0.09"/>
    <s v="ES-065-06/11"/>
    <n v="705"/>
    <n v="0"/>
    <n v="705"/>
    <n v="240"/>
    <m/>
    <m/>
    <m/>
    <x v="1"/>
    <x v="15"/>
    <m/>
    <m/>
    <s v="MERIDIAN CHOCTAW, T5N R8E"/>
    <s v="SEC. 34 E2E2"/>
    <m/>
    <m/>
    <m/>
  </r>
  <r>
    <s v="MSES056862"/>
    <x v="2"/>
    <x v="0"/>
    <d v="2011-06-16T00:00:00"/>
    <d v="2011-08-01T00:00:00"/>
    <x v="52"/>
    <n v="488.92"/>
    <x v="27"/>
    <x v="4"/>
    <m/>
    <n v="0.1"/>
    <n v="0.09"/>
    <s v="ES-066-06/11"/>
    <n v="1856.5"/>
    <n v="0"/>
    <n v="1856.5"/>
    <n v="733.5"/>
    <m/>
    <m/>
    <m/>
    <x v="1"/>
    <x v="15"/>
    <m/>
    <m/>
    <s v="MERIDIAN CHOCTAW, T5N R8E"/>
    <s v="SEC.35 SWNE SENE LESS NE 10 ACRES SEC.36 W2NE N2NW SENW E2SW SE"/>
    <m/>
    <m/>
    <m/>
  </r>
  <r>
    <s v="MSES056946"/>
    <x v="0"/>
    <x v="0"/>
    <d v="2011-06-16T00:00:00"/>
    <d v="2011-09-01T00:00:00"/>
    <x v="53"/>
    <n v="640.6"/>
    <x v="18"/>
    <x v="4"/>
    <m/>
    <n v="0.1"/>
    <n v="0.09"/>
    <s v="ES-150-06/11"/>
    <n v="2388.5"/>
    <n v="1923"/>
    <n v="4311.5"/>
    <n v="961.5"/>
    <m/>
    <m/>
    <m/>
    <x v="93"/>
    <x v="15"/>
    <m/>
    <m/>
    <s v="MERIDIAN ST.STEPHENS, T5S R9W"/>
    <s v="SEC.1 ALL  "/>
    <m/>
    <m/>
    <m/>
  </r>
  <r>
    <s v="MSES056947"/>
    <x v="0"/>
    <x v="0"/>
    <d v="2011-06-16T00:00:00"/>
    <d v="2011-08-01T00:00:00"/>
    <x v="52"/>
    <n v="640"/>
    <x v="18"/>
    <x v="4"/>
    <m/>
    <n v="0.1"/>
    <n v="0.09"/>
    <s v="ES-151-06/11"/>
    <n v="2385"/>
    <n v="640"/>
    <n v="3025"/>
    <n v="960"/>
    <m/>
    <m/>
    <m/>
    <x v="36"/>
    <x v="15"/>
    <m/>
    <m/>
    <s v="MERIDIAN ST.STEPHENS, T5S R9W"/>
    <s v="SEC.2 ALL"/>
    <m/>
    <m/>
    <m/>
  </r>
  <r>
    <s v="MSES056948"/>
    <x v="0"/>
    <x v="0"/>
    <d v="2011-06-16T00:00:00"/>
    <d v="2011-08-01T00:00:00"/>
    <x v="52"/>
    <n v="537.44000000000005"/>
    <x v="18"/>
    <x v="4"/>
    <m/>
    <n v="0.1"/>
    <n v="0.09"/>
    <s v="ES-152-06/11"/>
    <n v="2028"/>
    <n v="0"/>
    <n v="2028"/>
    <n v="807"/>
    <m/>
    <m/>
    <m/>
    <x v="36"/>
    <x v="15"/>
    <m/>
    <m/>
    <s v="MERIDIAN ST.STEPHENS, T5S R9W"/>
    <s v="SEC.3 N2 E2SW E2SE NWSE W2SWSE"/>
    <m/>
    <m/>
    <m/>
  </r>
  <r>
    <s v="MSES056949"/>
    <x v="0"/>
    <x v="0"/>
    <d v="2011-06-16T00:00:00"/>
    <d v="2011-08-01T00:00:00"/>
    <x v="52"/>
    <n v="359.33"/>
    <x v="56"/>
    <x v="4"/>
    <m/>
    <n v="0.1"/>
    <n v="0.09"/>
    <s v="ES-153-06/11"/>
    <n v="1405"/>
    <n v="0"/>
    <n v="1405"/>
    <n v="540"/>
    <m/>
    <m/>
    <m/>
    <x v="36"/>
    <x v="15"/>
    <m/>
    <m/>
    <s v="MERIDIAN ST.STEPHENS, T5S R9W"/>
    <s v="SEC.4 E2NE NENW SW W2SE"/>
    <m/>
    <m/>
    <m/>
  </r>
  <r>
    <s v="MSES056950"/>
    <x v="0"/>
    <x v="0"/>
    <d v="2011-06-16T00:00:00"/>
    <d v="2011-08-01T00:00:00"/>
    <x v="52"/>
    <n v="399.53"/>
    <x v="56"/>
    <x v="4"/>
    <m/>
    <n v="0.1"/>
    <n v="0.09"/>
    <s v="ES-154-06/11"/>
    <n v="1545"/>
    <n v="0"/>
    <n v="1545"/>
    <n v="600"/>
    <m/>
    <m/>
    <m/>
    <x v="36"/>
    <x v="15"/>
    <m/>
    <m/>
    <s v="MERIDIAN ST.STEPHENS, T5S R9W"/>
    <s v="SEC.5 E2SE SEC.7 N2"/>
    <m/>
    <m/>
    <m/>
  </r>
  <r>
    <s v="MSES056951"/>
    <x v="0"/>
    <x v="0"/>
    <d v="2011-06-16T00:00:00"/>
    <d v="2011-08-01T00:00:00"/>
    <x v="52"/>
    <n v="1236.33"/>
    <x v="56"/>
    <x v="4"/>
    <m/>
    <n v="0.1"/>
    <n v="0.09"/>
    <s v="ES-155-06/11"/>
    <n v="4474.5"/>
    <n v="0"/>
    <n v="4474.5"/>
    <n v="1855.5"/>
    <m/>
    <m/>
    <m/>
    <x v="36"/>
    <x v="15"/>
    <m/>
    <m/>
    <s v="MERIDIAN ST.STEPHENS, T5S R9W"/>
    <s v="SEC.8 NE, NENW, S2NW, S2 SEC.9 ALL"/>
    <m/>
    <m/>
    <m/>
  </r>
  <r>
    <s v="MSES056952"/>
    <x v="0"/>
    <x v="0"/>
    <d v="2011-06-16T00:00:00"/>
    <d v="2011-08-01T00:00:00"/>
    <x v="52"/>
    <n v="1154.53"/>
    <x v="18"/>
    <x v="4"/>
    <m/>
    <n v="0.1"/>
    <n v="0.09"/>
    <s v="ES-156-06/11"/>
    <n v="4187.5"/>
    <n v="0"/>
    <n v="4187.5"/>
    <n v="1732.5"/>
    <m/>
    <m/>
    <m/>
    <x v="36"/>
    <x v="15"/>
    <m/>
    <m/>
    <s v="MERIDIAN ST.STEPHENS, T5S R9W"/>
    <s v="SEC.10 N2 SWSW E2SW SE SEC.11 N2NE SENE W2NW NENW SW SE"/>
    <m/>
    <m/>
    <m/>
  </r>
  <r>
    <s v="MSES056953"/>
    <x v="0"/>
    <x v="0"/>
    <d v="2011-06-16T00:00:00"/>
    <d v="2011-08-01T00:00:00"/>
    <x v="52"/>
    <n v="804.76"/>
    <x v="18"/>
    <x v="4"/>
    <m/>
    <n v="0.1"/>
    <n v="0.09"/>
    <s v="ES-157-06/11"/>
    <n v="2962.5"/>
    <n v="0"/>
    <n v="2962.5"/>
    <n v="1207.5"/>
    <m/>
    <m/>
    <m/>
    <x v="36"/>
    <x v="15"/>
    <m/>
    <m/>
    <s v="MERIDIAN ST.STEPHENS, T5S R9W"/>
    <s v="SEC.12 N2 NESE SEC.13 N2 N2SE SESE"/>
    <m/>
    <m/>
    <m/>
  </r>
  <r>
    <s v="MSES056954"/>
    <x v="0"/>
    <x v="0"/>
    <d v="2011-06-16T00:00:00"/>
    <d v="2011-08-01T00:00:00"/>
    <x v="52"/>
    <n v="957.28"/>
    <x v="18"/>
    <x v="4"/>
    <m/>
    <n v="0.1"/>
    <n v="0.09"/>
    <s v="ES-158-06/11"/>
    <n v="3498"/>
    <n v="0"/>
    <n v="3498"/>
    <n v="1437"/>
    <m/>
    <m/>
    <m/>
    <x v="36"/>
    <x v="15"/>
    <m/>
    <m/>
    <s v="MERIDIAN ST.STEPHENS, T5S R9W"/>
    <s v="SEC. 14 ALL SEC.15 NE, E2NW, N2SE"/>
    <m/>
    <m/>
    <m/>
  </r>
  <r>
    <s v="MSES056955"/>
    <x v="0"/>
    <x v="0"/>
    <d v="2011-06-16T00:00:00"/>
    <d v="2011-08-01T00:00:00"/>
    <x v="52"/>
    <n v="1278"/>
    <x v="56"/>
    <x v="4"/>
    <m/>
    <n v="0.1"/>
    <n v="0.09"/>
    <s v="ES-159-06/11"/>
    <n v="4618"/>
    <n v="0"/>
    <n v="4618"/>
    <n v="1917"/>
    <m/>
    <m/>
    <m/>
    <x v="36"/>
    <x v="15"/>
    <m/>
    <m/>
    <s v="MERIDIAN ST.STEPHENS, T5S R9W"/>
    <s v="SEC. 17 ALL SEC.18 ALL"/>
    <m/>
    <m/>
    <m/>
  </r>
  <r>
    <s v="MSES056956"/>
    <x v="0"/>
    <x v="0"/>
    <d v="2011-06-16T00:00:00"/>
    <d v="2011-08-01T00:00:00"/>
    <x v="52"/>
    <n v="1277.4000000000001"/>
    <x v="56"/>
    <x v="4"/>
    <m/>
    <n v="0.1"/>
    <n v="0.09"/>
    <s v="ES-160-06/11"/>
    <n v="4618"/>
    <n v="0"/>
    <n v="4618"/>
    <n v="1917"/>
    <m/>
    <m/>
    <m/>
    <x v="36"/>
    <x v="15"/>
    <m/>
    <m/>
    <s v="MERIDIAN ST.STEPHENS, T5S R9W"/>
    <s v="SEC.19 ALL SEC.20 ALL"/>
    <m/>
    <m/>
    <m/>
  </r>
  <r>
    <s v="MSES056957"/>
    <x v="0"/>
    <x v="0"/>
    <d v="2011-06-16T00:00:00"/>
    <d v="2011-08-01T00:00:00"/>
    <x v="52"/>
    <n v="1324.52"/>
    <x v="161"/>
    <x v="4"/>
    <m/>
    <n v="0.1"/>
    <n v="0.09"/>
    <s v="ES-161-06/11"/>
    <n v="4782.5"/>
    <n v="0"/>
    <n v="4782.5"/>
    <n v="1987.5"/>
    <m/>
    <m/>
    <m/>
    <x v="36"/>
    <x v="15"/>
    <m/>
    <m/>
    <s v="MERIDIAN ST.STEPHENS, T5S R9W"/>
    <s v="SEC.21 E2NE SEC.23 N2 NESW S2SW SE SEC.24 ALL"/>
    <m/>
    <m/>
    <m/>
  </r>
  <r>
    <s v="MSES056958"/>
    <x v="0"/>
    <x v="0"/>
    <d v="2011-06-16T00:00:00"/>
    <d v="2011-08-01T00:00:00"/>
    <x v="52"/>
    <n v="1002.97"/>
    <x v="18"/>
    <x v="4"/>
    <m/>
    <n v="0.1"/>
    <n v="0.09"/>
    <s v="ES-162-06/11"/>
    <n v="3655.5"/>
    <n v="0"/>
    <n v="3655.5"/>
    <n v="1504.5"/>
    <m/>
    <m/>
    <m/>
    <x v="36"/>
    <x v="15"/>
    <m/>
    <m/>
    <s v="MERIDIAN ST.STEPHENS, T5S R9W"/>
    <s v="SEC.25 N2NE SENE NENW W2NW N2SW SESW E2SE SEC.26 N2SW W2SE"/>
    <m/>
    <m/>
    <m/>
  </r>
  <r>
    <s v="MSES056959"/>
    <x v="0"/>
    <x v="0"/>
    <d v="2011-06-16T00:00:00"/>
    <d v="2011-08-01T00:00:00"/>
    <x v="52"/>
    <n v="834.25"/>
    <x v="161"/>
    <x v="4"/>
    <m/>
    <n v="0.1"/>
    <n v="0.09"/>
    <s v="ES-163-06/11"/>
    <n v="3067.5"/>
    <n v="0"/>
    <n v="3067.5"/>
    <n v="1252.5"/>
    <m/>
    <m/>
    <m/>
    <x v="36"/>
    <x v="15"/>
    <m/>
    <m/>
    <s v="MERIDIAN ST.STEPHENS, T5S R9W"/>
    <s v="SEC.27 E2E2 NWNW SEC.28 NWNW SEC.29 N2 SW N2SE SESE"/>
    <m/>
    <m/>
    <m/>
  </r>
  <r>
    <s v="MSES056960"/>
    <x v="0"/>
    <x v="0"/>
    <d v="2011-06-16T00:00:00"/>
    <d v="2011-08-01T00:00:00"/>
    <x v="52"/>
    <n v="1101.6500000000001"/>
    <x v="56"/>
    <x v="4"/>
    <m/>
    <n v="0.1"/>
    <n v="0.09"/>
    <s v="ES-164-06/11"/>
    <n v="4002"/>
    <n v="0"/>
    <n v="4002"/>
    <n v="1653"/>
    <m/>
    <m/>
    <m/>
    <x v="36"/>
    <x v="15"/>
    <m/>
    <m/>
    <s v="MERIDIAN ST.STEPHENS, T5S R9W"/>
    <s v="SEC.30 ALL SEC.31 NE N2NW, SENW, E2SW, N2NESE, S2SE"/>
    <m/>
    <m/>
    <m/>
  </r>
  <r>
    <s v="MSES056961"/>
    <x v="0"/>
    <x v="0"/>
    <d v="2011-06-16T00:00:00"/>
    <d v="2011-08-01T00:00:00"/>
    <x v="52"/>
    <n v="635.04999999999995"/>
    <x v="56"/>
    <x v="4"/>
    <m/>
    <n v="0.1"/>
    <n v="0.09"/>
    <s v="ES-165-06/11"/>
    <n v="2371"/>
    <n v="0"/>
    <n v="2371"/>
    <n v="954"/>
    <m/>
    <m/>
    <m/>
    <x v="36"/>
    <x v="15"/>
    <m/>
    <m/>
    <s v="MERIDIAN ST.STEPHENS, T5S R9W"/>
    <s v="SEC. 33 ALL"/>
    <m/>
    <m/>
    <m/>
  </r>
  <r>
    <s v="MSES056962"/>
    <x v="0"/>
    <x v="0"/>
    <d v="2011-06-16T00:00:00"/>
    <d v="2011-08-01T00:00:00"/>
    <x v="52"/>
    <n v="993.08"/>
    <x v="18"/>
    <x v="4"/>
    <m/>
    <n v="0.1"/>
    <n v="0.09"/>
    <s v="ES-166-06/11"/>
    <n v="3624"/>
    <n v="0"/>
    <n v="3624"/>
    <n v="1491"/>
    <m/>
    <m/>
    <m/>
    <x v="36"/>
    <x v="15"/>
    <m/>
    <m/>
    <s v="MERIDIAN ST.STEPHENS, T5S R9W"/>
    <s v="SEC. 35 ALL SEC.36 SENW S2"/>
    <m/>
    <m/>
    <m/>
  </r>
  <r>
    <s v="MSES056963"/>
    <x v="2"/>
    <x v="0"/>
    <d v="2011-06-16T00:00:00"/>
    <d v="2011-08-01T00:00:00"/>
    <x v="52"/>
    <n v="754.27"/>
    <x v="33"/>
    <x v="4"/>
    <m/>
    <n v="0.1"/>
    <n v="0.09"/>
    <s v="ES-167-06/11"/>
    <n v="2787.5"/>
    <n v="41525"/>
    <n v="44312.5"/>
    <n v="1132.5"/>
    <m/>
    <m/>
    <m/>
    <x v="1"/>
    <x v="15"/>
    <m/>
    <m/>
    <s v="MERIDIAN WASHINGTON, T3N R2E"/>
    <s v="SEC. 5 SWSE SEC.7 E2 NWNW S2NW N2SW SESW SEC.8 SW"/>
    <m/>
    <m/>
    <m/>
  </r>
  <r>
    <s v="MSES056964"/>
    <x v="2"/>
    <x v="0"/>
    <d v="2011-06-16T00:00:00"/>
    <d v="2011-08-01T00:00:00"/>
    <x v="52"/>
    <n v="395.33"/>
    <x v="33"/>
    <x v="4"/>
    <m/>
    <n v="0.1"/>
    <n v="0.09"/>
    <s v="ES-168-06/11"/>
    <n v="1531"/>
    <n v="22176"/>
    <n v="23707"/>
    <n v="594"/>
    <m/>
    <m/>
    <m/>
    <x v="1"/>
    <x v="15"/>
    <m/>
    <m/>
    <s v="MERIDIAN WASHINGTON, T3N R3E"/>
    <s v="SEE ATTACHED PAGE"/>
    <m/>
    <m/>
    <m/>
  </r>
  <r>
    <s v="MSES056965"/>
    <x v="2"/>
    <x v="0"/>
    <d v="2011-06-16T00:00:00"/>
    <d v="2011-08-01T00:00:00"/>
    <x v="52"/>
    <n v="76.900000000000006"/>
    <x v="38"/>
    <x v="4"/>
    <m/>
    <n v="0.1"/>
    <n v="0.09"/>
    <s v="ES-169-06/11"/>
    <n v="414.5"/>
    <n v="0"/>
    <n v="414.5"/>
    <n v="115.5"/>
    <m/>
    <m/>
    <m/>
    <x v="1"/>
    <x v="15"/>
    <m/>
    <m/>
    <s v="MERIDIAN WASHINGTON, T4N R1E"/>
    <s v="SEC.5 TRACT H-1028 (LOTS 1 &amp; 7)"/>
    <m/>
    <m/>
    <m/>
  </r>
  <r>
    <s v="MSES056966"/>
    <x v="2"/>
    <x v="0"/>
    <d v="2011-06-16T00:00:00"/>
    <d v="2011-08-01T00:00:00"/>
    <x v="52"/>
    <n v="105.85"/>
    <x v="162"/>
    <x v="4"/>
    <m/>
    <n v="0.1"/>
    <n v="0.09"/>
    <s v="ES-170-06/11"/>
    <n v="516"/>
    <n v="0"/>
    <n v="516"/>
    <n v="159"/>
    <m/>
    <m/>
    <m/>
    <x v="1"/>
    <x v="15"/>
    <m/>
    <m/>
    <s v="MERIDIAN WASHINGTON, T4N R1E"/>
    <s v="SEC. 22 TRACT H-1088"/>
    <m/>
    <m/>
    <m/>
  </r>
  <r>
    <s v="MSES056967"/>
    <x v="2"/>
    <x v="0"/>
    <d v="2011-06-16T00:00:00"/>
    <d v="2011-08-01T00:00:00"/>
    <x v="52"/>
    <n v="671.46"/>
    <x v="162"/>
    <x v="4"/>
    <m/>
    <n v="0.1"/>
    <n v="0.09"/>
    <s v="ES-171-06/11"/>
    <n v="2497"/>
    <n v="8736"/>
    <n v="11233"/>
    <n v="1008"/>
    <m/>
    <m/>
    <m/>
    <x v="1"/>
    <x v="15"/>
    <m/>
    <m/>
    <s v="MERIDIAN WASHINGTON, T4N R1E"/>
    <s v="SEC. 25 NENE S2NE, W2 SE SEC.26 N2SWSW"/>
    <m/>
    <m/>
    <m/>
  </r>
  <r>
    <s v="MSES056968"/>
    <x v="2"/>
    <x v="0"/>
    <d v="2011-06-16T00:00:00"/>
    <d v="2011-08-01T00:00:00"/>
    <x v="52"/>
    <n v="34.85"/>
    <x v="162"/>
    <x v="4"/>
    <m/>
    <n v="0.1"/>
    <n v="0.09"/>
    <s v="ES-172-06/11"/>
    <n v="267.5"/>
    <n v="280"/>
    <n v="547.5"/>
    <n v="52.5"/>
    <m/>
    <m/>
    <m/>
    <x v="1"/>
    <x v="15"/>
    <m/>
    <m/>
    <s v="MERIDIAN WASHINGTON, T4N R1E"/>
    <s v="SEC.33 NWSW"/>
    <m/>
    <m/>
    <m/>
  </r>
  <r>
    <s v="MSES056969"/>
    <x v="2"/>
    <x v="0"/>
    <d v="2011-06-16T00:00:00"/>
    <d v="2011-08-01T00:00:00"/>
    <x v="52"/>
    <n v="991.78"/>
    <x v="33"/>
    <x v="4"/>
    <m/>
    <n v="0.1"/>
    <n v="0.09"/>
    <s v="ES-173-06/11"/>
    <n v="3617"/>
    <n v="5952"/>
    <n v="9569"/>
    <n v="1488"/>
    <m/>
    <m/>
    <m/>
    <x v="46"/>
    <x v="15"/>
    <m/>
    <m/>
    <s v="MERIDIAN WASHINGTON, T4N R2E"/>
    <s v="SEE ATTACHED PAGE"/>
    <m/>
    <m/>
    <m/>
  </r>
  <r>
    <s v="MSES056970"/>
    <x v="2"/>
    <x v="0"/>
    <d v="2011-06-16T00:00:00"/>
    <d v="2011-08-01T00:00:00"/>
    <x v="52"/>
    <n v="20.73"/>
    <x v="33"/>
    <x v="4"/>
    <m/>
    <n v="0.1"/>
    <n v="0.09"/>
    <s v="ES-174-06/11"/>
    <n v="218.5"/>
    <n v="105"/>
    <n v="323.5"/>
    <n v="31.5"/>
    <m/>
    <m/>
    <m/>
    <x v="46"/>
    <x v="15"/>
    <m/>
    <m/>
    <s v="MERIDIAN WASHINGTON, T4N R2E"/>
    <s v="SEC.14 E2NESE 50% US MINERAL INTEREST"/>
    <m/>
    <m/>
    <m/>
  </r>
  <r>
    <s v="MSES056971"/>
    <x v="2"/>
    <x v="0"/>
    <d v="2011-06-16T00:00:00"/>
    <d v="2011-08-01T00:00:00"/>
    <x v="52"/>
    <n v="39.78"/>
    <x v="33"/>
    <x v="4"/>
    <m/>
    <n v="0.1"/>
    <n v="0.09"/>
    <s v="ES-175-06/11"/>
    <n v="285"/>
    <n v="240"/>
    <n v="525"/>
    <n v="60"/>
    <m/>
    <m/>
    <m/>
    <x v="1"/>
    <x v="15"/>
    <m/>
    <m/>
    <s v="MERIDIAN WASHINGTON, T4N R2E"/>
    <s v="SEC.15 NWSW 50% US MINERAL INTEREST"/>
    <m/>
    <m/>
    <m/>
  </r>
  <r>
    <s v="MSES056972"/>
    <x v="2"/>
    <x v="0"/>
    <d v="2011-06-16T00:00:00"/>
    <d v="2011-08-01T00:00:00"/>
    <x v="52"/>
    <n v="1212.3599999999999"/>
    <x v="33"/>
    <x v="4"/>
    <m/>
    <n v="0.1"/>
    <n v="0.09"/>
    <s v="ES-176-06/11"/>
    <n v="4390.5"/>
    <n v="7278"/>
    <n v="11668.5"/>
    <n v="1819.5"/>
    <m/>
    <m/>
    <m/>
    <x v="46"/>
    <x v="15"/>
    <m/>
    <m/>
    <s v="MERIDIAN WASHINGTON, T4N R3E"/>
    <s v="SEC.1 ALL SEC.2 N2, S2SW, N2SE, SESE"/>
    <m/>
    <m/>
    <m/>
  </r>
  <r>
    <s v="MSES056973"/>
    <x v="2"/>
    <x v="0"/>
    <d v="2011-06-16T00:00:00"/>
    <d v="2011-08-01T00:00:00"/>
    <x v="52"/>
    <n v="1157.5899999999999"/>
    <x v="33"/>
    <x v="4"/>
    <m/>
    <n v="0.1"/>
    <n v="0.09"/>
    <s v="ES-177-06/11"/>
    <n v="4198"/>
    <n v="32424"/>
    <n v="36622"/>
    <n v="1737"/>
    <m/>
    <m/>
    <m/>
    <x v="46"/>
    <x v="15"/>
    <m/>
    <m/>
    <s v="MERIDIAN WASHINGTON, T4N R3E"/>
    <s v="SEC.3 W2NE SENE W2 SE LESS TRACT H-28D SEC.4 N2NE SWNE SENE LESS 0.49 ACRES FOR COMMUNITY CEMETERY. NESE E2NWSE E2SWSE SEC.5 NENW W2W2 SESW W2SE"/>
    <m/>
    <m/>
    <m/>
  </r>
  <r>
    <s v="MSES056974"/>
    <x v="2"/>
    <x v="0"/>
    <d v="2011-06-16T00:00:00"/>
    <d v="2011-08-01T00:00:00"/>
    <x v="52"/>
    <n v="1193.71"/>
    <x v="33"/>
    <x v="4"/>
    <m/>
    <n v="0.1"/>
    <n v="0.09"/>
    <s v="ES-178-06/11"/>
    <n v="4324"/>
    <n v="33432"/>
    <n v="37756"/>
    <n v="1791"/>
    <m/>
    <m/>
    <m/>
    <x v="46"/>
    <x v="15"/>
    <m/>
    <m/>
    <s v="MERIDIAN WASHINGTON, T4N R3E"/>
    <s v="SEC.6 W2NE NENW S2NW S2 SEC.7 ALL"/>
    <m/>
    <m/>
    <m/>
  </r>
  <r>
    <s v="MSES056976"/>
    <x v="2"/>
    <x v="0"/>
    <d v="2011-06-16T00:00:00"/>
    <d v="2011-08-01T00:00:00"/>
    <x v="52"/>
    <n v="1134.07"/>
    <x v="33"/>
    <x v="4"/>
    <m/>
    <n v="0.1"/>
    <n v="0.09"/>
    <s v="ES-180-06/11"/>
    <n v="4117.5"/>
    <n v="7945"/>
    <n v="12062.5"/>
    <n v="1702.5"/>
    <m/>
    <m/>
    <m/>
    <x v="46"/>
    <x v="15"/>
    <m/>
    <m/>
    <s v="MERIDIAN WASHINGTON, T4N R3E"/>
    <s v="SEC.10 ALL SEC.11 N2NE NW W2SW SESW SWSE"/>
    <m/>
    <m/>
    <m/>
  </r>
  <r>
    <s v="MSES056977"/>
    <x v="2"/>
    <x v="0"/>
    <d v="2011-06-16T00:00:00"/>
    <d v="2011-08-01T00:00:00"/>
    <x v="52"/>
    <n v="1144.33"/>
    <x v="33"/>
    <x v="4"/>
    <m/>
    <n v="0.1"/>
    <n v="0.09"/>
    <s v="ES-181-06/11"/>
    <n v="4152.5"/>
    <n v="6870"/>
    <n v="11022.5"/>
    <n v="1717.5"/>
    <m/>
    <m/>
    <m/>
    <x v="46"/>
    <x v="15"/>
    <m/>
    <m/>
    <s v="MERIDIAN WASHINGTON, T4N R3E"/>
    <s v="SEC.12 N2 NESE SEC.13 W2NW SEC.14 ALL"/>
    <m/>
    <m/>
    <m/>
  </r>
  <r>
    <s v="MSES056980"/>
    <x v="2"/>
    <x v="0"/>
    <d v="2011-06-16T00:00:00"/>
    <d v="2011-08-01T00:00:00"/>
    <x v="52"/>
    <n v="1580.28"/>
    <x v="33"/>
    <x v="4"/>
    <m/>
    <n v="0.1"/>
    <n v="0.09"/>
    <s v="ES-184-06/11"/>
    <n v="5678.5"/>
    <n v="7905"/>
    <n v="13583.5"/>
    <n v="2371.5"/>
    <m/>
    <m/>
    <m/>
    <x v="1"/>
    <x v="15"/>
    <m/>
    <m/>
    <s v="MERIDIAN WASHINGTON, T4N R4E"/>
    <s v="SEC.4 W2NE NW E2W2SW S2W2SWSW SEC.5 N2 SW W2NESE W2SE SESE SEC.6 ALL"/>
    <m/>
    <m/>
    <m/>
  </r>
  <r>
    <s v="MSES056981"/>
    <x v="2"/>
    <x v="0"/>
    <d v="2011-06-16T00:00:00"/>
    <d v="2011-08-01T00:00:00"/>
    <x v="52"/>
    <n v="908.42"/>
    <x v="33"/>
    <x v="4"/>
    <m/>
    <n v="0.1"/>
    <n v="0.09"/>
    <s v="ES-185-06/11"/>
    <n v="3326.5"/>
    <n v="5454"/>
    <n v="8780.5"/>
    <n v="1363.5"/>
    <m/>
    <m/>
    <m/>
    <x v="1"/>
    <x v="15"/>
    <m/>
    <m/>
    <s v="MERIDIAN WASHINGTON, T4N R4E"/>
    <s v="SEC.7 N2 NESE E2NWSE LESS 2 ACRES IN A STRIP OF UNIFORM WIDTH ACROSS SOUTH END; SEC.8 N2 LESS 1 ACRE IN SE CORNER N2SW NWSE 1 ACRE IN FORM OF SQUARE IN NW CORNER OF NESE SEC.9 NENW SWNW"/>
    <m/>
    <m/>
    <m/>
  </r>
  <r>
    <s v="MSES056982"/>
    <x v="2"/>
    <x v="0"/>
    <d v="2011-06-16T00:00:00"/>
    <d v="2011-08-01T00:00:00"/>
    <x v="52"/>
    <n v="973.07"/>
    <x v="38"/>
    <x v="4"/>
    <m/>
    <n v="0.1"/>
    <n v="0.09"/>
    <s v="ES-186-06/11"/>
    <n v="3554"/>
    <n v="0"/>
    <n v="3554"/>
    <n v="1461"/>
    <m/>
    <m/>
    <m/>
    <x v="1"/>
    <x v="15"/>
    <m/>
    <m/>
    <s v="MERIDIAN WASHINGTON, T5N R1E"/>
    <s v="SEE ATTACHED PAGE"/>
    <m/>
    <m/>
    <m/>
  </r>
  <r>
    <s v="MSES056983"/>
    <x v="2"/>
    <x v="0"/>
    <d v="2011-06-16T00:00:00"/>
    <d v="2011-08-01T00:00:00"/>
    <x v="52"/>
    <n v="240"/>
    <x v="38"/>
    <x v="4"/>
    <m/>
    <n v="0.1"/>
    <n v="0.09"/>
    <s v="ES-187-06/11"/>
    <n v="985"/>
    <n v="5280"/>
    <n v="6265"/>
    <n v="360"/>
    <m/>
    <m/>
    <m/>
    <x v="1"/>
    <x v="15"/>
    <m/>
    <m/>
    <s v="MERIDIAN WASHINGTON, T5N R1E"/>
    <s v="SEC.20 N2SE NWNW W2SW SESW"/>
    <m/>
    <m/>
    <m/>
  </r>
  <r>
    <s v="MSES056984"/>
    <x v="2"/>
    <x v="0"/>
    <d v="2011-06-16T00:00:00"/>
    <d v="2011-08-01T00:00:00"/>
    <x v="52"/>
    <n v="837"/>
    <x v="38"/>
    <x v="4"/>
    <m/>
    <n v="0.1"/>
    <n v="0.09"/>
    <s v="ES-188-06/11"/>
    <n v="3074.5"/>
    <n v="0"/>
    <n v="3074.5"/>
    <n v="1255.5"/>
    <m/>
    <m/>
    <m/>
    <x v="1"/>
    <x v="15"/>
    <m/>
    <m/>
    <s v="MERIDIAN WASHINGTON, T5N R1E"/>
    <s v="SEC.22 TRACT H-1 OR LOTS 1-5 W2 OF LOTS 6 LOTS 8 &amp; 13 SEC.23 TRACT H-1 OR ALL"/>
    <m/>
    <m/>
    <m/>
  </r>
  <r>
    <s v="MSES056985"/>
    <x v="2"/>
    <x v="0"/>
    <d v="2011-06-16T00:00:00"/>
    <d v="2011-08-01T00:00:00"/>
    <x v="52"/>
    <n v="1705.39"/>
    <x v="38"/>
    <x v="4"/>
    <m/>
    <n v="0.1"/>
    <n v="0.09"/>
    <s v="ES-189-06/11"/>
    <n v="6116"/>
    <n v="0"/>
    <n v="6116"/>
    <n v="2559"/>
    <m/>
    <m/>
    <m/>
    <x v="1"/>
    <x v="15"/>
    <m/>
    <m/>
    <s v="MERIDIAN WASHINGTON, T5N R1E"/>
    <s v="SEC.27 TRACT H-20B &amp; H-82"/>
    <m/>
    <m/>
    <m/>
  </r>
  <r>
    <s v="MSES056986"/>
    <x v="2"/>
    <x v="0"/>
    <d v="2011-06-16T00:00:00"/>
    <d v="2011-08-01T00:00:00"/>
    <x v="52"/>
    <n v="282.5"/>
    <x v="38"/>
    <x v="4"/>
    <m/>
    <n v="0.1"/>
    <n v="0.09"/>
    <s v="ES-190-06/11"/>
    <n v="1135.5"/>
    <n v="0"/>
    <n v="1135.5"/>
    <n v="424.5"/>
    <m/>
    <m/>
    <m/>
    <x v="1"/>
    <x v="15"/>
    <m/>
    <m/>
    <s v="MERIDIAN WASHINGTON, T5N R1E"/>
    <s v="SEC.28 TRACT H-20B SEC,29 TRACT H-20B"/>
    <m/>
    <m/>
    <m/>
  </r>
  <r>
    <s v="MSES056987"/>
    <x v="2"/>
    <x v="0"/>
    <d v="2011-06-16T00:00:00"/>
    <d v="2011-08-01T00:00:00"/>
    <x v="52"/>
    <n v="408.79"/>
    <x v="38"/>
    <x v="4"/>
    <m/>
    <n v="0.1"/>
    <n v="0.09"/>
    <s v="ES-191-06/11"/>
    <n v="1576.5"/>
    <n v="9816"/>
    <n v="11392.5"/>
    <n v="613.5"/>
    <m/>
    <m/>
    <m/>
    <x v="1"/>
    <x v="15"/>
    <m/>
    <m/>
    <s v="MERIDIAN WASHINGTON, T5N R1E"/>
    <s v="SEC. 30 TRACT H-20B SEC.48 TRACT H-1 OR N2NE W2NW SEC.49 N2N2 W2SWNE NWSE N2NESE (TRACTS H-1 &amp; H-131)"/>
    <m/>
    <m/>
    <m/>
  </r>
  <r>
    <s v="MSES056988"/>
    <x v="2"/>
    <x v="0"/>
    <d v="2011-06-16T00:00:00"/>
    <d v="2011-08-01T00:00:00"/>
    <x v="52"/>
    <n v="904.92"/>
    <x v="38"/>
    <x v="4"/>
    <m/>
    <n v="0.1"/>
    <n v="0.09"/>
    <s v="ES-192-06/11"/>
    <n v="3312.5"/>
    <n v="23530"/>
    <n v="26842.5"/>
    <n v="1357.5"/>
    <m/>
    <m/>
    <m/>
    <x v="1"/>
    <x v="15"/>
    <m/>
    <m/>
    <s v="MERIDIAN WASHINGTON, T5N R1E"/>
    <s v="SEC.36 N2NE NENW SWNW NESW S2SW SEC.37 ALL (TRACT H-1, H-146)"/>
    <m/>
    <m/>
    <m/>
  </r>
  <r>
    <s v="MSES056989"/>
    <x v="2"/>
    <x v="0"/>
    <d v="2011-06-16T00:00:00"/>
    <d v="2011-08-01T00:00:00"/>
    <x v="52"/>
    <n v="488.17"/>
    <x v="38"/>
    <x v="4"/>
    <m/>
    <n v="0.1"/>
    <n v="0.09"/>
    <s v="ES-193-06/11"/>
    <n v="1856.5"/>
    <n v="0"/>
    <n v="1856.5"/>
    <n v="733.5"/>
    <m/>
    <m/>
    <m/>
    <x v="1"/>
    <x v="15"/>
    <m/>
    <m/>
    <s v="MERIDIAN WASHINGTON, T5N R1E"/>
    <s v="SEC. 38 N2 LOT 2 N2NW AND FRACTIONAL SWNW IN LOT 3 , LOT 4, S2 LOT 5 (SWSE), S2 LOT 6 (SESE) SEC.47 NWNE NENW S2SW W2SE SESE(TRACTS H-13 &amp; H-13 A)"/>
    <m/>
    <m/>
    <m/>
  </r>
  <r>
    <s v="MSES056990"/>
    <x v="2"/>
    <x v="0"/>
    <d v="2011-06-16T00:00:00"/>
    <d v="2011-08-01T00:00:00"/>
    <x v="52"/>
    <n v="160"/>
    <x v="38"/>
    <x v="4"/>
    <m/>
    <n v="0.1"/>
    <n v="0.09"/>
    <s v="ES-194-06/11"/>
    <n v="705"/>
    <n v="640"/>
    <n v="1345"/>
    <n v="240"/>
    <m/>
    <m/>
    <m/>
    <x v="46"/>
    <x v="15"/>
    <m/>
    <m/>
    <s v="MERIDIAN WASHINGTON, T5N R2E"/>
    <s v="SEC.2 NENW SWNW SWSW SWSE"/>
    <m/>
    <m/>
    <m/>
  </r>
  <r>
    <s v="MSES056991"/>
    <x v="2"/>
    <x v="0"/>
    <d v="2011-06-16T00:00:00"/>
    <d v="2011-08-01T00:00:00"/>
    <x v="52"/>
    <n v="161.55000000000001"/>
    <x v="38"/>
    <x v="4"/>
    <m/>
    <n v="0.1"/>
    <n v="0.09"/>
    <s v="ES-195-06/11"/>
    <n v="712"/>
    <n v="648"/>
    <n v="1360"/>
    <n v="243"/>
    <m/>
    <m/>
    <m/>
    <x v="1"/>
    <x v="15"/>
    <m/>
    <m/>
    <s v="MERIDIAN WASHINGTON, T5N R1E"/>
    <s v="SEC. 7 PART W OF ROCKY RUN IN NWNE S2NE SESW"/>
    <m/>
    <m/>
    <m/>
  </r>
  <r>
    <s v="MSES057015"/>
    <x v="2"/>
    <x v="0"/>
    <d v="2011-06-16T00:00:00"/>
    <d v="2011-10-01T00:00:00"/>
    <x v="54"/>
    <n v="817.95"/>
    <x v="38"/>
    <x v="4"/>
    <m/>
    <n v="0.1"/>
    <n v="0.09"/>
    <m/>
    <n v="3946"/>
    <n v="0"/>
    <n v="3946"/>
    <n v="1227"/>
    <m/>
    <m/>
    <m/>
    <x v="94"/>
    <x v="15"/>
    <m/>
    <m/>
    <s v="MERIDIAN WASHINGTON, T5N R1W"/>
    <s v="SEC.3 ALL (TRACT H-20B) SEC.4 ALL (TRACT H-20B) SEC.7 ALL (TRACT H-20B) FOR SEC. 8 &amp; 9 - SEE ATTACHED PAGE"/>
    <m/>
    <m/>
    <m/>
  </r>
  <r>
    <s v="MSES057017"/>
    <x v="2"/>
    <x v="0"/>
    <d v="2011-06-16T00:00:00"/>
    <d v="2011-08-01T00:00:00"/>
    <x v="52"/>
    <n v="333.38"/>
    <x v="15"/>
    <x v="4"/>
    <m/>
    <n v="0.1"/>
    <n v="0.09"/>
    <s v="ES-221-06/11"/>
    <n v="1314"/>
    <n v="0"/>
    <n v="1314"/>
    <n v="501"/>
    <m/>
    <m/>
    <m/>
    <x v="1"/>
    <x v="15"/>
    <m/>
    <m/>
    <s v="MERIDIAN WASHINGTON, T5N R1W"/>
    <s v="SEC.18 ALL (LOTS 1-3, TRACT H-84) SEC.19 TRACT H-82"/>
    <m/>
    <m/>
    <m/>
  </r>
  <r>
    <s v="MSES057018"/>
    <x v="2"/>
    <x v="0"/>
    <d v="2011-06-16T00:00:00"/>
    <d v="2011-08-01T00:00:00"/>
    <x v="52"/>
    <n v="1879.63"/>
    <x v="15"/>
    <x v="4"/>
    <m/>
    <n v="0.1"/>
    <n v="0.09"/>
    <s v="ES-222-06/11"/>
    <n v="6725"/>
    <n v="48880"/>
    <n v="55605"/>
    <n v="2820"/>
    <m/>
    <m/>
    <m/>
    <x v="1"/>
    <x v="15"/>
    <m/>
    <m/>
    <s v="MERIDIAN WASHINGTON, T5N R1W"/>
    <s v="SEE ATTACHED PAGE"/>
    <m/>
    <m/>
    <m/>
  </r>
  <r>
    <s v="MSES057019"/>
    <x v="2"/>
    <x v="0"/>
    <d v="2011-06-16T00:00:00"/>
    <d v="2011-10-01T00:00:00"/>
    <x v="54"/>
    <n v="86.61"/>
    <x v="15"/>
    <x v="4"/>
    <m/>
    <n v="0.1"/>
    <n v="0.09"/>
    <m/>
    <n v="848.5"/>
    <n v="4020"/>
    <n v="4868.5"/>
    <n v="130.5"/>
    <m/>
    <m/>
    <m/>
    <x v="95"/>
    <x v="15"/>
    <m/>
    <m/>
    <s v="MERIDIAN WASHINGTON, T5N R1W"/>
    <s v="SEC.24 PART OF TRACT H-20B BEING ALL THAT PART OF LOTS 1,3 &amp;4 LYING SOUTH AND EAST OF FS ROAD 172"/>
    <m/>
    <m/>
    <m/>
  </r>
  <r>
    <s v="MSES057020"/>
    <x v="2"/>
    <x v="0"/>
    <d v="2011-06-16T00:00:00"/>
    <d v="2011-08-01T00:00:00"/>
    <x v="52"/>
    <n v="581.67999999999995"/>
    <x v="15"/>
    <x v="4"/>
    <m/>
    <n v="0.1"/>
    <n v="0.09"/>
    <s v="ES-224-06/11"/>
    <n v="2182"/>
    <n v="0"/>
    <n v="2182"/>
    <n v="873"/>
    <m/>
    <m/>
    <m/>
    <x v="1"/>
    <x v="15"/>
    <m/>
    <m/>
    <s v="MERIDIAN WASHINGTON, T5N R1W"/>
    <s v="SEC.32 TRACT H-20B, SEC.52 TRACT H-20B TRACT H-84 SEC.58 TRACT H-20B"/>
    <m/>
    <m/>
    <m/>
  </r>
  <r>
    <s v="MSES057022"/>
    <x v="0"/>
    <x v="0"/>
    <d v="2011-06-16T00:00:00"/>
    <d v="2011-08-01T00:00:00"/>
    <x v="52"/>
    <m/>
    <x v="15"/>
    <x v="4"/>
    <m/>
    <n v="0.1"/>
    <n v="0.09"/>
    <m/>
    <m/>
    <m/>
    <m/>
    <m/>
    <m/>
    <m/>
    <m/>
    <x v="96"/>
    <x v="15"/>
    <m/>
    <m/>
    <s v="MERIDIAN WASHINGTON, T5N R1W"/>
    <s v="WE NO LONGER OWN THIS LEASE - CANCELLED BY BLM-ES"/>
    <m/>
    <m/>
    <m/>
  </r>
  <r>
    <s v="MSES057047"/>
    <x v="2"/>
    <x v="0"/>
    <d v="2011-06-16T00:00:00"/>
    <d v="2011-08-01T00:00:00"/>
    <x v="52"/>
    <n v="534.1"/>
    <x v="33"/>
    <x v="4"/>
    <m/>
    <n v="0.1"/>
    <n v="0.09"/>
    <s v="ES-230-06/11"/>
    <n v="2017.5"/>
    <n v="4280"/>
    <n v="6297.5"/>
    <n v="802.5"/>
    <m/>
    <m/>
    <m/>
    <x v="1"/>
    <x v="15"/>
    <m/>
    <m/>
    <s v="MERIDIAN WASHINGTON, T4N R2E"/>
    <s v="SEC.15 N2 NESW S2SW SE"/>
    <m/>
    <m/>
    <m/>
  </r>
  <r>
    <m/>
    <x v="1"/>
    <x v="1"/>
    <m/>
    <m/>
    <x v="1"/>
    <m/>
    <x v="1"/>
    <x v="1"/>
    <m/>
    <m/>
    <m/>
    <m/>
    <n v="168724"/>
    <n v="293274"/>
    <n v="461998"/>
    <m/>
    <m/>
    <m/>
    <m/>
    <x v="1"/>
    <x v="1"/>
    <m/>
    <m/>
    <m/>
    <m/>
    <m/>
    <m/>
    <m/>
  </r>
  <r>
    <m/>
    <x v="1"/>
    <x v="1"/>
    <m/>
    <m/>
    <x v="1"/>
    <m/>
    <x v="1"/>
    <x v="1"/>
    <m/>
    <m/>
    <m/>
    <s v="TO BE REFUNDED BY BLM-ES "/>
    <m/>
    <m/>
    <n v="-5484"/>
    <m/>
    <m/>
    <m/>
    <m/>
    <x v="1"/>
    <x v="1"/>
    <m/>
    <m/>
    <m/>
    <m/>
    <m/>
    <m/>
    <m/>
  </r>
  <r>
    <m/>
    <x v="1"/>
    <x v="1"/>
    <m/>
    <m/>
    <x v="1"/>
    <m/>
    <x v="1"/>
    <x v="1"/>
    <m/>
    <m/>
    <m/>
    <m/>
    <m/>
    <m/>
    <n v="467482"/>
    <m/>
    <m/>
    <m/>
    <m/>
    <x v="1"/>
    <x v="1"/>
    <m/>
    <m/>
    <m/>
    <m/>
    <m/>
    <m/>
    <m/>
  </r>
  <r>
    <m/>
    <x v="1"/>
    <x v="1"/>
    <m/>
    <m/>
    <x v="1"/>
    <m/>
    <x v="1"/>
    <x v="1"/>
    <m/>
    <m/>
    <m/>
    <m/>
    <m/>
    <m/>
    <m/>
    <m/>
    <m/>
    <m/>
    <m/>
    <x v="1"/>
    <x v="1"/>
    <m/>
    <m/>
    <m/>
    <m/>
    <m/>
    <m/>
    <m/>
  </r>
  <r>
    <s v="NMNM126964"/>
    <x v="2"/>
    <x v="0"/>
    <d v="2011-07-20T00:00:00"/>
    <d v="2011-09-01T00:00:00"/>
    <x v="53"/>
    <n v="1600"/>
    <x v="62"/>
    <x v="7"/>
    <m/>
    <n v="0.1"/>
    <n v="0.09"/>
    <s v="NM-201107-003"/>
    <n v="5745"/>
    <n v="186255"/>
    <n v="192000"/>
    <n v="2400"/>
    <m/>
    <m/>
    <m/>
    <x v="1"/>
    <x v="15"/>
    <m/>
    <m/>
    <s v="MERIDIAN NMPM, T0060S R0270E"/>
    <s v="SEC.27 SW; 028 ALL; 033 N2, SW; 034 N2;"/>
    <m/>
    <m/>
    <m/>
  </r>
  <r>
    <s v="NMNM126978"/>
    <x v="2"/>
    <x v="0"/>
    <d v="2011-07-20T00:00:00"/>
    <d v="2011-09-01T00:00:00"/>
    <x v="53"/>
    <n v="120"/>
    <x v="63"/>
    <x v="7"/>
    <m/>
    <n v="0.1"/>
    <n v="0.09"/>
    <s v="NM-201107-017"/>
    <n v="565"/>
    <n v="32435"/>
    <n v="33000"/>
    <n v="180"/>
    <m/>
    <m/>
    <m/>
    <x v="1"/>
    <x v="15"/>
    <m/>
    <m/>
    <s v="MERIDIAN NMPM, T0110S R0360E"/>
    <s v="SEC.009 E2NE, SWNE;"/>
    <m/>
    <m/>
    <s v="Instrument# 50520 Book 1806 Page- 269"/>
  </r>
  <r>
    <s v="OKNM126984"/>
    <x v="0"/>
    <x v="0"/>
    <d v="2011-07-20T00:00:00"/>
    <m/>
    <x v="1"/>
    <n v="40"/>
    <x v="1"/>
    <x v="1"/>
    <m/>
    <m/>
    <m/>
    <m/>
    <m/>
    <m/>
    <m/>
    <m/>
    <m/>
    <m/>
    <m/>
    <x v="97"/>
    <x v="1"/>
    <m/>
    <m/>
    <m/>
    <m/>
    <m/>
    <m/>
    <m/>
  </r>
  <r>
    <s v="OKNM126985"/>
    <x v="0"/>
    <x v="0"/>
    <d v="2011-07-20T00:00:00"/>
    <m/>
    <x v="1"/>
    <n v="80"/>
    <x v="1"/>
    <x v="1"/>
    <m/>
    <m/>
    <m/>
    <m/>
    <m/>
    <m/>
    <m/>
    <m/>
    <m/>
    <m/>
    <m/>
    <x v="98"/>
    <x v="1"/>
    <m/>
    <m/>
    <m/>
    <m/>
    <m/>
    <m/>
    <m/>
  </r>
  <r>
    <s v="TXNM126988"/>
    <x v="2"/>
    <x v="0"/>
    <d v="2011-07-20T00:00:00"/>
    <d v="2011-09-01T00:00:00"/>
    <x v="53"/>
    <n v="71.084999999999994"/>
    <x v="80"/>
    <x v="0"/>
    <m/>
    <n v="0.1"/>
    <n v="0.09"/>
    <s v="NM-201107-027"/>
    <n v="397"/>
    <n v="11843"/>
    <n v="12240"/>
    <n v="108"/>
    <m/>
    <m/>
    <m/>
    <x v="1"/>
    <x v="15"/>
    <m/>
    <m/>
    <s v="TRACT W-K 1023;"/>
    <s v="SEE ATTACHED FOR METES AND BOUNDS WITH MAP;"/>
    <m/>
    <m/>
    <m/>
  </r>
  <r>
    <s v="TXNM126989"/>
    <x v="2"/>
    <x v="0"/>
    <d v="2011-07-20T00:00:00"/>
    <d v="2011-09-01T00:00:00"/>
    <x v="53"/>
    <n v="46.4"/>
    <x v="58"/>
    <x v="0"/>
    <m/>
    <n v="0.1"/>
    <n v="0.09"/>
    <s v="NM-201107-028"/>
    <n v="309.5"/>
    <n v="24130.5"/>
    <n v="24440"/>
    <n v="70.5"/>
    <m/>
    <m/>
    <m/>
    <x v="1"/>
    <x v="15"/>
    <m/>
    <m/>
    <s v="TRACT S-2K-1 PARCEL #14;"/>
    <s v="SEE ATTACHED FOR METES AND BOUNDS WITH MAP;"/>
    <m/>
    <m/>
    <m/>
  </r>
  <r>
    <m/>
    <x v="1"/>
    <x v="1"/>
    <m/>
    <m/>
    <x v="1"/>
    <m/>
    <x v="1"/>
    <x v="1"/>
    <m/>
    <m/>
    <m/>
    <m/>
    <n v="7016.5"/>
    <n v="254663.5"/>
    <n v="261680"/>
    <m/>
    <m/>
    <m/>
    <m/>
    <x v="1"/>
    <x v="1"/>
    <m/>
    <m/>
    <m/>
    <m/>
    <m/>
    <m/>
    <m/>
  </r>
  <r>
    <m/>
    <x v="1"/>
    <x v="1"/>
    <m/>
    <m/>
    <x v="1"/>
    <m/>
    <x v="1"/>
    <x v="1"/>
    <m/>
    <m/>
    <m/>
    <m/>
    <m/>
    <m/>
    <m/>
    <m/>
    <m/>
    <m/>
    <m/>
    <x v="1"/>
    <x v="1"/>
    <m/>
    <m/>
    <m/>
    <m/>
    <m/>
    <m/>
    <m/>
  </r>
  <r>
    <s v="MSES057091"/>
    <x v="2"/>
    <x v="0"/>
    <d v="2011-09-15T00:00:00"/>
    <d v="2011-11-01T00:00:00"/>
    <x v="55"/>
    <n v="637.12"/>
    <x v="38"/>
    <x v="4"/>
    <m/>
    <n v="0.1"/>
    <n v="0.09"/>
    <s v="ES-019-09/11"/>
    <n v="2378"/>
    <n v="37004"/>
    <n v="39382"/>
    <n v="957"/>
    <m/>
    <m/>
    <m/>
    <x v="1"/>
    <x v="15"/>
    <m/>
    <m/>
    <s v="MERIDIAN WASHINGTON , T6N R2E"/>
    <s v="SEC.38, SWSE LESS THE EAST 25 ACRES; SEC.40, ALL"/>
    <m/>
    <m/>
    <m/>
  </r>
  <r>
    <s v="MSES057092"/>
    <x v="2"/>
    <x v="0"/>
    <d v="2011-09-15T00:00:00"/>
    <d v="2011-11-01T00:00:00"/>
    <x v="55"/>
    <n v="382.12"/>
    <x v="38"/>
    <x v="4"/>
    <m/>
    <n v="0.1"/>
    <n v="0.09"/>
    <s v="ES-020-09/11"/>
    <n v="1485.5"/>
    <n v="83494"/>
    <n v="84979.5"/>
    <n v="574.5"/>
    <m/>
    <m/>
    <m/>
    <x v="1"/>
    <x v="15"/>
    <m/>
    <m/>
    <s v="MERIDIAN WASHINGTON , T6N R2E"/>
    <s v="SEC.44, N2NE, SENE, NW, NWSW, S2SW"/>
    <m/>
    <m/>
    <m/>
  </r>
  <r>
    <s v="MSES057093"/>
    <x v="2"/>
    <x v="0"/>
    <d v="2011-09-15T00:00:00"/>
    <d v="2011-11-01T00:00:00"/>
    <x v="55"/>
    <n v="516"/>
    <x v="38"/>
    <x v="4"/>
    <m/>
    <n v="0.1"/>
    <n v="0.09"/>
    <s v="ES-021-09/11"/>
    <n v="1951"/>
    <n v="112488"/>
    <n v="114439"/>
    <n v="774"/>
    <m/>
    <m/>
    <m/>
    <x v="46"/>
    <x v="15"/>
    <m/>
    <m/>
    <s v="MERIDIAN WASHINGTON , T6N R2E"/>
    <s v="SEC.45, N2NE W2 S2NESSE W2SE SESE"/>
    <m/>
    <m/>
    <m/>
  </r>
  <r>
    <s v="MSES057094"/>
    <x v="2"/>
    <x v="0"/>
    <d v="2011-09-15T00:00:00"/>
    <d v="2011-11-01T00:00:00"/>
    <x v="55"/>
    <n v="546.53"/>
    <x v="38"/>
    <x v="4"/>
    <m/>
    <n v="0.1"/>
    <n v="0.09"/>
    <s v="ES-022-09/11"/>
    <n v="2059.5"/>
    <n v="124716"/>
    <n v="126775.5"/>
    <n v="820.5"/>
    <m/>
    <m/>
    <m/>
    <x v="1"/>
    <x v="15"/>
    <m/>
    <m/>
    <s v="MERIDIAN WASHINGTON , T7N R3E"/>
    <s v="SEE ATTACHED PAGE (LEASE)"/>
    <m/>
    <m/>
    <m/>
  </r>
  <r>
    <s v="MSES057095"/>
    <x v="2"/>
    <x v="0"/>
    <d v="2011-09-15T00:00:00"/>
    <d v="2011-11-01T00:00:00"/>
    <x v="55"/>
    <n v="520.73"/>
    <x v="38"/>
    <x v="4"/>
    <m/>
    <n v="0.1"/>
    <n v="0.09"/>
    <s v="ES-023-09/11"/>
    <n v="1968.5"/>
    <n v="113578"/>
    <n v="115546.5"/>
    <n v="781.5"/>
    <m/>
    <m/>
    <m/>
    <x v="99"/>
    <x v="15"/>
    <m/>
    <m/>
    <s v="MERIDIAN WASHINGTON , T7N R3E"/>
    <s v="SEE ATTACHED PAGE (LEASE)"/>
    <m/>
    <m/>
    <m/>
  </r>
  <r>
    <s v="MSES057100"/>
    <x v="2"/>
    <x v="0"/>
    <d v="2011-09-15T00:00:00"/>
    <d v="2011-11-01T00:00:00"/>
    <x v="55"/>
    <n v="351.11"/>
    <x v="38"/>
    <x v="4"/>
    <m/>
    <n v="0.1"/>
    <n v="0.09"/>
    <s v="ES-028-09/11"/>
    <n v="1377"/>
    <n v="9856"/>
    <n v="11233"/>
    <n v="528"/>
    <m/>
    <m/>
    <m/>
    <x v="1"/>
    <x v="15"/>
    <m/>
    <m/>
    <s v="MERIDIAN WASHINGTON , T6N R4E"/>
    <s v="SEE ATTACHED PAGE (LEASE)"/>
    <m/>
    <m/>
    <m/>
  </r>
  <r>
    <s v="MSES057101"/>
    <x v="2"/>
    <x v="0"/>
    <d v="2011-09-15T00:00:00"/>
    <d v="2012-01-01T00:00:00"/>
    <x v="56"/>
    <n v="637.98"/>
    <x v="38"/>
    <x v="4"/>
    <m/>
    <n v="0.1"/>
    <n v="0.09"/>
    <s v="ES-029-09/11"/>
    <n v="2378"/>
    <n v="49708.5"/>
    <n v="52086.5"/>
    <n v="957"/>
    <m/>
    <m/>
    <m/>
    <x v="1"/>
    <x v="16"/>
    <m/>
    <m/>
    <s v="MERIDIAN WASHINGTON,  T6N R4E"/>
    <s v="SEE ATTACHED PAGE (LEASE)"/>
    <m/>
    <m/>
    <m/>
  </r>
  <r>
    <s v="MSES057102"/>
    <x v="2"/>
    <x v="0"/>
    <d v="2011-09-15T00:00:00"/>
    <d v="2012-01-01T00:00:00"/>
    <x v="56"/>
    <n v="603.98"/>
    <x v="38"/>
    <x v="4"/>
    <m/>
    <n v="0.1"/>
    <n v="0.09"/>
    <s v="ES-030-09/11"/>
    <n v="2259"/>
    <n v="41067.5"/>
    <n v="43326.5"/>
    <n v="906"/>
    <m/>
    <m/>
    <m/>
    <x v="1"/>
    <x v="16"/>
    <m/>
    <m/>
    <s v="MERIDIAN WASHINGTON,  T6N R4E"/>
    <s v="SEC.25, NE LESS S2SWNE, W2, SE LESS N2NWSE"/>
    <m/>
    <m/>
    <m/>
  </r>
  <r>
    <s v="MSES057103"/>
    <x v="2"/>
    <x v="0"/>
    <d v="2011-09-15T00:00:00"/>
    <d v="2011-11-01T00:00:00"/>
    <x v="55"/>
    <n v="600.71"/>
    <x v="38"/>
    <x v="4"/>
    <m/>
    <n v="0.1"/>
    <n v="0.09"/>
    <s v="ES-031-09/11"/>
    <n v="2248.5"/>
    <n v="46878"/>
    <n v="49126.5"/>
    <n v="901.5"/>
    <m/>
    <m/>
    <m/>
    <x v="1"/>
    <x v="15"/>
    <m/>
    <m/>
    <s v="MERIDIAN WASHINGTON , T6N R4E"/>
    <s v="SEC.26 N2 N2SW SESW SE"/>
    <m/>
    <m/>
    <m/>
  </r>
  <r>
    <s v="MSES057108"/>
    <x v="2"/>
    <x v="0"/>
    <d v="2011-09-15T00:00:00"/>
    <d v="2011-11-01T00:00:00"/>
    <x v="55"/>
    <n v="685.24"/>
    <x v="38"/>
    <x v="4"/>
    <m/>
    <n v="0.1"/>
    <n v="0.09"/>
    <s v="ES-036-09/11"/>
    <n v="2546"/>
    <n v="19208"/>
    <n v="21754"/>
    <n v="1029"/>
    <m/>
    <m/>
    <m/>
    <x v="1"/>
    <x v="15"/>
    <m/>
    <m/>
    <s v="MERIDIAN WASHINGTON , T7N R4E"/>
    <s v="SEE ATTACHED PAGE (LEASE)"/>
    <m/>
    <m/>
    <m/>
  </r>
  <r>
    <s v="MSES057109"/>
    <x v="2"/>
    <x v="0"/>
    <d v="2011-09-15T00:00:00"/>
    <d v="2011-11-01T00:00:00"/>
    <x v="55"/>
    <n v="685.9"/>
    <x v="38"/>
    <x v="4"/>
    <m/>
    <n v="0.1"/>
    <n v="0.09"/>
    <s v="ES-037-09/11"/>
    <n v="2546"/>
    <n v="19208"/>
    <n v="21754"/>
    <n v="1029"/>
    <m/>
    <m/>
    <m/>
    <x v="1"/>
    <x v="15"/>
    <m/>
    <m/>
    <s v="MERIDIAN WASHINGTON , T7N R4E"/>
    <s v="SEE ATTACHED PAGE (LEASE)"/>
    <m/>
    <m/>
    <m/>
  </r>
  <r>
    <s v="MSES057110"/>
    <x v="2"/>
    <x v="0"/>
    <d v="2011-09-15T00:00:00"/>
    <d v="2011-11-01T00:00:00"/>
    <x v="55"/>
    <n v="505.72"/>
    <x v="38"/>
    <x v="4"/>
    <m/>
    <n v="0.1"/>
    <n v="0.09"/>
    <s v="ES-038-09/11"/>
    <n v="1916"/>
    <n v="14168"/>
    <n v="16084"/>
    <n v="759"/>
    <m/>
    <m/>
    <m/>
    <x v="1"/>
    <x v="15"/>
    <m/>
    <m/>
    <s v="MERIDIAN WASHINGTON , T7N R4E"/>
    <s v="SEE ATTACHED PAGE (LEASE)"/>
    <m/>
    <m/>
    <m/>
  </r>
  <r>
    <s v="MSES057111"/>
    <x v="2"/>
    <x v="0"/>
    <d v="2011-09-15T00:00:00"/>
    <d v="2011-11-01T00:00:00"/>
    <x v="55"/>
    <n v="141.91999999999999"/>
    <x v="38"/>
    <x v="4"/>
    <m/>
    <n v="0.1"/>
    <n v="0.09"/>
    <s v="ES-039-09/11"/>
    <n v="642"/>
    <n v="3976"/>
    <n v="4618"/>
    <n v="213"/>
    <m/>
    <m/>
    <m/>
    <x v="1"/>
    <x v="15"/>
    <m/>
    <m/>
    <s v="MERIDIAN WASHINGTON , T7N R4E"/>
    <s v="SEE ATTACHED PAGE (LEASE)"/>
    <m/>
    <m/>
    <m/>
  </r>
  <r>
    <s v="MSES057112"/>
    <x v="2"/>
    <x v="0"/>
    <d v="2011-09-15T00:00:00"/>
    <d v="2011-11-01T00:00:00"/>
    <x v="55"/>
    <n v="273.8"/>
    <x v="38"/>
    <x v="4"/>
    <m/>
    <n v="0.1"/>
    <n v="0.09"/>
    <s v="ES-040-09/11"/>
    <n v="1104"/>
    <n v="13152"/>
    <n v="14256"/>
    <n v="411"/>
    <m/>
    <m/>
    <m/>
    <x v="1"/>
    <x v="15"/>
    <m/>
    <m/>
    <s v="MERIDIAN WASHINGTON , T7N R4E"/>
    <s v="SEC.5 NE NESW SEC.9 E2SENE NESE, THAT PART OF SWNE AND NWSE LYING EAST OF CREEK"/>
    <m/>
    <m/>
    <m/>
  </r>
  <r>
    <s v="MSES057113"/>
    <x v="2"/>
    <x v="0"/>
    <d v="2011-09-15T00:00:00"/>
    <d v="2011-11-01T00:00:00"/>
    <x v="55"/>
    <n v="612.36"/>
    <x v="38"/>
    <x v="4"/>
    <m/>
    <n v="0.1"/>
    <n v="0.09"/>
    <s v="ES-041-09/11"/>
    <n v="2290.5"/>
    <n v="29424"/>
    <n v="31714.5"/>
    <n v="919.5"/>
    <m/>
    <m/>
    <m/>
    <x v="1"/>
    <x v="15"/>
    <m/>
    <m/>
    <s v="MERIDIAN WASHINGTON , T7N R4E"/>
    <s v="SEC.10 ALL"/>
    <m/>
    <m/>
    <m/>
  </r>
  <r>
    <s v="MSES057114"/>
    <x v="2"/>
    <x v="0"/>
    <d v="2011-09-15T00:00:00"/>
    <d v="2011-11-01T00:00:00"/>
    <x v="55"/>
    <n v="283.54000000000002"/>
    <x v="38"/>
    <x v="4"/>
    <m/>
    <n v="0.1"/>
    <n v="0.09"/>
    <s v="ES-042-09/11"/>
    <n v="1139"/>
    <n v="44872"/>
    <n v="46011"/>
    <n v="426"/>
    <m/>
    <m/>
    <m/>
    <x v="1"/>
    <x v="15"/>
    <m/>
    <m/>
    <s v="MERIDIAN WASHINGTON , T7N R4E"/>
    <s v="SEE ATTACHED PAGE (LEASE)"/>
    <m/>
    <m/>
    <m/>
  </r>
  <r>
    <s v="MSES057120"/>
    <x v="2"/>
    <x v="0"/>
    <d v="2011-09-15T00:00:00"/>
    <d v="2012-01-01T00:00:00"/>
    <x v="56"/>
    <n v="489.05"/>
    <x v="38"/>
    <x v="4"/>
    <m/>
    <n v="0.1"/>
    <n v="0.09"/>
    <s v="ES-048-09/11"/>
    <n v="1930"/>
    <n v="172380"/>
    <n v="174310"/>
    <n v="735"/>
    <m/>
    <m/>
    <m/>
    <x v="1"/>
    <x v="16"/>
    <m/>
    <m/>
    <s v="MERIDIAN WASHINGTON , T7N R4E"/>
    <s v="SEC.28, ALL, LESS  AND EXCLUDING THE SWNW,NWSW,SWSW, AND THAT PART OF SESW LYING WEST OF MARY ROAD"/>
    <m/>
    <m/>
    <m/>
  </r>
  <r>
    <s v="MSES057267"/>
    <x v="2"/>
    <x v="0"/>
    <d v="2011-09-15T00:00:00"/>
    <d v="2012-01-01T00:00:00"/>
    <x v="56"/>
    <n v="20.38"/>
    <x v="38"/>
    <x v="4"/>
    <m/>
    <n v="0.1"/>
    <n v="0.09"/>
    <s v="ES-048-09/11"/>
    <m/>
    <m/>
    <m/>
    <n v="31.5"/>
    <m/>
    <m/>
    <m/>
    <x v="100"/>
    <x v="16"/>
    <m/>
    <m/>
    <s v="MERIDIAN WASHINGTON , T7N R4E"/>
    <s v="SEC.28, E2SWNW "/>
    <m/>
    <m/>
    <m/>
  </r>
  <r>
    <s v="MSES057126"/>
    <x v="2"/>
    <x v="0"/>
    <d v="2011-09-15T00:00:00"/>
    <d v="2011-12-01T00:00:00"/>
    <x v="51"/>
    <n v="40"/>
    <x v="38"/>
    <x v="4"/>
    <m/>
    <n v="0.1"/>
    <n v="0.09"/>
    <s v="ES-054-09/11"/>
    <n v="285"/>
    <n v="1720"/>
    <n v="2005"/>
    <n v="60"/>
    <m/>
    <m/>
    <m/>
    <x v="1"/>
    <x v="15"/>
    <m/>
    <m/>
    <s v="MERIDIAN WASHINGTON , T6N R5E"/>
    <s v="SEC.17 SESW"/>
    <m/>
    <m/>
    <m/>
  </r>
  <r>
    <s v="MSES057127"/>
    <x v="2"/>
    <x v="0"/>
    <d v="2011-09-15T00:00:00"/>
    <d v="2011-12-01T00:00:00"/>
    <x v="51"/>
    <n v="406.45"/>
    <x v="38"/>
    <x v="4"/>
    <m/>
    <n v="0.1"/>
    <n v="0.09"/>
    <s v="ES-055-09/11"/>
    <n v="1569.5"/>
    <n v="88726"/>
    <n v="90295.5"/>
    <n v="610.5"/>
    <m/>
    <m/>
    <m/>
    <x v="1"/>
    <x v="15"/>
    <m/>
    <m/>
    <s v="MERIDIAN WASHINGTON , T6N R5E"/>
    <s v="SEC.4 NW; SEC.5 NWNE N2NW SWNW NWSW SWSW THAT PART OF SESW LYING WEST OF PUBLIC ROAD"/>
    <m/>
    <m/>
    <m/>
  </r>
  <r>
    <s v="MSES057128"/>
    <x v="2"/>
    <x v="0"/>
    <d v="2011-09-15T00:00:00"/>
    <d v="2011-12-01T00:00:00"/>
    <x v="51"/>
    <n v="538.79"/>
    <x v="38"/>
    <x v="4"/>
    <m/>
    <n v="0.1"/>
    <n v="0.09"/>
    <s v="ES-056-09/11"/>
    <n v="2031.5"/>
    <n v="31262"/>
    <n v="33293.5"/>
    <n v="808.5"/>
    <m/>
    <m/>
    <m/>
    <x v="1"/>
    <x v="15"/>
    <m/>
    <m/>
    <s v="MERIDIAN WASHINGTON , T6N R5E"/>
    <s v="SEC.6 NE E2SE SEC.7 TRACTS H-2d and H-16 ; SEC.8 S2SE"/>
    <m/>
    <m/>
    <m/>
  </r>
  <r>
    <s v="MSES057137"/>
    <x v="2"/>
    <x v="0"/>
    <d v="2011-09-15T00:00:00"/>
    <d v="2011-11-01T00:00:00"/>
    <x v="55"/>
    <n v="633.99"/>
    <x v="38"/>
    <x v="4"/>
    <m/>
    <n v="0.1"/>
    <n v="0.09"/>
    <s v="ES-065-09/11"/>
    <n v="2364"/>
    <n v="271352"/>
    <n v="273716"/>
    <n v="951"/>
    <m/>
    <m/>
    <m/>
    <x v="1"/>
    <x v="15"/>
    <m/>
    <m/>
    <s v="MERIDIAN WASHINGTON , T7N R5E"/>
    <s v="SEE ATTACHED PAGE (LEASE)"/>
    <m/>
    <m/>
    <m/>
  </r>
  <r>
    <s v="MSES057138"/>
    <x v="2"/>
    <x v="0"/>
    <d v="2011-09-15T00:00:00"/>
    <d v="2011-11-01T00:00:00"/>
    <x v="55"/>
    <n v="434.19"/>
    <x v="38"/>
    <x v="4"/>
    <m/>
    <n v="0.1"/>
    <n v="0.09"/>
    <s v="ES-066-09/11"/>
    <n v="1667.5"/>
    <n v="133980"/>
    <n v="135647.5"/>
    <n v="652.5"/>
    <m/>
    <m/>
    <m/>
    <x v="1"/>
    <x v="15"/>
    <m/>
    <m/>
    <s v="MERIDIAN WASHINGTON , T7N R5E"/>
    <s v="SEC.20 W2NE NW N2SW SWSW W2SESW SESESW NWSE"/>
    <m/>
    <m/>
    <m/>
  </r>
  <r>
    <s v="MSES057140"/>
    <x v="2"/>
    <x v="0"/>
    <d v="2011-09-15T00:00:00"/>
    <d v="2011-11-01T00:00:00"/>
    <x v="55"/>
    <n v="499.15"/>
    <x v="38"/>
    <x v="4"/>
    <m/>
    <n v="0.1"/>
    <n v="0.09"/>
    <s v="ES-068-09/11"/>
    <n v="1895"/>
    <n v="174000"/>
    <n v="175895"/>
    <n v="750"/>
    <m/>
    <m/>
    <m/>
    <x v="1"/>
    <x v="15"/>
    <m/>
    <m/>
    <s v="MERIDIAN WASHINGTON , T7N R5E"/>
    <s v="SEC.29 SWNE SEC.30 NE NESW S2SW N2SE SWSE , THAT PART IN SESE LYING WEST OF PUBLIC ROAD AND CONTAINING 13.52 ACRES"/>
    <m/>
    <m/>
    <m/>
  </r>
  <r>
    <s v="MSES057141"/>
    <x v="2"/>
    <x v="0"/>
    <d v="2011-09-15T00:00:00"/>
    <d v="2011-12-01T00:00:00"/>
    <x v="51"/>
    <n v="568.91999999999996"/>
    <x v="38"/>
    <x v="4"/>
    <m/>
    <n v="0.1"/>
    <n v="0.09"/>
    <s v="ES-069-09/11"/>
    <n v="2136.5"/>
    <n v="33002"/>
    <n v="35138.5"/>
    <n v="853.5"/>
    <m/>
    <m/>
    <m/>
    <x v="1"/>
    <x v="15"/>
    <m/>
    <m/>
    <s v="MERIDIAN WASHINGTON , T7N R5E"/>
    <s v="SEC.31, E2, NENW, SW"/>
    <m/>
    <m/>
    <m/>
  </r>
  <r>
    <m/>
    <x v="1"/>
    <x v="1"/>
    <m/>
    <m/>
    <x v="1"/>
    <m/>
    <x v="1"/>
    <x v="1"/>
    <m/>
    <m/>
    <m/>
    <m/>
    <n v="44167.5"/>
    <n v="1669220"/>
    <n v="1713387.5"/>
    <m/>
    <m/>
    <m/>
    <m/>
    <x v="1"/>
    <x v="1"/>
    <m/>
    <m/>
    <m/>
    <m/>
    <m/>
    <m/>
    <m/>
  </r>
  <r>
    <m/>
    <x v="1"/>
    <x v="1"/>
    <m/>
    <m/>
    <x v="1"/>
    <m/>
    <x v="1"/>
    <x v="1"/>
    <m/>
    <m/>
    <m/>
    <m/>
    <m/>
    <m/>
    <m/>
    <m/>
    <m/>
    <m/>
    <m/>
    <x v="1"/>
    <x v="1"/>
    <m/>
    <m/>
    <m/>
    <m/>
    <m/>
    <m/>
    <m/>
  </r>
  <r>
    <s v="NMNM127451"/>
    <x v="2"/>
    <x v="0"/>
    <d v="2011-10-19T00:00:00"/>
    <d v="2011-12-01T00:00:00"/>
    <x v="51"/>
    <n v="160"/>
    <x v="63"/>
    <x v="7"/>
    <m/>
    <n v="0.1"/>
    <n v="0.09"/>
    <n v="201110010"/>
    <n v="710"/>
    <n v="44480"/>
    <n v="45190"/>
    <n v="240"/>
    <m/>
    <m/>
    <m/>
    <x v="1"/>
    <x v="15"/>
    <m/>
    <m/>
    <s v="MERIDIAN NMPM, T0260S R0360E"/>
    <s v="SEC. 013 W2E2"/>
    <m/>
    <m/>
    <m/>
  </r>
  <r>
    <s v="NMNM127452"/>
    <x v="2"/>
    <x v="0"/>
    <d v="2011-10-19T00:00:00"/>
    <d v="2011-12-01T00:00:00"/>
    <x v="51"/>
    <n v="480"/>
    <x v="42"/>
    <x v="7"/>
    <m/>
    <n v="0.1"/>
    <n v="0.09"/>
    <n v="201110011"/>
    <n v="1830"/>
    <n v="0"/>
    <n v="1830"/>
    <n v="720"/>
    <m/>
    <m/>
    <m/>
    <x v="101"/>
    <x v="15"/>
    <m/>
    <m/>
    <s v="MERIDIAN NMPM, T0210N R0080W"/>
    <s v="SEC.013 NE,S2"/>
    <m/>
    <m/>
    <m/>
  </r>
  <r>
    <m/>
    <x v="1"/>
    <x v="1"/>
    <m/>
    <m/>
    <x v="1"/>
    <m/>
    <x v="1"/>
    <x v="1"/>
    <m/>
    <m/>
    <m/>
    <m/>
    <n v="2540"/>
    <n v="44480"/>
    <n v="47020"/>
    <m/>
    <m/>
    <m/>
    <m/>
    <x v="1"/>
    <x v="1"/>
    <m/>
    <m/>
    <m/>
    <m/>
    <m/>
    <m/>
    <m/>
  </r>
  <r>
    <m/>
    <x v="1"/>
    <x v="1"/>
    <m/>
    <m/>
    <x v="1"/>
    <m/>
    <x v="1"/>
    <x v="1"/>
    <m/>
    <m/>
    <m/>
    <m/>
    <m/>
    <m/>
    <m/>
    <m/>
    <m/>
    <m/>
    <m/>
    <x v="1"/>
    <x v="1"/>
    <m/>
    <m/>
    <m/>
    <m/>
    <m/>
    <m/>
    <m/>
  </r>
  <r>
    <s v="LAES57204"/>
    <x v="2"/>
    <x v="0"/>
    <d v="2011-12-07T00:00:00"/>
    <d v="2012-02-01T00:00:00"/>
    <x v="57"/>
    <n v="444.99"/>
    <x v="32"/>
    <x v="3"/>
    <m/>
    <n v="0.1"/>
    <n v="0.09"/>
    <s v="ES-001-12/11"/>
    <n v="1707.5"/>
    <n v="143735"/>
    <n v="145442.5"/>
    <n v="667.5"/>
    <m/>
    <m/>
    <m/>
    <x v="1"/>
    <x v="16"/>
    <m/>
    <m/>
    <s v="MERIDIAN LOUISIANA T2N R1W"/>
    <s v="SEC.6 PART OF TRACT E-1 LING WEST OF HWY 165 IN THE E2 AND THE SENW CONTAINING 247.72 ACRES SW; SWNW"/>
    <m/>
    <m/>
    <m/>
  </r>
  <r>
    <s v="LAES57205"/>
    <x v="2"/>
    <x v="0"/>
    <d v="2011-12-07T00:00:00"/>
    <d v="2012-02-01T00:00:00"/>
    <x v="57"/>
    <n v="432.14"/>
    <x v="32"/>
    <x v="3"/>
    <m/>
    <n v="0.1"/>
    <n v="0.09"/>
    <s v="ES-002-12/11"/>
    <n v="1665.5"/>
    <n v="139859"/>
    <n v="141524.5"/>
    <n v="649.5"/>
    <m/>
    <m/>
    <m/>
    <x v="1"/>
    <x v="16"/>
    <m/>
    <m/>
    <s v="MERIDIAN LOUISIANA T2N R1W"/>
    <s v="SEC.7 NWNE S2NE NW N2S2"/>
    <m/>
    <m/>
    <m/>
  </r>
  <r>
    <s v="LAES57206"/>
    <x v="2"/>
    <x v="0"/>
    <d v="2011-12-07T00:00:00"/>
    <d v="2012-02-01T00:00:00"/>
    <x v="57"/>
    <n v="8.8699999999999992"/>
    <x v="32"/>
    <x v="3"/>
    <m/>
    <n v="0.1"/>
    <n v="0.09"/>
    <s v="ES-003-12/11"/>
    <n v="181.5"/>
    <n v="2907"/>
    <n v="3088.5"/>
    <n v="13.5"/>
    <m/>
    <m/>
    <m/>
    <x v="1"/>
    <x v="16"/>
    <m/>
    <m/>
    <s v="MERIDIAN LOUISIANA T2N R1W"/>
    <s v="SEC.8 PART OF TRACT E-2 IN SWNW LYING WEST OF HWY. 165 CONTAINING 8.87 ACRES"/>
    <m/>
    <m/>
    <m/>
  </r>
  <r>
    <s v="MSES57207"/>
    <x v="2"/>
    <x v="0"/>
    <d v="2011-12-07T00:00:00"/>
    <d v="2012-02-01T00:00:00"/>
    <x v="57"/>
    <n v="43.15"/>
    <x v="162"/>
    <x v="4"/>
    <m/>
    <n v="0.1"/>
    <n v="0.09"/>
    <s v="ES-004-12/11"/>
    <n v="304"/>
    <n v="1232"/>
    <n v="1536"/>
    <n v="66"/>
    <m/>
    <m/>
    <m/>
    <x v="1"/>
    <x v="16"/>
    <m/>
    <m/>
    <s v="MERIDIAN WASHINGTON T4N R1W"/>
    <s v="SEC.34 NWNE"/>
    <m/>
    <m/>
    <m/>
  </r>
  <r>
    <s v="MSES57208"/>
    <x v="2"/>
    <x v="0"/>
    <d v="2011-12-07T00:00:00"/>
    <d v="2012-02-01T00:00:00"/>
    <x v="57"/>
    <n v="274.39999999999998"/>
    <x v="162"/>
    <x v="4"/>
    <m/>
    <n v="0.1"/>
    <n v="0.09"/>
    <s v="ES-005-12/11"/>
    <n v="1112.5"/>
    <n v="46200"/>
    <n v="47312.5"/>
    <n v="412.5"/>
    <m/>
    <m/>
    <m/>
    <x v="1"/>
    <x v="16"/>
    <m/>
    <m/>
    <s v="MERIDIAN WASHINGTON T4N R1W"/>
    <s v="SEC.4 LOTS 2 &amp; 4"/>
    <m/>
    <m/>
    <m/>
  </r>
  <r>
    <s v="MSES57209"/>
    <x v="2"/>
    <x v="0"/>
    <d v="2011-12-07T00:00:00"/>
    <d v="2012-02-01T00:00:00"/>
    <x v="57"/>
    <n v="587.66999999999996"/>
    <x v="162"/>
    <x v="4"/>
    <m/>
    <n v="0.1"/>
    <n v="0.09"/>
    <s v="ES-006-12/11"/>
    <n v="2327"/>
    <n v="8086"/>
    <n v="10413"/>
    <n v="882"/>
    <m/>
    <m/>
    <m/>
    <x v="1"/>
    <x v="16"/>
    <m/>
    <m/>
    <s v="MERIDIAN WASHINGTON T4N R1W"/>
    <s v="SEC.14 E2 N2NW SW LESS 12.09 ACRES ON N SIDE"/>
    <m/>
    <m/>
    <m/>
  </r>
  <r>
    <s v="MSES57210"/>
    <x v="2"/>
    <x v="0"/>
    <d v="2011-12-07T00:00:00"/>
    <d v="2012-02-01T00:00:00"/>
    <x v="57"/>
    <n v="163.4"/>
    <x v="162"/>
    <x v="4"/>
    <m/>
    <n v="0.1"/>
    <n v="0.09"/>
    <s v="ES-007-12/11"/>
    <n v="724"/>
    <n v="1968"/>
    <n v="2692"/>
    <n v="246"/>
    <m/>
    <m/>
    <m/>
    <x v="1"/>
    <x v="16"/>
    <m/>
    <m/>
    <s v="MERIDIAN WASHINGTON T4N R1W"/>
    <s v="SEC.15 SW"/>
    <m/>
    <m/>
    <m/>
  </r>
  <r>
    <s v="MSES57211"/>
    <x v="2"/>
    <x v="0"/>
    <d v="2011-12-07T00:00:00"/>
    <d v="2012-02-01T00:00:00"/>
    <x v="57"/>
    <n v="78"/>
    <x v="162"/>
    <x v="4"/>
    <m/>
    <n v="0.1"/>
    <n v="0.09"/>
    <s v="ES-008-12/11"/>
    <n v="423"/>
    <n v="25584"/>
    <n v="26007"/>
    <n v="117"/>
    <m/>
    <m/>
    <m/>
    <x v="1"/>
    <x v="16"/>
    <m/>
    <m/>
    <s v="MERIDIAN WASHINGTON T4N R1W"/>
    <s v="SEC.17 PART SESW; SWSW LESS 2 ACCRES FOR PERRYTOWN CHURCH"/>
    <m/>
    <m/>
    <m/>
  </r>
  <r>
    <s v="MSES57212"/>
    <x v="2"/>
    <x v="0"/>
    <d v="2011-12-07T00:00:00"/>
    <d v="2012-02-01T00:00:00"/>
    <x v="57"/>
    <n v="419.72"/>
    <x v="162"/>
    <x v="4"/>
    <m/>
    <n v="0.1"/>
    <n v="0.09"/>
    <s v="ES-009-12/11"/>
    <n v="1620"/>
    <n v="3360"/>
    <n v="4980"/>
    <n v="630"/>
    <m/>
    <m/>
    <m/>
    <x v="1"/>
    <x v="16"/>
    <m/>
    <m/>
    <s v="MERIDIAN WASHINGTON T4N R1W"/>
    <s v="SEC.18,SWNWNE; NWSWNE S2SENE S2NENW N2SWNW SWSWNW SENW E2NESW SESW SE; SOUTH PART OF SWSW DESCRIBED AS: BEGINNING AT SW CORNER OF SEC.18, THENCE S 89 DEGREE 20' E21.38 CHAINS, THENCE N 1 DEGREE 30' E 11.50 CHAINS, N 89 DEGREE 20' W 21.88 CHAINS TO THE SECTION LINE, THENCE S 1 DEGREE 30' W 11.50 CHAINS TO THE BEGINNING CONTAINING 25.16 ACRES"/>
    <m/>
    <m/>
    <m/>
  </r>
  <r>
    <s v="MSES57213"/>
    <x v="2"/>
    <x v="0"/>
    <d v="2011-12-07T00:00:00"/>
    <d v="2012-02-01T00:00:00"/>
    <x v="57"/>
    <n v="455.1"/>
    <x v="162"/>
    <x v="4"/>
    <m/>
    <n v="0.1"/>
    <n v="0.09"/>
    <s v="ES-010-12/11"/>
    <n v="1816"/>
    <n v="3808"/>
    <n v="5624"/>
    <n v="684"/>
    <m/>
    <m/>
    <m/>
    <x v="1"/>
    <x v="16"/>
    <m/>
    <m/>
    <s v="MERIDIAN WASHINGTON T4N R1W"/>
    <s v="SEC.19 SW NESE LESS THAT PART LYING W OF PUBLIC ROAD IN NW CORNER SWSE "/>
    <m/>
    <m/>
    <m/>
  </r>
  <r>
    <s v="MSES57214"/>
    <x v="2"/>
    <x v="0"/>
    <d v="2011-12-07T00:00:00"/>
    <d v="2012-02-01T00:00:00"/>
    <x v="57"/>
    <n v="668.61"/>
    <x v="162"/>
    <x v="4"/>
    <m/>
    <n v="0.1"/>
    <n v="0.09"/>
    <s v="ES-011-12/11"/>
    <n v="2491.5"/>
    <n v="4683"/>
    <n v="7174.5"/>
    <n v="1003.5"/>
    <m/>
    <m/>
    <m/>
    <x v="1"/>
    <x v="16"/>
    <m/>
    <m/>
    <s v="MERIDIAN WASHINGTON T4N R1W"/>
    <s v="SEC.20 ALL"/>
    <m/>
    <m/>
    <m/>
  </r>
  <r>
    <s v="MSES57215"/>
    <x v="2"/>
    <x v="0"/>
    <d v="2011-12-07T00:00:00"/>
    <d v="2012-01-01T00:00:00"/>
    <x v="56"/>
    <n v="678.43"/>
    <x v="162"/>
    <x v="4"/>
    <m/>
    <n v="0.1"/>
    <n v="0.09"/>
    <s v="ES-012-12/11"/>
    <n v="2526.5"/>
    <n v="4074"/>
    <n v="6600.5"/>
    <n v="1018.5"/>
    <m/>
    <m/>
    <m/>
    <x v="1"/>
    <x v="16"/>
    <m/>
    <m/>
    <s v="MERIDIAN WASHINGTON T4N R1W"/>
    <s v="SEC.21 ALL LESS 25.07 ACRE EXCEPTION IN S2NW"/>
    <m/>
    <m/>
    <m/>
  </r>
  <r>
    <s v="MSES57216"/>
    <x v="2"/>
    <x v="0"/>
    <d v="2011-12-07T00:00:00"/>
    <d v="2012-01-01T00:00:00"/>
    <x v="56"/>
    <n v="88.87"/>
    <x v="162"/>
    <x v="4"/>
    <m/>
    <n v="0.1"/>
    <n v="0.09"/>
    <s v="ES-013-12/11"/>
    <n v="461.5"/>
    <n v="2047"/>
    <n v="2508.5"/>
    <n v="133.5"/>
    <m/>
    <m/>
    <m/>
    <x v="1"/>
    <x v="16"/>
    <m/>
    <m/>
    <s v="MERIDIAN WASHINGTON T4N R1W"/>
    <s v="SEE ATTACHED PAGE (ON THE LEASE)"/>
    <m/>
    <m/>
    <m/>
  </r>
  <r>
    <s v="MSES57217"/>
    <x v="2"/>
    <x v="0"/>
    <d v="2011-12-07T00:00:00"/>
    <d v="2012-01-01T00:00:00"/>
    <x v="56"/>
    <n v="637.54"/>
    <x v="162"/>
    <x v="4"/>
    <m/>
    <n v="0.1"/>
    <n v="0.09"/>
    <s v="ES-014-12/11"/>
    <n v="2383"/>
    <n v="6380"/>
    <n v="8763"/>
    <n v="957"/>
    <m/>
    <m/>
    <m/>
    <x v="1"/>
    <x v="16"/>
    <m/>
    <m/>
    <s v="MERIDIAN WASHINGTON T4N R1W"/>
    <s v="SEC.23 W2NE SENE NW S2"/>
    <m/>
    <m/>
    <m/>
  </r>
  <r>
    <s v="MSES57218"/>
    <x v="2"/>
    <x v="0"/>
    <d v="2011-12-07T00:00:00"/>
    <d v="2012-01-01T00:00:00"/>
    <x v="56"/>
    <n v="505.59"/>
    <x v="162"/>
    <x v="4"/>
    <m/>
    <n v="0.1"/>
    <n v="0.09"/>
    <s v="ES-015-12/11"/>
    <n v="1921"/>
    <n v="5060"/>
    <n v="6981"/>
    <n v="759"/>
    <m/>
    <m/>
    <m/>
    <x v="1"/>
    <x v="16"/>
    <m/>
    <m/>
    <s v="MERIDIAN WASHINGTON T4N R1W"/>
    <s v="SEC.24 ALL THAT PART OF TRACTS H-1083 H-334A AND H-1093 LYING IN SEC.24"/>
    <m/>
    <m/>
    <m/>
  </r>
  <r>
    <s v="MSES57219"/>
    <x v="2"/>
    <x v="0"/>
    <d v="2011-12-07T00:00:00"/>
    <d v="2012-01-01T00:00:00"/>
    <x v="56"/>
    <n v="303.62"/>
    <x v="162"/>
    <x v="4"/>
    <m/>
    <n v="0.1"/>
    <n v="0.09"/>
    <s v="ES-016-12/11"/>
    <n v="1214"/>
    <n v="1824"/>
    <n v="3038"/>
    <n v="456"/>
    <m/>
    <m/>
    <m/>
    <x v="1"/>
    <x v="16"/>
    <m/>
    <m/>
    <s v="MERIDIAN WASHINGTON T4N R1W"/>
    <s v="SEC.25 N2NENE W2NW THAT PART OF TRACT H-1093 LYING IN THE SWSW CONTAINING 23.45 ACRES"/>
    <m/>
    <m/>
    <m/>
  </r>
  <r>
    <s v="MSES57220"/>
    <x v="2"/>
    <x v="0"/>
    <d v="2011-12-07T00:00:00"/>
    <d v="2012-01-01T00:00:00"/>
    <x v="56"/>
    <n v="589.4"/>
    <x v="162"/>
    <x v="4"/>
    <m/>
    <n v="0.1"/>
    <n v="0.09"/>
    <s v="ES-017-12/11"/>
    <n v="2215"/>
    <n v="3540"/>
    <n v="5755"/>
    <n v="885"/>
    <m/>
    <m/>
    <m/>
    <x v="1"/>
    <x v="16"/>
    <m/>
    <m/>
    <s v="MERIDIAN WASHINGTON T4N R1W"/>
    <s v="SEC.28 N2 W2SW SE4"/>
    <m/>
    <m/>
    <m/>
  </r>
  <r>
    <s v="MSES57221"/>
    <x v="2"/>
    <x v="0"/>
    <d v="2011-12-07T00:00:00"/>
    <d v="2012-01-01T00:00:00"/>
    <x v="56"/>
    <n v="720.66"/>
    <x v="162"/>
    <x v="4"/>
    <m/>
    <n v="0.1"/>
    <n v="0.09"/>
    <s v="ES-018-12/11"/>
    <n v="2673.5"/>
    <n v="4326"/>
    <n v="6999.5"/>
    <n v="1081.5"/>
    <m/>
    <m/>
    <m/>
    <x v="1"/>
    <x v="16"/>
    <m/>
    <m/>
    <s v="MERIDIAN WASHINGTON T4N R1W"/>
    <s v="SEC.29 ALL"/>
    <m/>
    <m/>
    <m/>
  </r>
  <r>
    <s v="MSES57222"/>
    <x v="2"/>
    <x v="0"/>
    <d v="2011-12-07T00:00:00"/>
    <d v="2012-01-01T00:00:00"/>
    <x v="56"/>
    <n v="84.96"/>
    <x v="162"/>
    <x v="4"/>
    <m/>
    <n v="0.1"/>
    <n v="0.09"/>
    <s v="ES-019-12/11"/>
    <n v="447.5"/>
    <n v="2805"/>
    <n v="3252.5"/>
    <n v="127.5"/>
    <m/>
    <m/>
    <m/>
    <x v="1"/>
    <x v="16"/>
    <m/>
    <m/>
    <s v="MERIDIAN WASHINGTON T4N R1W"/>
    <s v="SEC.33 W2NW"/>
    <m/>
    <m/>
    <m/>
  </r>
  <r>
    <s v="MSES57223"/>
    <x v="2"/>
    <x v="0"/>
    <d v="2011-12-07T00:00:00"/>
    <d v="2012-01-01T00:00:00"/>
    <x v="56"/>
    <n v="647.30999999999995"/>
    <x v="162"/>
    <x v="4"/>
    <m/>
    <n v="0.1"/>
    <n v="0.09"/>
    <s v="ES-020-12/11"/>
    <n v="2418"/>
    <n v="3888"/>
    <n v="6306"/>
    <n v="972"/>
    <m/>
    <m/>
    <m/>
    <x v="1"/>
    <x v="16"/>
    <m/>
    <m/>
    <s v="MERIDIAN WASHINGTON T4N R1W"/>
    <s v="SEC.34 E2NE SWNE W2 SE"/>
    <m/>
    <m/>
    <m/>
  </r>
  <r>
    <s v="MSES57224"/>
    <x v="2"/>
    <x v="0"/>
    <d v="2011-12-07T00:00:00"/>
    <d v="2012-01-01T00:00:00"/>
    <x v="56"/>
    <n v="103.54"/>
    <x v="162"/>
    <x v="4"/>
    <m/>
    <n v="0.1"/>
    <n v="0.09"/>
    <s v="ES-021-12/11"/>
    <n v="514"/>
    <n v="3432"/>
    <n v="3946"/>
    <n v="156"/>
    <m/>
    <m/>
    <m/>
    <x v="102"/>
    <x v="16"/>
    <m/>
    <m/>
    <s v="MERIDIAN WASHINGTON T4N R1W"/>
    <s v="SEC.35 E2NENE W2SW"/>
    <m/>
    <m/>
    <m/>
  </r>
  <r>
    <s v="MSES57225"/>
    <x v="2"/>
    <x v="0"/>
    <d v="2011-12-07T00:00:00"/>
    <d v="2012-01-01T00:00:00"/>
    <x v="56"/>
    <n v="209.04"/>
    <x v="162"/>
    <x v="4"/>
    <m/>
    <n v="0.1"/>
    <n v="0.09"/>
    <s v="ES-022-12/11"/>
    <n v="885"/>
    <n v="1260"/>
    <n v="2145"/>
    <n v="315"/>
    <m/>
    <m/>
    <m/>
    <x v="1"/>
    <x v="16"/>
    <m/>
    <m/>
    <s v="MERIDIAN WASHINGTON T4N R1W"/>
    <s v="SEC.36 NENE S2NE NWNW LESS 2 ACRES IN SE CORNER SWNW"/>
    <m/>
    <m/>
    <m/>
  </r>
  <r>
    <s v="MSES57226"/>
    <x v="2"/>
    <x v="0"/>
    <d v="2011-12-07T00:00:00"/>
    <d v="2012-01-01T00:00:00"/>
    <x v="56"/>
    <n v="242.63"/>
    <x v="162"/>
    <x v="4"/>
    <m/>
    <n v="0.1"/>
    <n v="0.09"/>
    <s v="ES-023-12/11"/>
    <n v="1000.5"/>
    <n v="1458"/>
    <n v="2458.5"/>
    <n v="364.5"/>
    <m/>
    <m/>
    <m/>
    <x v="1"/>
    <x v="16"/>
    <m/>
    <m/>
    <s v="MERIDIAN WASHINGTON T4N R1W"/>
    <s v="SEC.37 S2NENE NWNE SENE N2NW SWNW"/>
    <m/>
    <m/>
    <m/>
  </r>
  <r>
    <s v="MSES57227"/>
    <x v="2"/>
    <x v="0"/>
    <d v="2011-12-07T00:00:00"/>
    <d v="2012-01-01T00:00:00"/>
    <x v="56"/>
    <n v="213.67"/>
    <x v="162"/>
    <x v="4"/>
    <m/>
    <n v="0.1"/>
    <n v="0.09"/>
    <s v="ES-024-12/11"/>
    <n v="899"/>
    <n v="1284"/>
    <n v="2183"/>
    <n v="321"/>
    <m/>
    <m/>
    <m/>
    <x v="1"/>
    <x v="16"/>
    <m/>
    <m/>
    <s v="MERIDIAN WASHINGTON T4N R1W"/>
    <s v="SEC.38 NENE NW"/>
    <m/>
    <m/>
    <m/>
  </r>
  <r>
    <s v="MSES57228"/>
    <x v="2"/>
    <x v="0"/>
    <d v="2011-12-07T00:00:00"/>
    <d v="2012-02-01T00:00:00"/>
    <x v="57"/>
    <n v="44.21"/>
    <x v="162"/>
    <x v="4"/>
    <m/>
    <n v="0.1"/>
    <n v="0.09"/>
    <s v="ES-025-12/11"/>
    <n v="307.5"/>
    <n v="2385"/>
    <n v="2692.5"/>
    <n v="67.5"/>
    <m/>
    <m/>
    <m/>
    <x v="1"/>
    <x v="16"/>
    <m/>
    <m/>
    <s v="MERIDIAN WASHINGTON, T4N R1W"/>
    <s v="SEC.41 NESW"/>
    <m/>
    <m/>
    <m/>
  </r>
  <r>
    <s v="MSES57229"/>
    <x v="2"/>
    <x v="0"/>
    <d v="2011-12-07T00:00:00"/>
    <d v="2012-02-01T00:00:00"/>
    <x v="57"/>
    <n v="40.049999999999997"/>
    <x v="55"/>
    <x v="4"/>
    <m/>
    <n v="0.1"/>
    <n v="0.09"/>
    <s v="ES-026-12/11"/>
    <n v="293.5"/>
    <n v="2378"/>
    <n v="2671.5"/>
    <n v="61.5"/>
    <m/>
    <m/>
    <m/>
    <x v="1"/>
    <x v="16"/>
    <m/>
    <m/>
    <s v="MERIDIAN CHOCTOW T4N R8E"/>
    <s v="SEC.8 SWSE"/>
    <m/>
    <m/>
    <m/>
  </r>
  <r>
    <s v="MSES57230"/>
    <x v="2"/>
    <x v="0"/>
    <d v="2011-12-07T00:00:00"/>
    <d v="2012-01-01T00:00:00"/>
    <x v="56"/>
    <n v="168.5"/>
    <x v="24"/>
    <x v="4"/>
    <m/>
    <n v="0.1"/>
    <n v="0.09"/>
    <s v="ES-027-12/11"/>
    <n v="741.5"/>
    <n v="0"/>
    <n v="741.5"/>
    <n v="253.5"/>
    <m/>
    <m/>
    <m/>
    <x v="1"/>
    <x v="16"/>
    <m/>
    <m/>
    <s v="MERIDIAN ST.STEPHENS, T6N R14W"/>
    <s v="SEC.21 S2NE NENE ALL THAT PART OF E2NWNE NORTH OF PUBLIC ROAD, ALL THAT PART OF SENW OF HIGHWAY 49"/>
    <m/>
    <m/>
    <m/>
  </r>
  <r>
    <s v="MSES57231"/>
    <x v="2"/>
    <x v="0"/>
    <d v="2011-12-07T00:00:00"/>
    <d v="2012-02-01T00:00:00"/>
    <x v="57"/>
    <n v="309.27"/>
    <x v="38"/>
    <x v="4"/>
    <m/>
    <n v="0.1"/>
    <n v="0.09"/>
    <s v="ES-028-12/11"/>
    <n v="1235"/>
    <n v="2480"/>
    <n v="3715"/>
    <n v="465"/>
    <m/>
    <m/>
    <m/>
    <x v="1"/>
    <x v="16"/>
    <m/>
    <m/>
    <s v="MERIDIAN WASHINGTON T7N R4E"/>
    <s v="SEC.12 NWNW S2NW S2 LESS ALL THAT PART LYING SOUTH &amp; EAST OF THE CENTERLINE OF COUNTY ROAD 109, CONSISTING OF TRACTS: H-40A, B,C,D &amp; PART OF H-40 IN SEC.12 TOTALING 272.58 ACRES. SEC.13 ALL THAT PART OF NW LYING NORTH 7 WEST OF THE CENTERLINE OF COUNTY ROAD 109 &amp; BEING A PART OF TRACT H-40 CONSISTING OF 36.69 ACRES"/>
    <m/>
    <m/>
    <m/>
  </r>
  <r>
    <s v="MSES57232"/>
    <x v="2"/>
    <x v="0"/>
    <d v="2011-12-07T00:00:00"/>
    <d v="2012-02-01T00:00:00"/>
    <x v="57"/>
    <n v="36.799999999999997"/>
    <x v="24"/>
    <x v="4"/>
    <m/>
    <n v="0.1"/>
    <n v="0.09"/>
    <s v="ES-029-12/11"/>
    <n v="279.5"/>
    <n v="1258"/>
    <n v="1537.5"/>
    <n v="55.5"/>
    <m/>
    <m/>
    <m/>
    <x v="1"/>
    <x v="16"/>
    <m/>
    <m/>
    <s v="MERIDIAN ST.STEPHENS, T8N R17W"/>
    <s v="SEC.5 NWNE LESS THAT PART DESCRIBED AS BEGINNING AT THE NORTHWEST CORNER AND RUNNING SOUTH 220 YARDS, THENCE EAST 70 YARDS, THENCE NORTH 220 YARDS, THENCE WEST 70 YARDS TO THE POINT OF BEGINNNING "/>
    <m/>
    <m/>
    <m/>
  </r>
  <r>
    <s v="MSES57233"/>
    <x v="2"/>
    <x v="0"/>
    <d v="2011-12-07T00:00:00"/>
    <d v="2012-01-01T00:00:00"/>
    <x v="56"/>
    <n v="100"/>
    <x v="24"/>
    <x v="4"/>
    <m/>
    <n v="0.1"/>
    <n v="0.09"/>
    <s v="ES-030-12/11"/>
    <n v="500"/>
    <n v="0"/>
    <n v="500"/>
    <n v="150"/>
    <m/>
    <m/>
    <m/>
    <x v="1"/>
    <x v="16"/>
    <m/>
    <m/>
    <s v="MERIDIAN ST.STEPHENS T9N R16W"/>
    <s v="SEC.1 SENW NESW E2NWSW"/>
    <m/>
    <m/>
    <m/>
  </r>
  <r>
    <s v="MSES57234"/>
    <x v="2"/>
    <x v="0"/>
    <d v="2011-12-07T00:00:00"/>
    <d v="2012-01-01T00:00:00"/>
    <x v="56"/>
    <n v="87"/>
    <x v="24"/>
    <x v="4"/>
    <m/>
    <n v="0.1"/>
    <n v="0.09"/>
    <s v="ES-031-12/11"/>
    <n v="454.5"/>
    <n v="0"/>
    <n v="454.5"/>
    <n v="130.5"/>
    <m/>
    <m/>
    <m/>
    <x v="1"/>
    <x v="16"/>
    <m/>
    <m/>
    <s v="MERIDIAN ST.STEPHENS T9N R16W"/>
    <s v="SEC.14 SWNW SEC.15 SENE AND BEGINNING AT SOUTHWEST CORNER OF NENE RUNNING NORTH 220 YARDS THENCE EAST 154 YARDS THENCE 220 YARDS THENCE WEST 154 YARDS"/>
    <m/>
    <m/>
    <m/>
  </r>
  <r>
    <s v="MSES57235"/>
    <x v="2"/>
    <x v="0"/>
    <d v="2011-12-07T00:00:00"/>
    <d v="2012-01-01T00:00:00"/>
    <x v="56"/>
    <n v="13.2"/>
    <x v="24"/>
    <x v="4"/>
    <m/>
    <n v="0.1"/>
    <n v="0.09"/>
    <s v="ES-032-12/11"/>
    <n v="199"/>
    <n v="0"/>
    <n v="199"/>
    <n v="21"/>
    <m/>
    <m/>
    <m/>
    <x v="1"/>
    <x v="16"/>
    <m/>
    <m/>
    <s v="MERIDIAN ST.STEPHENS T9N R17W"/>
    <s v="SEC.29 10 ACRES DESCRIBED AS THAT PART OF THE NEWSW LYING NORTH OF PUBLIC ROAD SEC.32 TRACT BEGINNING AT A POINT 220 YARDS WEST OF THE SOUTHEAST CORNER OF THE SWSE THENCE 220 YARDS NORTH THENCE WEST 70 YARDS THENCE SOUTH 220 YARDS THENCE EAST 70 YARDS TO THE POINT OF THE BEGINNING"/>
    <m/>
    <m/>
    <m/>
  </r>
  <r>
    <s v="MSES57236"/>
    <x v="2"/>
    <x v="0"/>
    <d v="2011-12-07T00:00:00"/>
    <d v="2012-01-01T00:00:00"/>
    <x v="56"/>
    <n v="160"/>
    <x v="55"/>
    <x v="4"/>
    <m/>
    <n v="0.1"/>
    <n v="0.09"/>
    <s v="ES-033-12/11"/>
    <n v="710"/>
    <n v="0"/>
    <n v="710"/>
    <n v="240"/>
    <m/>
    <m/>
    <m/>
    <x v="1"/>
    <x v="16"/>
    <m/>
    <m/>
    <s v="MERIDIAN CHOCTOW T3N R7E"/>
    <s v="SEC.20 S2NE S2SW"/>
    <m/>
    <m/>
    <m/>
  </r>
  <r>
    <s v="MSES57237"/>
    <x v="2"/>
    <x v="0"/>
    <d v="2011-12-07T00:00:00"/>
    <d v="2012-01-01T00:00:00"/>
    <x v="56"/>
    <n v="246"/>
    <x v="160"/>
    <x v="4"/>
    <m/>
    <n v="0.1"/>
    <n v="0.09"/>
    <s v="ES-034-12/11"/>
    <n v="1011"/>
    <n v="0"/>
    <n v="1011"/>
    <n v="369"/>
    <m/>
    <m/>
    <m/>
    <x v="1"/>
    <x v="16"/>
    <m/>
    <m/>
    <s v="MERIDIAN CHOCTAW T22N R7E"/>
    <s v="SEC.12 PART OF TRACT D-365 LYING IN THE NWNE LESS AND EXCEPT 4 AC IN SE PT S2NE NENW N2N2SENW N2SE"/>
    <m/>
    <m/>
    <m/>
  </r>
  <r>
    <s v="MSES57238"/>
    <x v="2"/>
    <x v="0"/>
    <d v="2011-12-07T00:00:00"/>
    <d v="2012-01-01T00:00:00"/>
    <x v="56"/>
    <n v="1940"/>
    <x v="160"/>
    <x v="4"/>
    <m/>
    <n v="0.1"/>
    <n v="0.09"/>
    <s v="ES-035-12/11"/>
    <n v="6940"/>
    <n v="0"/>
    <n v="6940"/>
    <n v="2910"/>
    <m/>
    <m/>
    <m/>
    <x v="1"/>
    <x v="16"/>
    <m/>
    <m/>
    <s v="MERIDIAN CHOCTAW T23N R6E"/>
    <s v="SEE ATTACHED PAGE (ON THE LEASE)"/>
    <m/>
    <m/>
    <m/>
  </r>
  <r>
    <s v="MSES57239"/>
    <x v="2"/>
    <x v="0"/>
    <d v="2011-12-07T00:00:00"/>
    <d v="2012-01-01T00:00:00"/>
    <x v="56"/>
    <n v="1419.3"/>
    <x v="160"/>
    <x v="4"/>
    <m/>
    <n v="0.1"/>
    <n v="0.09"/>
    <s v="ES-036-12/11"/>
    <n v="5120"/>
    <n v="0"/>
    <n v="5120"/>
    <n v="2130"/>
    <m/>
    <m/>
    <m/>
    <x v="1"/>
    <x v="16"/>
    <m/>
    <m/>
    <s v="MERIDIAN CHOCTAW T23N R6E"/>
    <s v="SEE ATTACHED PAGE (ON THE LEASE)"/>
    <m/>
    <m/>
    <m/>
  </r>
  <r>
    <s v="MSES57240"/>
    <x v="2"/>
    <x v="0"/>
    <d v="2011-12-07T00:00:00"/>
    <d v="2012-01-01T00:00:00"/>
    <x v="56"/>
    <n v="1422.8"/>
    <x v="160"/>
    <x v="4"/>
    <m/>
    <n v="0.1"/>
    <n v="0.09"/>
    <s v="ES-037-12/11"/>
    <n v="5130.5"/>
    <n v="0"/>
    <n v="5130.5"/>
    <n v="2134.5"/>
    <m/>
    <m/>
    <m/>
    <x v="1"/>
    <x v="16"/>
    <m/>
    <m/>
    <s v="MERIDIAN CHOCTAW T23N R6E"/>
    <s v="SEE ATTACHED PAGE (ON THE LEASE)"/>
    <m/>
    <m/>
    <m/>
  </r>
  <r>
    <s v="MSES57241"/>
    <x v="2"/>
    <x v="0"/>
    <d v="2011-12-07T00:00:00"/>
    <d v="2012-01-01T00:00:00"/>
    <x v="56"/>
    <n v="568.29999999999995"/>
    <x v="160"/>
    <x v="4"/>
    <m/>
    <n v="0.1"/>
    <n v="0.09"/>
    <s v="ES-038-12/11"/>
    <n v="2141.5"/>
    <n v="0"/>
    <n v="2141.5"/>
    <n v="853.5"/>
    <m/>
    <m/>
    <m/>
    <x v="1"/>
    <x v="16"/>
    <m/>
    <m/>
    <s v="MERIDIAN CHOCTAW T23N R6E"/>
    <s v="SEE ATTACHED PAGE (ON THE LEASE)"/>
    <m/>
    <m/>
    <m/>
  </r>
  <r>
    <s v="MSES57242"/>
    <x v="2"/>
    <x v="0"/>
    <d v="2011-12-07T00:00:00"/>
    <d v="2012-01-01T00:00:00"/>
    <x v="56"/>
    <n v="79"/>
    <x v="160"/>
    <x v="4"/>
    <m/>
    <n v="0.1"/>
    <n v="0.09"/>
    <s v="ES-039-12/11"/>
    <n v="426.5"/>
    <n v="0"/>
    <n v="426.5"/>
    <n v="118.5"/>
    <m/>
    <m/>
    <m/>
    <x v="1"/>
    <x v="16"/>
    <m/>
    <m/>
    <s v="MERIDIAN CHOCTAW T23N R6E"/>
    <s v="SEC.25 NWNW SEC.26 NENE"/>
    <m/>
    <m/>
    <m/>
  </r>
  <r>
    <s v="MSES57243"/>
    <x v="2"/>
    <x v="0"/>
    <d v="2011-12-07T00:00:00"/>
    <d v="2012-01-01T00:00:00"/>
    <x v="56"/>
    <n v="2353.9"/>
    <x v="160"/>
    <x v="4"/>
    <m/>
    <n v="0.1"/>
    <n v="0.09"/>
    <s v="ES-040-12/11"/>
    <n v="8389"/>
    <n v="0"/>
    <n v="8389"/>
    <n v="3531"/>
    <m/>
    <m/>
    <m/>
    <x v="1"/>
    <x v="16"/>
    <m/>
    <m/>
    <s v="MERIDIAN CHOCTAW T23N R7E"/>
    <s v="SEE ATTACHED PAGE (ON THE LEASE)"/>
    <m/>
    <m/>
    <m/>
  </r>
  <r>
    <m/>
    <x v="1"/>
    <x v="1"/>
    <m/>
    <m/>
    <x v="1"/>
    <m/>
    <x v="1"/>
    <x v="1"/>
    <m/>
    <m/>
    <m/>
    <m/>
    <n v="67810"/>
    <n v="431301"/>
    <n v="499111"/>
    <m/>
    <m/>
    <m/>
    <m/>
    <x v="1"/>
    <x v="1"/>
    <m/>
    <m/>
    <m/>
    <m/>
    <m/>
    <m/>
    <m/>
  </r>
  <r>
    <m/>
    <x v="1"/>
    <x v="1"/>
    <m/>
    <m/>
    <x v="1"/>
    <m/>
    <x v="1"/>
    <x v="1"/>
    <m/>
    <m/>
    <m/>
    <m/>
    <m/>
    <m/>
    <m/>
    <m/>
    <m/>
    <m/>
    <m/>
    <x v="1"/>
    <x v="1"/>
    <m/>
    <m/>
    <m/>
    <m/>
    <m/>
    <m/>
    <m/>
  </r>
  <r>
    <s v="ALES57296"/>
    <x v="2"/>
    <x v="0"/>
    <d v="2012-03-15T00:00:00"/>
    <d v="2012-05-01T00:00:00"/>
    <x v="58"/>
    <n v="40"/>
    <x v="24"/>
    <x v="6"/>
    <m/>
    <n v="0.1"/>
    <n v="0.09"/>
    <s v="ES-013-03/12"/>
    <n v="290"/>
    <n v="0"/>
    <n v="290"/>
    <n v="60"/>
    <m/>
    <m/>
    <m/>
    <x v="59"/>
    <x v="16"/>
    <m/>
    <m/>
    <s v="ST.STEPHENS T2N R14E"/>
    <s v="SEC.36 SENE"/>
    <m/>
    <m/>
    <m/>
  </r>
  <r>
    <s v="ALES57297"/>
    <x v="2"/>
    <x v="0"/>
    <d v="2012-03-15T00:00:00"/>
    <d v="2012-05-01T00:00:00"/>
    <x v="58"/>
    <n v="1807.54"/>
    <x v="24"/>
    <x v="6"/>
    <m/>
    <n v="0.1"/>
    <n v="0.09"/>
    <s v="ES-014-03/12"/>
    <n v="6478"/>
    <n v="39776"/>
    <n v="46254"/>
    <n v="2712"/>
    <m/>
    <m/>
    <m/>
    <x v="1"/>
    <x v="16"/>
    <m/>
    <m/>
    <s v="ST.STEPHENS T2N R15E"/>
    <s v="SEE LEASE FOR LAND DESCRIPTION &amp; STIPULATIONS "/>
    <m/>
    <m/>
    <m/>
  </r>
  <r>
    <s v="ALES57302"/>
    <x v="2"/>
    <x v="0"/>
    <d v="2012-03-15T00:00:00"/>
    <d v="2012-05-01T00:00:00"/>
    <x v="58"/>
    <n v="90.54"/>
    <x v="24"/>
    <x v="6"/>
    <m/>
    <n v="0.1"/>
    <n v="0.09"/>
    <s v="ES-019-03/12"/>
    <n v="468.5"/>
    <n v="0"/>
    <n v="468.5"/>
    <n v="136.5"/>
    <m/>
    <m/>
    <m/>
    <x v="1"/>
    <x v="16"/>
    <m/>
    <m/>
    <s v="TALLAHASSEE T6N R24W"/>
    <s v="SEC.30 FRACTIONAL W2"/>
    <m/>
    <m/>
    <m/>
  </r>
  <r>
    <s v="ALES57298"/>
    <x v="2"/>
    <x v="0"/>
    <d v="2012-03-15T00:00:00"/>
    <d v="2012-05-01T00:00:00"/>
    <x v="58"/>
    <n v="1805.85"/>
    <x v="24"/>
    <x v="6"/>
    <m/>
    <n v="0.1"/>
    <n v="0.09"/>
    <s v="ES-015-03/12"/>
    <n v="6471"/>
    <n v="36120"/>
    <n v="42591"/>
    <n v="2709"/>
    <m/>
    <m/>
    <m/>
    <x v="1"/>
    <x v="16"/>
    <m/>
    <m/>
    <s v="ST.STEPHENS T2N R15E"/>
    <s v="SEC.9 ALL, SEC.21 ALL, SEC.33, E2 NWNW E2W2"/>
    <m/>
    <m/>
    <m/>
  </r>
  <r>
    <s v="ALES57285"/>
    <x v="2"/>
    <x v="0"/>
    <d v="2012-03-15T00:00:00"/>
    <d v="2012-05-01T00:00:00"/>
    <x v="58"/>
    <n v="1664.6"/>
    <x v="105"/>
    <x v="6"/>
    <m/>
    <n v="0.1"/>
    <n v="0.09"/>
    <s v="ES-002-03/12"/>
    <n v="5977.5"/>
    <n v="83250"/>
    <n v="89227.5"/>
    <n v="2497.5"/>
    <m/>
    <m/>
    <m/>
    <x v="1"/>
    <x v="16"/>
    <m/>
    <m/>
    <s v="ST.STEPHENS T1N R12E"/>
    <s v="SEE ATTACHED PAGE"/>
    <m/>
    <m/>
    <m/>
  </r>
  <r>
    <s v="ALES57287"/>
    <x v="2"/>
    <x v="0"/>
    <d v="2012-03-15T00:00:00"/>
    <d v="2012-05-01T00:00:00"/>
    <x v="58"/>
    <n v="2256.38"/>
    <x v="105"/>
    <x v="6"/>
    <m/>
    <n v="0.1"/>
    <n v="0.09"/>
    <s v="ES-004-03/12"/>
    <n v="8049.5"/>
    <n v="176046"/>
    <n v="184095.5"/>
    <n v="3385.5"/>
    <m/>
    <m/>
    <m/>
    <x v="59"/>
    <x v="16"/>
    <m/>
    <m/>
    <s v="ST.STEPHENS T2N R13E"/>
    <s v="SEC.13 S2, SEC.14 S2SW, SEC.23 ALL, SEC.24,W2 SE N2NE SENE, SEC.25 ALL"/>
    <m/>
    <m/>
    <m/>
  </r>
  <r>
    <s v="ALES57300"/>
    <x v="2"/>
    <x v="0"/>
    <d v="2012-03-15T00:00:00"/>
    <d v="2012-05-01T00:00:00"/>
    <x v="58"/>
    <n v="160"/>
    <x v="24"/>
    <x v="6"/>
    <m/>
    <n v="0.1"/>
    <n v="0.09"/>
    <s v="ES-017-03/12"/>
    <n v="710"/>
    <n v="0"/>
    <n v="710"/>
    <n v="240"/>
    <m/>
    <m/>
    <m/>
    <x v="59"/>
    <x v="16"/>
    <m/>
    <m/>
    <s v="ST. STEPHENS T2N R15E"/>
    <s v="SEC. 31, S2NW N2SW"/>
    <m/>
    <m/>
    <m/>
  </r>
  <r>
    <s v="ALES57299"/>
    <x v="2"/>
    <x v="0"/>
    <d v="2012-03-15T00:00:00"/>
    <d v="2012-05-01T00:00:00"/>
    <x v="58"/>
    <n v="1678.2"/>
    <x v="24"/>
    <x v="6"/>
    <m/>
    <n v="0.1"/>
    <n v="0.09"/>
    <s v="ES-016-03/12"/>
    <n v="6026.5"/>
    <n v="0"/>
    <n v="6026.5"/>
    <n v="2518.5"/>
    <m/>
    <m/>
    <m/>
    <x v="1"/>
    <x v="16"/>
    <m/>
    <m/>
    <s v="ST.STEPHENS T2N R15E"/>
    <s v="SEC.19 ALL SEC.30 ALL SEC.31 E2 N2NW"/>
    <m/>
    <m/>
    <m/>
  </r>
  <r>
    <s v="ALES57301"/>
    <x v="2"/>
    <x v="0"/>
    <d v="2012-03-15T00:00:00"/>
    <d v="2012-05-01T00:00:00"/>
    <x v="58"/>
    <n v="80"/>
    <x v="105"/>
    <x v="6"/>
    <m/>
    <n v="0.1"/>
    <n v="0.09"/>
    <s v="ES-018-03/12"/>
    <n v="430"/>
    <n v="5040"/>
    <n v="5470"/>
    <n v="120"/>
    <m/>
    <m/>
    <m/>
    <x v="1"/>
    <x v="16"/>
    <m/>
    <m/>
    <s v="ST.STEPHENS T3N R15E"/>
    <s v="SEC.34 E2SE"/>
    <m/>
    <m/>
    <m/>
  </r>
  <r>
    <s v="ALES57286"/>
    <x v="2"/>
    <x v="0"/>
    <d v="2012-03-15T00:00:00"/>
    <d v="2012-05-01T00:00:00"/>
    <x v="58"/>
    <n v="320"/>
    <x v="24"/>
    <x v="6"/>
    <m/>
    <n v="0.1"/>
    <n v="0.09"/>
    <s v="ES-003-03/12"/>
    <n v="1270"/>
    <n v="0"/>
    <n v="1270"/>
    <n v="480"/>
    <m/>
    <m/>
    <m/>
    <x v="1"/>
    <x v="16"/>
    <m/>
    <m/>
    <s v="ST.STEPHENS T1N R14E"/>
    <s v="SEC.22 S2"/>
    <m/>
    <m/>
    <m/>
  </r>
  <r>
    <s v="ALES57292"/>
    <x v="2"/>
    <x v="0"/>
    <d v="2012-03-15T00:00:00"/>
    <d v="2012-05-01T00:00:00"/>
    <x v="58"/>
    <n v="2393.6"/>
    <x v="24"/>
    <x v="6"/>
    <m/>
    <n v="0.1"/>
    <n v="0.09"/>
    <s v="ES-009-03/12"/>
    <n v="8529"/>
    <n v="79002"/>
    <n v="87531"/>
    <n v="3591"/>
    <m/>
    <m/>
    <m/>
    <x v="59"/>
    <x v="16"/>
    <m/>
    <m/>
    <s v="ST.STEPHENS T2N R14E"/>
    <s v="SEC.25 ALL, SEC.26 W2NE EXPECTING 0.498 AC. QUITCLAIMED TO JUDY V GODWIN, NW S2, SEC.27 ALL, SEC.28 W2NE NESE W2SE W2"/>
    <m/>
    <m/>
    <m/>
  </r>
  <r>
    <s v="ALES57293"/>
    <x v="2"/>
    <x v="0"/>
    <d v="2012-03-15T00:00:00"/>
    <d v="2012-05-01T00:00:00"/>
    <x v="58"/>
    <n v="1442.2"/>
    <x v="24"/>
    <x v="6"/>
    <m/>
    <n v="0.1"/>
    <n v="0.09"/>
    <s v="ES-010-03/12"/>
    <n v="5200.5"/>
    <n v="256854"/>
    <n v="262054.5"/>
    <n v="2164.5"/>
    <m/>
    <m/>
    <m/>
    <x v="59"/>
    <x v="16"/>
    <m/>
    <m/>
    <s v="ST.STEPHENS T2N R14E"/>
    <s v="SEC.29 E2 E2SW, SEC.32 NE SW W2SE SESE NESE, SEC.33 W2 NE W2SE"/>
    <m/>
    <m/>
    <m/>
  </r>
  <r>
    <s v="ALES57294"/>
    <x v="2"/>
    <x v="0"/>
    <d v="2012-03-15T00:00:00"/>
    <d v="2012-05-01T00:00:00"/>
    <x v="58"/>
    <n v="638.24"/>
    <x v="24"/>
    <x v="6"/>
    <m/>
    <n v="0.1"/>
    <n v="0.09"/>
    <s v="ES-011-03/12"/>
    <n v="2386.5"/>
    <n v="37062"/>
    <n v="39448.5"/>
    <n v="958.5"/>
    <m/>
    <m/>
    <m/>
    <x v="59"/>
    <x v="16"/>
    <m/>
    <m/>
    <s v="ST.STEPHENS T2N R14E"/>
    <s v="SEC.31 ALL"/>
    <m/>
    <m/>
    <m/>
  </r>
  <r>
    <s v="ALES57295"/>
    <x v="2"/>
    <x v="0"/>
    <d v="2012-03-15T00:00:00"/>
    <d v="2012-05-01T00:00:00"/>
    <x v="58"/>
    <n v="1781.2"/>
    <x v="24"/>
    <x v="6"/>
    <m/>
    <n v="0.1"/>
    <n v="0.09"/>
    <s v="ES-012-03/12"/>
    <n v="6387"/>
    <n v="49896"/>
    <n v="56283"/>
    <n v="2673"/>
    <m/>
    <m/>
    <m/>
    <x v="59"/>
    <x v="16"/>
    <m/>
    <m/>
    <s v="ST.STEPHENS T2N R14E"/>
    <s v="SEC.34 E2 NW E2SW SEC.35 ALL SEC.36 N2NE,SWNE,NW S2"/>
    <m/>
    <m/>
    <m/>
  </r>
  <r>
    <s v="ALES57284"/>
    <x v="2"/>
    <x v="0"/>
    <d v="2012-03-15T00:00:00"/>
    <d v="2012-05-01T00:00:00"/>
    <x v="58"/>
    <n v="200"/>
    <x v="163"/>
    <x v="6"/>
    <m/>
    <n v="0.1"/>
    <n v="0.09"/>
    <s v="ES-001-03/12"/>
    <n v="850"/>
    <n v="2400"/>
    <n v="3250"/>
    <n v="300"/>
    <m/>
    <m/>
    <m/>
    <x v="1"/>
    <x v="16"/>
    <m/>
    <m/>
    <s v="HUNTSVILLE T21S R15W"/>
    <s v="SEC.8 SWSW SEC.17 S2NW SEC.18 N2NE"/>
    <m/>
    <m/>
    <m/>
  </r>
  <r>
    <s v="ALES57303"/>
    <x v="2"/>
    <x v="0"/>
    <d v="2012-03-15T00:00:00"/>
    <d v="2012-05-01T00:00:00"/>
    <x v="58"/>
    <n v="1021.03"/>
    <x v="155"/>
    <x v="6"/>
    <m/>
    <n v="0.1"/>
    <n v="0.09"/>
    <s v="ES-020-03/12"/>
    <n v="3727"/>
    <n v="0"/>
    <n v="3727"/>
    <n v="1533"/>
    <m/>
    <m/>
    <m/>
    <x v="1"/>
    <x v="16"/>
    <m/>
    <m/>
    <s v="ST.STEPHENS T23N R7E"/>
    <s v="SEE LEASE FOR LAND DESCRIPTION &amp; STIPULATIONS "/>
    <m/>
    <m/>
    <m/>
  </r>
  <r>
    <s v="MSES57385"/>
    <x v="2"/>
    <x v="0"/>
    <d v="2012-03-15T00:00:00"/>
    <d v="2012-05-01T00:00:00"/>
    <x v="58"/>
    <n v="156.52000000000001"/>
    <x v="38"/>
    <x v="4"/>
    <m/>
    <n v="0.1"/>
    <n v="0.09"/>
    <s v="ES-093-03/12"/>
    <n v="699.5"/>
    <n v="0"/>
    <n v="699.5"/>
    <n v="235.5"/>
    <m/>
    <m/>
    <m/>
    <x v="1"/>
    <x v="16"/>
    <m/>
    <m/>
    <s v="WASHINGTON T5N R4E"/>
    <s v="SEC.20 N2NE SWNW SESW"/>
    <m/>
    <m/>
    <m/>
  </r>
  <r>
    <s v="MSES57372"/>
    <x v="2"/>
    <x v="0"/>
    <d v="2012-03-15T00:00:00"/>
    <d v="2012-05-01T00:00:00"/>
    <x v="58"/>
    <n v="1479.5"/>
    <x v="38"/>
    <x v="4"/>
    <m/>
    <n v="0.1"/>
    <n v="0.09"/>
    <s v="ES-089-03/12"/>
    <n v="5330"/>
    <n v="219040"/>
    <n v="224370"/>
    <n v="2220"/>
    <m/>
    <m/>
    <m/>
    <x v="46"/>
    <x v="16"/>
    <m/>
    <m/>
    <s v="WASHINGTON T5N R4E"/>
    <s v="SEE LEASE FOR LAND DESCRIPTION &amp; STIPULATIONS "/>
    <m/>
    <m/>
    <m/>
  </r>
  <r>
    <s v="MSES57386"/>
    <x v="2"/>
    <x v="0"/>
    <d v="2012-03-15T00:00:00"/>
    <d v="2012-05-01T00:00:00"/>
    <x v="58"/>
    <n v="337.31"/>
    <x v="38"/>
    <x v="4"/>
    <m/>
    <n v="0.1"/>
    <n v="0.09"/>
    <s v="ES-094-03/12"/>
    <n v="1333"/>
    <n v="0"/>
    <n v="1333"/>
    <n v="507"/>
    <m/>
    <m/>
    <m/>
    <x v="1"/>
    <x v="16"/>
    <m/>
    <m/>
    <s v="WASHINGTON T5N R4E"/>
    <s v="SEC.30 NENE SWNE NESENW S2SENW NESW E2NWSW SWNWSW S2SW SWSE"/>
    <m/>
    <m/>
    <m/>
  </r>
  <r>
    <s v="MSES57371"/>
    <x v="2"/>
    <x v="0"/>
    <d v="2012-03-15T00:00:00"/>
    <d v="2012-05-01T00:00:00"/>
    <x v="58"/>
    <n v="1084.79"/>
    <x v="38"/>
    <x v="4"/>
    <m/>
    <n v="0.1"/>
    <n v="0.09"/>
    <s v="ES-088-03/12"/>
    <n v="3947.5"/>
    <n v="0"/>
    <n v="3947.5"/>
    <n v="1627.5"/>
    <m/>
    <m/>
    <m/>
    <x v="46"/>
    <x v="16"/>
    <m/>
    <m/>
    <s v="WASHINGTON T5N R4E"/>
    <s v="SEC.19 W2NE SENE W2NW SENW SW, SEC.21 N2N2 SWNE NESE LESS THAN 10 ACQ IN SQUARE IN NE CORNER S2SE, SEC.22 N2NW,SWNW,N2SENW,SWSW,N2SE,N2SWSE,SESE. SEC.23 N2SW"/>
    <m/>
    <m/>
    <m/>
  </r>
  <r>
    <s v="MSES57368"/>
    <x v="2"/>
    <x v="0"/>
    <d v="2012-03-15T00:00:00"/>
    <d v="2012-05-01T00:00:00"/>
    <x v="58"/>
    <n v="1478.63"/>
    <x v="38"/>
    <x v="4"/>
    <m/>
    <n v="0.1"/>
    <n v="0.09"/>
    <s v="ES-085-03/12"/>
    <n v="5326.5"/>
    <n v="2958"/>
    <n v="8284.5"/>
    <n v="2218.5"/>
    <m/>
    <m/>
    <m/>
    <x v="46"/>
    <x v="16"/>
    <m/>
    <m/>
    <s v="WASHINGTON T5N R4E"/>
    <s v="SEE ATTACHED PAGE (ON THE LEASE)"/>
    <m/>
    <m/>
    <m/>
  </r>
  <r>
    <s v="MSES57366"/>
    <x v="2"/>
    <x v="0"/>
    <d v="2012-03-15T00:00:00"/>
    <d v="2012-05-01T00:00:00"/>
    <x v="58"/>
    <n v="1669.63"/>
    <x v="13"/>
    <x v="4"/>
    <m/>
    <n v="0.1"/>
    <n v="0.09"/>
    <s v="ES-083-03/12"/>
    <n v="5995"/>
    <n v="20040"/>
    <n v="26035"/>
    <n v="2505"/>
    <m/>
    <m/>
    <m/>
    <x v="1"/>
    <x v="16"/>
    <m/>
    <m/>
    <s v="ST.STEPHENS T6N R8W"/>
    <s v="SEC.26 E2 E2NW NWNW SWNW LESS A 10 ACRE RECTANGLE STRIP ON THE WEST SIDE; SEC.27, NENE,W2E2,W2,NESE SEC.28 ALL"/>
    <m/>
    <m/>
    <m/>
  </r>
  <r>
    <s v="MSES57369"/>
    <x v="2"/>
    <x v="0"/>
    <d v="2012-03-15T00:00:00"/>
    <d v="2012-05-01T00:00:00"/>
    <x v="58"/>
    <n v="1884.59"/>
    <x v="38"/>
    <x v="4"/>
    <m/>
    <n v="0.1"/>
    <n v="0.09"/>
    <s v="ES-086-03/12"/>
    <n v="6747.5"/>
    <n v="26390"/>
    <n v="33137.5"/>
    <n v="2827.5"/>
    <m/>
    <m/>
    <m/>
    <x v="46"/>
    <x v="16"/>
    <m/>
    <m/>
    <s v="WASHINGTON T5N R4E"/>
    <s v="SEC.7 ALL, SEC.8 ALL, SEC.9 NE NWNW S2NW, S2 SEC.10 S2NW"/>
    <m/>
    <m/>
    <m/>
  </r>
  <r>
    <s v="MSES57365"/>
    <x v="2"/>
    <x v="0"/>
    <d v="2012-03-15T00:00:00"/>
    <d v="2012-05-01T00:00:00"/>
    <x v="58"/>
    <n v="200.31"/>
    <x v="13"/>
    <x v="4"/>
    <m/>
    <n v="0.1"/>
    <n v="0.09"/>
    <s v="ES-082-03/12"/>
    <n v="853.5"/>
    <n v="0"/>
    <n v="853.5"/>
    <n v="301.5"/>
    <m/>
    <m/>
    <m/>
    <x v="1"/>
    <x v="16"/>
    <m/>
    <m/>
    <s v="ST.STEPHENS T6N R8W"/>
    <s v="SEC.25 NW,NWSW"/>
    <m/>
    <m/>
    <m/>
  </r>
  <r>
    <s v="MSES57364"/>
    <x v="2"/>
    <x v="0"/>
    <d v="2012-03-15T00:00:00"/>
    <d v="2012-05-01T00:00:00"/>
    <x v="58"/>
    <n v="1803.88"/>
    <x v="13"/>
    <x v="4"/>
    <m/>
    <n v="0.1"/>
    <n v="0.09"/>
    <s v="ES-081-03/12"/>
    <n v="6464"/>
    <n v="46904"/>
    <n v="53368"/>
    <n v="2706"/>
    <m/>
    <m/>
    <m/>
    <x v="1"/>
    <x v="16"/>
    <m/>
    <m/>
    <s v="ST.STEPHENS T6N R8W"/>
    <s v="SEC.22 ALL, SEC.23 N2 N2SW SWSW S2SE, SEC.24 ALL"/>
    <m/>
    <m/>
    <m/>
  </r>
  <r>
    <s v="MSES57363"/>
    <x v="2"/>
    <x v="0"/>
    <d v="2012-03-15T00:00:00"/>
    <d v="2012-05-01T00:00:00"/>
    <x v="58"/>
    <n v="1833.65"/>
    <x v="13"/>
    <x v="4"/>
    <m/>
    <n v="0.1"/>
    <n v="0.09"/>
    <s v="ES-080-03/12"/>
    <n v="6569"/>
    <n v="0"/>
    <n v="6569"/>
    <n v="2751"/>
    <m/>
    <m/>
    <m/>
    <x v="1"/>
    <x v="16"/>
    <m/>
    <m/>
    <s v="ST.STEPHENS T6N R8W"/>
    <s v="SEC.17 N2 SW W2SE, SEC.19 ALL, SEC.20 ALL"/>
    <m/>
    <m/>
    <m/>
  </r>
  <r>
    <s v="MSES57370"/>
    <x v="2"/>
    <x v="0"/>
    <d v="2012-03-15T00:00:00"/>
    <d v="2012-05-01T00:00:00"/>
    <x v="58"/>
    <n v="1829.75"/>
    <x v="38"/>
    <x v="4"/>
    <m/>
    <n v="0.1"/>
    <n v="0.09"/>
    <s v="ES-087-03/12"/>
    <n v="6555"/>
    <n v="25620"/>
    <n v="32175"/>
    <n v="2745"/>
    <m/>
    <m/>
    <m/>
    <x v="46"/>
    <x v="16"/>
    <m/>
    <m/>
    <s v="WASHINGTON T5N R4E"/>
    <s v="SEE LEASE FOR LAND DESCRIPTION &amp; STIPULATIONS "/>
    <m/>
    <m/>
    <m/>
  </r>
  <r>
    <s v="MSES57373"/>
    <x v="2"/>
    <x v="0"/>
    <d v="2012-03-15T00:00:00"/>
    <d v="2012-05-01T00:00:00"/>
    <x v="58"/>
    <n v="80"/>
    <x v="38"/>
    <x v="4"/>
    <m/>
    <n v="0.1"/>
    <n v="0.09"/>
    <s v="ES-090-03/12"/>
    <n v="430"/>
    <n v="49840"/>
    <n v="50270"/>
    <n v="120"/>
    <m/>
    <m/>
    <m/>
    <x v="1"/>
    <x v="16"/>
    <m/>
    <m/>
    <s v="WASHINGTON T7N R4E"/>
    <s v="SEC.32 W2NE"/>
    <m/>
    <m/>
    <m/>
  </r>
  <r>
    <s v="MSES57361"/>
    <x v="2"/>
    <x v="0"/>
    <d v="2012-03-15T00:00:00"/>
    <d v="2012-05-01T00:00:00"/>
    <x v="58"/>
    <n v="2107.7800000000002"/>
    <x v="13"/>
    <x v="4"/>
    <m/>
    <n v="0.1"/>
    <n v="0.09"/>
    <s v="ES-078-03/12"/>
    <n v="7528"/>
    <n v="0"/>
    <n v="7528"/>
    <n v="3162"/>
    <m/>
    <m/>
    <m/>
    <x v="1"/>
    <x v="16"/>
    <m/>
    <m/>
    <s v="ST.STEPHENS T6N R8W"/>
    <s v="SEC.5 NE SWNW SW N2SE SEC.6 NWNE S2N2 SW W2SE SESE SEC.7 N2 W2SW SE SEC.8 ALL"/>
    <m/>
    <m/>
    <m/>
  </r>
  <r>
    <s v="MSES57362"/>
    <x v="2"/>
    <x v="0"/>
    <d v="2012-03-15T00:00:00"/>
    <d v="2012-05-01T00:00:00"/>
    <x v="58"/>
    <n v="1925.7"/>
    <x v="13"/>
    <x v="4"/>
    <m/>
    <n v="0.1"/>
    <n v="0.09"/>
    <s v="ES-079-03/12"/>
    <n v="6891"/>
    <n v="11556"/>
    <n v="18447"/>
    <n v="2889"/>
    <m/>
    <m/>
    <m/>
    <x v="1"/>
    <x v="16"/>
    <m/>
    <m/>
    <s v="ST.STEPHENS T6N R8W"/>
    <s v="SEC.10 N2NE SWNE S2NW N2SW SWSW NWSE S2SE SEC.12 ALL SEC.13 ALL SEC.15 N2NE SENE E2SE"/>
    <m/>
    <m/>
    <m/>
  </r>
  <r>
    <s v="MSES57360"/>
    <x v="2"/>
    <x v="0"/>
    <d v="2012-03-15T00:00:00"/>
    <d v="2012-05-01T00:00:00"/>
    <x v="58"/>
    <n v="39.81"/>
    <x v="13"/>
    <x v="4"/>
    <m/>
    <n v="0.1"/>
    <n v="0.09"/>
    <s v="ES-077-03/12"/>
    <n v="290"/>
    <n v="0"/>
    <n v="290"/>
    <n v="60"/>
    <m/>
    <m/>
    <m/>
    <x v="1"/>
    <x v="16"/>
    <m/>
    <m/>
    <s v="ST.STEPHENS T6N R8W"/>
    <s v="SEC.5 SWSE"/>
    <m/>
    <m/>
    <m/>
  </r>
  <r>
    <s v="MSES57356"/>
    <x v="2"/>
    <x v="0"/>
    <d v="2012-03-15T00:00:00"/>
    <d v="2012-05-01T00:00:00"/>
    <x v="58"/>
    <n v="40"/>
    <x v="55"/>
    <x v="4"/>
    <m/>
    <n v="0.1"/>
    <n v="0.09"/>
    <s v="ES-073-03/12"/>
    <n v="290"/>
    <n v="0"/>
    <n v="290"/>
    <n v="60"/>
    <m/>
    <m/>
    <m/>
    <x v="1"/>
    <x v="16"/>
    <m/>
    <m/>
    <s v="CHOCTAW T4N R9E"/>
    <s v="SEC.12 E2SESE SEC.33 10 ACRES IN FORM OF A SQUARE IN NE CORNER OF SENW, THE SOUTH 5 ACRES OF EAST 10 ACRES OF SENW, SEC.35 5 ACRES DESCRIBED AS BEG. AT SW CORNER OF SWNE, E 220 YARD, N 110 YARDS, W 220 YARDS, S 110 YARDS TO POB"/>
    <m/>
    <m/>
    <m/>
  </r>
  <r>
    <s v="MSES57359"/>
    <x v="2"/>
    <x v="0"/>
    <d v="2012-03-15T00:00:00"/>
    <d v="2012-05-01T00:00:00"/>
    <x v="58"/>
    <n v="1998.92"/>
    <x v="13"/>
    <x v="4"/>
    <m/>
    <n v="0.1"/>
    <n v="0.09"/>
    <s v="ES-076-03/12"/>
    <n v="7146.5"/>
    <n v="11994"/>
    <n v="19140.5"/>
    <n v="2998.5"/>
    <m/>
    <m/>
    <m/>
    <x v="1"/>
    <x v="16"/>
    <m/>
    <m/>
    <s v="ST.STEPHENS T6N R8W"/>
    <s v="SEC.1 ALL, SEC.2 N2NE W2 W2SE , SEC.3 N2 E2SW W2SE, SEC.4 W2NE NW N2SW S2SW LESS A 1 ACRE EXCEPTION DESCRIBED AS FOLLOWS BEG. AT A POINT 7.71 CHAINS N OF SE CORNER OF SWSW OF SEC.4 THENCE W 0.39 CHAINS THENCE N 3.17 CHAINS THENCE E 3.17 CHAINS THENCE S 3.17 CHAINS THENCE W 2.78 CHAINS TO THE POINT OF BEG. "/>
    <m/>
    <m/>
    <m/>
  </r>
  <r>
    <s v="MSES57358"/>
    <x v="2"/>
    <x v="0"/>
    <d v="2012-03-15T00:00:00"/>
    <d v="2012-05-01T00:00:00"/>
    <x v="58"/>
    <n v="151.75"/>
    <x v="27"/>
    <x v="4"/>
    <m/>
    <n v="0.1"/>
    <n v="0.09"/>
    <s v="ES-075-03/12"/>
    <n v="682"/>
    <n v="17176"/>
    <n v="17858"/>
    <n v="228"/>
    <m/>
    <m/>
    <m/>
    <x v="1"/>
    <x v="16"/>
    <m/>
    <m/>
    <s v="CHOCTAW T5N R8E"/>
    <s v="SEC.30 W2SE,W2SW LESS 8 ACRES IN NW CORNER DESCRIBED AS FOLLOWS BEG AT NW CORNER OF SW THENCE S 9.65 CHAINS THENCE E 8.29 CHAINS THENCE N 9.65 CHAINS THENCE W 8.29 CHAINS TO PLACE OF BEG"/>
    <m/>
    <m/>
    <m/>
  </r>
  <r>
    <s v="MSES57357"/>
    <x v="2"/>
    <x v="0"/>
    <d v="2012-03-15T00:00:00"/>
    <d v="2012-05-01T00:00:00"/>
    <x v="58"/>
    <n v="482.28"/>
    <x v="27"/>
    <x v="4"/>
    <m/>
    <n v="0.1"/>
    <n v="0.09"/>
    <s v="ES-074-03/12"/>
    <n v="1840.5"/>
    <n v="30429"/>
    <n v="32269.5"/>
    <n v="724.5"/>
    <m/>
    <m/>
    <m/>
    <x v="1"/>
    <x v="16"/>
    <m/>
    <m/>
    <s v="CHOCTAW T5N R8E"/>
    <s v="SEC.8 W2E2 W2"/>
    <m/>
    <m/>
    <m/>
  </r>
  <r>
    <s v="LAES57346"/>
    <x v="2"/>
    <x v="0"/>
    <d v="2012-03-15T00:00:00"/>
    <d v="2012-05-01T00:00:00"/>
    <x v="58"/>
    <n v="1986.42"/>
    <x v="149"/>
    <x v="3"/>
    <m/>
    <n v="0.1"/>
    <n v="0.09"/>
    <s v="ES-063-03/12"/>
    <n v="7104.5"/>
    <n v="19870"/>
    <n v="26974.5"/>
    <n v="2980.5"/>
    <m/>
    <m/>
    <m/>
    <x v="1"/>
    <x v="16"/>
    <m/>
    <m/>
    <s v="LOUISIANA T5N R7W"/>
    <s v="SEC.15 N2SW, SEC.16 S2NENW,NESENW,S2SENW, SEC.17 N2N2N2NE,SENE,S2SWNE,NW,E 25 ACRES OF NESW,NESESW,N2NWSE,N2S2SE, SEC.18 NE W2 NWSE SESE, SEC.19 E2 LESS 0.35 ACRE IN SESE, NENWNW,SWNWNW,SWNW,N2SENW,SW"/>
    <m/>
    <m/>
    <m/>
  </r>
  <r>
    <s v="LAES57340"/>
    <x v="2"/>
    <x v="0"/>
    <d v="2012-03-15T00:00:00"/>
    <d v="2012-05-01T00:00:00"/>
    <x v="58"/>
    <n v="2071.2600000000002"/>
    <x v="149"/>
    <x v="3"/>
    <m/>
    <n v="0.1"/>
    <n v="0.09"/>
    <s v="ES-057-03/12"/>
    <n v="7402"/>
    <n v="20720"/>
    <n v="28122"/>
    <n v="3108"/>
    <m/>
    <m/>
    <m/>
    <x v="1"/>
    <x v="16"/>
    <m/>
    <m/>
    <s v="LOUISIANA T5N R6W"/>
    <s v="SEC.23 ALL, SEC.24 E2 NW E2SW SWSW SEC.25 ALL, SEC.26 THAT PART OF TRACT 402a LYING IN THE S/2N/2 AND E/2NESE LESS &amp; EXCEPT 1.65 ACRES QUITCLAIMED CONTAINING 168.69 ACRES"/>
    <m/>
    <m/>
    <m/>
  </r>
  <r>
    <s v="LAES57339"/>
    <x v="2"/>
    <x v="0"/>
    <d v="2012-03-15T00:00:00"/>
    <d v="2012-05-01T00:00:00"/>
    <x v="58"/>
    <n v="37.15"/>
    <x v="149"/>
    <x v="3"/>
    <m/>
    <n v="0.1"/>
    <n v="0.09"/>
    <s v="ES-056-03/12"/>
    <n v="283"/>
    <n v="380"/>
    <n v="663"/>
    <n v="57"/>
    <m/>
    <m/>
    <m/>
    <x v="1"/>
    <x v="16"/>
    <m/>
    <m/>
    <s v="LOUISIANA T5N R6W"/>
    <s v="SEC.14 TRACT K-14 IN SENE"/>
    <m/>
    <m/>
    <m/>
  </r>
  <r>
    <s v="LAES57341"/>
    <x v="2"/>
    <x v="0"/>
    <d v="2012-03-15T00:00:00"/>
    <d v="2012-05-01T00:00:00"/>
    <x v="58"/>
    <n v="1707.98"/>
    <x v="149"/>
    <x v="3"/>
    <m/>
    <n v="0.1"/>
    <n v="0.09"/>
    <s v="ES-058-03/12"/>
    <n v="6128"/>
    <n v="17080"/>
    <n v="23208"/>
    <n v="2562"/>
    <m/>
    <m/>
    <m/>
    <x v="1"/>
    <x v="16"/>
    <m/>
    <m/>
    <s v="LOUISIANA T5N R6W"/>
    <s v="SEE LEASE FOR LAND DESCRIPTION &amp; STIPULATIONS "/>
    <m/>
    <m/>
    <m/>
  </r>
  <r>
    <s v="LAES57304"/>
    <x v="2"/>
    <x v="0"/>
    <d v="2012-03-15T00:00:00"/>
    <d v="2012-05-01T00:00:00"/>
    <x v="58"/>
    <n v="859.16"/>
    <x v="95"/>
    <x v="3"/>
    <m/>
    <n v="0.1"/>
    <n v="0.09"/>
    <s v="ES-021-03/12"/>
    <n v="3160"/>
    <n v="0"/>
    <n v="3160"/>
    <n v="1290"/>
    <m/>
    <m/>
    <m/>
    <x v="1"/>
    <x v="16"/>
    <m/>
    <m/>
    <s v="LOUISIANA T14N R4W"/>
    <s v="SEC.14 N2NW SESW SWSE LOTS 2,6,7 SEC.22 NENE SEC.23 SWNW LOT 2 SEC.26 W2,W2NE LOTS 1-5"/>
    <m/>
    <m/>
    <m/>
  </r>
  <r>
    <s v="LAES57338"/>
    <x v="2"/>
    <x v="0"/>
    <d v="2012-03-15T00:00:00"/>
    <d v="2012-05-01T00:00:00"/>
    <x v="58"/>
    <n v="2147.5100000000002"/>
    <x v="149"/>
    <x v="3"/>
    <m/>
    <n v="0.1"/>
    <n v="0.09"/>
    <s v="ES-055-03/12"/>
    <n v="7668"/>
    <n v="21480"/>
    <n v="29148"/>
    <n v="3222"/>
    <m/>
    <m/>
    <m/>
    <x v="1"/>
    <x v="16"/>
    <m/>
    <m/>
    <s v="LOUISIANA T5N R6W"/>
    <s v="SEE LEASE FOR LAND DESCRIPTION &amp; STIPULATIONS "/>
    <m/>
    <m/>
    <m/>
  </r>
  <r>
    <s v="LAES57336"/>
    <x v="2"/>
    <x v="0"/>
    <d v="2012-03-15T00:00:00"/>
    <d v="2012-05-01T00:00:00"/>
    <x v="58"/>
    <n v="2274.1"/>
    <x v="149"/>
    <x v="3"/>
    <m/>
    <n v="0.1"/>
    <n v="0.09"/>
    <s v="ES-053-03/12"/>
    <n v="8112.5"/>
    <n v="22750"/>
    <n v="30862.5"/>
    <n v="3412.5"/>
    <m/>
    <m/>
    <m/>
    <x v="1"/>
    <x v="16"/>
    <m/>
    <m/>
    <s v="LOUISIANA T5N R6W"/>
    <s v="SEC.2 LOTS 1,2,3,4 SEC.3 NE W2 SEC.4 N2N2NE SWNE NW S2 SEC.5 N2 NWSW W2SWSW NESE SEC.6 ALL"/>
    <m/>
    <m/>
    <m/>
  </r>
  <r>
    <s v="LAES57337"/>
    <x v="2"/>
    <x v="0"/>
    <d v="2012-03-15T00:00:00"/>
    <d v="2012-05-01T00:00:00"/>
    <x v="58"/>
    <n v="1296.6099999999999"/>
    <x v="149"/>
    <x v="3"/>
    <m/>
    <n v="0.1"/>
    <n v="0.09"/>
    <s v="ES-054-03/12"/>
    <n v="4689.5"/>
    <n v="23346"/>
    <n v="28035.5"/>
    <n v="1945.5"/>
    <m/>
    <m/>
    <m/>
    <x v="1"/>
    <x v="16"/>
    <m/>
    <m/>
    <s v="LOUISIANA T5N R6W"/>
    <s v="SEC.7 NW N2SW FRACTION SWSW SESW SEC.8 N2NE NWSW SESW SEC.9 E2 E2E2NENW W2E2NWNW W2NWNW LESS 2.02 ACRES SEC.10 SE SEC.11 LOTS 1,2,3, SW W2SE"/>
    <m/>
    <m/>
    <m/>
  </r>
  <r>
    <s v="LAES57342"/>
    <x v="2"/>
    <x v="0"/>
    <d v="2012-03-15T00:00:00"/>
    <d v="2012-05-01T00:00:00"/>
    <x v="58"/>
    <n v="1993.05"/>
    <x v="149"/>
    <x v="3"/>
    <m/>
    <n v="0.1"/>
    <n v="0.09"/>
    <s v="ES-059-03/12"/>
    <n v="7129"/>
    <n v="19940"/>
    <n v="27069"/>
    <n v="2991"/>
    <m/>
    <m/>
    <m/>
    <x v="1"/>
    <x v="16"/>
    <m/>
    <m/>
    <s v="LOUISIANA T5N R7W"/>
    <s v="SEC.1 ALL SEC.2 ALL SEC.3 ALL"/>
    <m/>
    <m/>
    <m/>
  </r>
  <r>
    <s v="LAES57343"/>
    <x v="2"/>
    <x v="0"/>
    <d v="2012-03-15T00:00:00"/>
    <d v="2012-05-01T00:00:00"/>
    <x v="58"/>
    <n v="1835.46"/>
    <x v="149"/>
    <x v="3"/>
    <m/>
    <n v="0.1"/>
    <n v="0.09"/>
    <s v="ES-060-03/12"/>
    <n v="6576"/>
    <n v="18360"/>
    <n v="24936"/>
    <n v="2754"/>
    <m/>
    <m/>
    <m/>
    <x v="1"/>
    <x v="16"/>
    <m/>
    <m/>
    <s v="LOUISIANA T5N R7W"/>
    <s v="SEC.4 S2NE,S2NENW,W2NW,SENW,S2 SEC.5 ALL SEC.6 ALL"/>
    <m/>
    <m/>
    <m/>
  </r>
  <r>
    <s v="LAES57344"/>
    <x v="2"/>
    <x v="0"/>
    <d v="2012-03-15T00:00:00"/>
    <d v="2012-05-01T00:00:00"/>
    <x v="58"/>
    <n v="2046.04"/>
    <x v="149"/>
    <x v="3"/>
    <m/>
    <n v="0.1"/>
    <n v="0.09"/>
    <s v="ES-061-03/12"/>
    <n v="7314.5"/>
    <n v="20470"/>
    <n v="27784.5"/>
    <n v="3070.5"/>
    <m/>
    <m/>
    <m/>
    <x v="1"/>
    <x v="16"/>
    <m/>
    <m/>
    <s v="LOUISIANA T5N R7W"/>
    <s v="SEC.7 ALL SEC.8 ALL SEC.9 NENE W2NE W2 W2SE SESE SEC.10 N2 NESW S2SW N2SE N2SWSE SESWSE SESE"/>
    <m/>
    <m/>
    <m/>
  </r>
  <r>
    <s v="LAES57345"/>
    <x v="2"/>
    <x v="0"/>
    <d v="2012-03-15T00:00:00"/>
    <d v="2012-05-01T00:00:00"/>
    <x v="58"/>
    <n v="2034.4"/>
    <x v="149"/>
    <x v="3"/>
    <m/>
    <n v="0.1"/>
    <n v="0.09"/>
    <s v="ES-062-03/12"/>
    <n v="7272.5"/>
    <n v="107855"/>
    <n v="115127.5"/>
    <n v="3052.5"/>
    <m/>
    <m/>
    <m/>
    <x v="1"/>
    <x v="16"/>
    <m/>
    <m/>
    <s v="LOUISIANA T5N R7W"/>
    <s v="SEC.11 ALL, SEC.12 N2 LESS SOUTH 14 ACRES IN SENW FR.S2 SEC.13 FR.ALL SEC.14 FR ALL"/>
    <m/>
    <m/>
    <m/>
  </r>
  <r>
    <s v="LAES57354"/>
    <x v="2"/>
    <x v="0"/>
    <d v="2012-03-15T00:00:00"/>
    <d v="2012-05-01T00:00:00"/>
    <x v="58"/>
    <n v="1710.44"/>
    <x v="149"/>
    <x v="3"/>
    <m/>
    <n v="0.1"/>
    <n v="0.09"/>
    <s v="ES-071-03/12"/>
    <n v="6138.5"/>
    <n v="17110"/>
    <n v="23248.5"/>
    <n v="2566.5"/>
    <m/>
    <m/>
    <m/>
    <x v="1"/>
    <x v="16"/>
    <m/>
    <m/>
    <s v="LOUISIANA T5N R8W"/>
    <s v="SEC.15 N2N2, SEC.16 W2NE SEC.18 NENE SEC.20 E2NESE SEC.21 SENE S2NW NWSW E2SE SEC.22 N2NENW E2NWNW SEC.23 S2N2N2 S2N2 N2NENW S2 SEC.24 NE S2NENW SWNW S2SENW S2"/>
    <m/>
    <m/>
    <m/>
  </r>
  <r>
    <s v="LAES57353"/>
    <x v="2"/>
    <x v="0"/>
    <d v="2012-03-15T00:00:00"/>
    <d v="2012-05-01T00:00:00"/>
    <x v="58"/>
    <n v="1984.97"/>
    <x v="149"/>
    <x v="3"/>
    <m/>
    <n v="0.1"/>
    <n v="0.09"/>
    <s v="ES-070-03/12"/>
    <n v="7097.5"/>
    <n v="19850"/>
    <n v="26947.5"/>
    <n v="2977.5"/>
    <m/>
    <m/>
    <m/>
    <x v="1"/>
    <x v="16"/>
    <m/>
    <m/>
    <s v="LOUISIANA T5N R8W"/>
    <s v="SEC.11 ALL SEC.12 ALL SEC.13 N2 N2S2 SESE NWSWSE SEC.14 N2N2NE E2SENE N2NW LESS 1 ACRE IN SECSENENW SENW"/>
    <m/>
    <m/>
    <m/>
  </r>
  <r>
    <s v="LAES57352"/>
    <x v="2"/>
    <x v="0"/>
    <d v="2012-03-15T00:00:00"/>
    <d v="2012-05-01T00:00:00"/>
    <x v="58"/>
    <n v="2007.17"/>
    <x v="149"/>
    <x v="3"/>
    <m/>
    <n v="0.1"/>
    <n v="0.09"/>
    <s v="ES-069-03/12"/>
    <n v="7178"/>
    <n v="20080"/>
    <n v="27258"/>
    <n v="3012"/>
    <m/>
    <m/>
    <m/>
    <x v="1"/>
    <x v="16"/>
    <m/>
    <m/>
    <s v="LOUISIANA T5N R8W"/>
    <s v="SEC.7 ALL, SEC.8 N2NE SWNE S2SENW W2NW SW W2SE S2NESE SESE SEC.9 N2NE NWNW E2SENW N2S2 SESW SWSE SEC.10 NE E2NW NWNW NWSW S2SESW N2SE SESE"/>
    <m/>
    <m/>
    <m/>
  </r>
  <r>
    <s v="LAES57350"/>
    <x v="2"/>
    <x v="0"/>
    <d v="2012-03-15T00:00:00"/>
    <d v="2012-05-01T00:00:00"/>
    <x v="58"/>
    <n v="1911.26"/>
    <x v="149"/>
    <x v="3"/>
    <m/>
    <n v="0.1"/>
    <n v="0.09"/>
    <s v="ES-067-03/12"/>
    <n v="6842"/>
    <n v="19120"/>
    <n v="25962"/>
    <n v="2868"/>
    <m/>
    <m/>
    <m/>
    <x v="1"/>
    <x v="16"/>
    <m/>
    <m/>
    <s v="LOUISIANA T5N R8W"/>
    <s v="SEC.1 ALL SEC.2 ALL SEC.3 ALL"/>
    <m/>
    <m/>
    <m/>
  </r>
  <r>
    <s v="LAES57355"/>
    <x v="2"/>
    <x v="0"/>
    <d v="2012-03-15T00:00:00"/>
    <d v="2012-05-01T00:00:00"/>
    <x v="58"/>
    <n v="2333.66"/>
    <x v="149"/>
    <x v="3"/>
    <m/>
    <n v="0.1"/>
    <n v="0.09"/>
    <s v="ES-072-03/12"/>
    <n v="8319"/>
    <n v="18672"/>
    <n v="26991"/>
    <n v="3501"/>
    <m/>
    <m/>
    <m/>
    <x v="1"/>
    <x v="16"/>
    <m/>
    <m/>
    <s v="LOUISIANA T5N R8W"/>
    <s v="SEC.25 ALL SEC.26 N2NE TRACT K-2 IN SWNE CONTAINING 19.87 ACRES W2 LESS 140 ACRES WEST OF LA HWY 117 SE SEC.35 ALL LESS 20 ACRES IN W2NW WEST OF HWY LA HWY 117 SEC.36 ALL"/>
    <m/>
    <m/>
    <m/>
  </r>
  <r>
    <s v="LAES57347"/>
    <x v="2"/>
    <x v="0"/>
    <d v="2012-03-15T00:00:00"/>
    <d v="2012-05-01T00:00:00"/>
    <x v="58"/>
    <n v="1829.57"/>
    <x v="149"/>
    <x v="3"/>
    <m/>
    <n v="0.1"/>
    <n v="0.09"/>
    <s v="ES-064-03/12"/>
    <n v="6555"/>
    <n v="18300"/>
    <n v="24855"/>
    <n v="2745"/>
    <m/>
    <m/>
    <m/>
    <x v="1"/>
    <x v="16"/>
    <m/>
    <m/>
    <s v="LOUISIANA T5N R7W"/>
    <s v="SEC.20 NENE S2NE W2NW SWSWNENW N2SW LESS 1.97 ACRES SESW SE SEC.21 ALL SEC.22 NENE LESS 4.8 ACRES IN SEC/C W2NW SEC.23 E2E2W2 SWNW E2NWSW SWSWSW E2SWSW LESS 6.18 ACRES SEC.24 NESE "/>
    <m/>
    <m/>
    <m/>
  </r>
  <r>
    <s v="LAES57348"/>
    <x v="2"/>
    <x v="0"/>
    <d v="2012-03-15T00:00:00"/>
    <d v="2012-05-01T00:00:00"/>
    <x v="58"/>
    <n v="1912.8"/>
    <x v="149"/>
    <x v="3"/>
    <m/>
    <n v="0.1"/>
    <n v="0.09"/>
    <s v="ES-065-03/12"/>
    <n v="6845.5"/>
    <n v="91824"/>
    <n v="98669.5"/>
    <n v="2869.5"/>
    <m/>
    <m/>
    <m/>
    <x v="1"/>
    <x v="16"/>
    <m/>
    <m/>
    <s v="LOUISIANA T5N R7W"/>
    <s v="SEC.27 S2N2,NWNW,S2 SEC.28 W2W2 SEC.29 ALL, SEC.30 NE LESS 52.16 ACRES NORTH OF KISATCHIE CREEK W2 SE"/>
    <m/>
    <m/>
    <m/>
  </r>
  <r>
    <s v="LAES57349"/>
    <x v="2"/>
    <x v="0"/>
    <d v="2012-03-15T00:00:00"/>
    <d v="2012-05-01T00:00:00"/>
    <x v="58"/>
    <n v="2013.8"/>
    <x v="149"/>
    <x v="3"/>
    <m/>
    <n v="0.1"/>
    <n v="0.09"/>
    <s v="ES-066-03/12"/>
    <n v="7199"/>
    <n v="96672"/>
    <n v="103871"/>
    <n v="3021"/>
    <m/>
    <m/>
    <m/>
    <x v="1"/>
    <x v="16"/>
    <m/>
    <m/>
    <s v="LOUISIANA T5N R7W"/>
    <s v="SEC.31 ALL SEC.32 ALL SEC.34 N2NENE W2NE SEC.37 ALL"/>
    <m/>
    <m/>
    <m/>
  </r>
  <r>
    <s v="LAES57351"/>
    <x v="2"/>
    <x v="0"/>
    <d v="2012-03-15T00:00:00"/>
    <d v="2012-05-01T00:00:00"/>
    <x v="58"/>
    <n v="1846.31"/>
    <x v="149"/>
    <x v="3"/>
    <m/>
    <n v="0.1"/>
    <n v="0.09"/>
    <s v="ES-068-03/12"/>
    <n v="6614.5"/>
    <n v="18470"/>
    <n v="25084.5"/>
    <n v="2770.5"/>
    <m/>
    <m/>
    <m/>
    <x v="1"/>
    <x v="16"/>
    <m/>
    <m/>
    <s v="LOUISIANA T5N R8W"/>
    <s v="SEC.4 E2 NENW W2NW NWNWSW S2NWSW NESW SWSW SEC.5 ALL SEC.6 ALL"/>
    <m/>
    <m/>
    <m/>
  </r>
  <r>
    <m/>
    <x v="1"/>
    <x v="1"/>
    <m/>
    <m/>
    <x v="1"/>
    <m/>
    <x v="1"/>
    <x v="1"/>
    <m/>
    <m/>
    <m/>
    <m/>
    <n v="273798"/>
    <n v="1839742"/>
    <n v="2113540"/>
    <m/>
    <m/>
    <m/>
    <m/>
    <x v="1"/>
    <x v="1"/>
    <m/>
    <m/>
    <m/>
    <m/>
    <m/>
    <m/>
    <m/>
  </r>
  <r>
    <m/>
    <x v="1"/>
    <x v="1"/>
    <m/>
    <m/>
    <x v="1"/>
    <m/>
    <x v="1"/>
    <x v="1"/>
    <m/>
    <m/>
    <m/>
    <m/>
    <m/>
    <m/>
    <m/>
    <m/>
    <m/>
    <m/>
    <m/>
    <x v="1"/>
    <x v="1"/>
    <m/>
    <m/>
    <m/>
    <m/>
    <m/>
    <m/>
    <m/>
  </r>
  <r>
    <s v="NMNM128371"/>
    <x v="2"/>
    <x v="0"/>
    <d v="2012-04-18T00:00:00"/>
    <d v="2012-07-01T00:00:00"/>
    <x v="59"/>
    <n v="480"/>
    <x v="64"/>
    <x v="7"/>
    <m/>
    <n v="0.1"/>
    <n v="0.09"/>
    <s v="NM-201204-012"/>
    <n v="1830"/>
    <n v="483840"/>
    <n v="485670"/>
    <n v="720"/>
    <m/>
    <m/>
    <m/>
    <x v="103"/>
    <x v="16"/>
    <m/>
    <m/>
    <s v="NMPM T0240N R0020W"/>
    <s v="SEC.012 E2,E2W2"/>
    <m/>
    <m/>
    <m/>
  </r>
  <r>
    <s v="NMNM128376"/>
    <x v="2"/>
    <x v="0"/>
    <d v="2012-04-18T00:00:00"/>
    <d v="2012-07-01T00:00:00"/>
    <x v="59"/>
    <n v="160"/>
    <x v="64"/>
    <x v="7"/>
    <m/>
    <n v="0.1"/>
    <n v="0.09"/>
    <s v="NM-201204-017"/>
    <n v="710"/>
    <n v="167680"/>
    <n v="168390"/>
    <n v="240"/>
    <m/>
    <m/>
    <m/>
    <x v="103"/>
    <x v="16"/>
    <m/>
    <m/>
    <s v="NMPM T0240N R0020W"/>
    <s v="SEC.036 NE"/>
    <m/>
    <m/>
    <m/>
  </r>
  <r>
    <s v="OKNM128387"/>
    <x v="2"/>
    <x v="0"/>
    <d v="2012-04-18T00:00:00"/>
    <d v="2012-07-01T00:00:00"/>
    <x v="59"/>
    <n v="20"/>
    <x v="164"/>
    <x v="5"/>
    <m/>
    <n v="0.1"/>
    <n v="0.09"/>
    <s v="NM-201204-029"/>
    <n v="220"/>
    <n v="0"/>
    <n v="220"/>
    <n v="30"/>
    <m/>
    <m/>
    <m/>
    <x v="1"/>
    <x v="16"/>
    <m/>
    <m/>
    <s v="IM T0040N R0020W"/>
    <s v="SEC.025 S2SWSW"/>
    <m/>
    <m/>
    <m/>
  </r>
  <r>
    <m/>
    <x v="1"/>
    <x v="1"/>
    <m/>
    <m/>
    <x v="1"/>
    <m/>
    <x v="1"/>
    <x v="1"/>
    <m/>
    <m/>
    <m/>
    <m/>
    <n v="2760"/>
    <n v="651520"/>
    <n v="654280"/>
    <m/>
    <m/>
    <m/>
    <m/>
    <x v="1"/>
    <x v="1"/>
    <m/>
    <m/>
    <m/>
    <m/>
    <m/>
    <m/>
    <m/>
  </r>
  <r>
    <m/>
    <x v="1"/>
    <x v="1"/>
    <m/>
    <m/>
    <x v="1"/>
    <m/>
    <x v="1"/>
    <x v="1"/>
    <m/>
    <m/>
    <m/>
    <m/>
    <m/>
    <m/>
    <m/>
    <m/>
    <m/>
    <m/>
    <m/>
    <x v="1"/>
    <x v="1"/>
    <m/>
    <m/>
    <m/>
    <m/>
    <m/>
    <m/>
    <m/>
  </r>
  <r>
    <s v="MSES57478"/>
    <x v="2"/>
    <x v="0"/>
    <d v="2012-06-14T00:00:00"/>
    <d v="2012-08-01T00:00:00"/>
    <x v="60"/>
    <n v="233.29"/>
    <x v="27"/>
    <x v="4"/>
    <m/>
    <n v="0.1"/>
    <n v="0.09"/>
    <s v="ES-067-06/12"/>
    <n v="969"/>
    <n v="98982"/>
    <n v="99951"/>
    <n v="351"/>
    <m/>
    <m/>
    <m/>
    <x v="1"/>
    <x v="16"/>
    <m/>
    <m/>
    <s v="CHOCTAW T5N R9E"/>
    <s v="SEC.2 NESW, SWSW LYING EAST OF ROAD SEC.4 NW LAYING SOUTH OF ROAD NWNE "/>
    <m/>
    <m/>
    <m/>
  </r>
  <r>
    <s v="MSES57476"/>
    <x v="2"/>
    <x v="0"/>
    <d v="2012-06-14T00:00:00"/>
    <d v="2012-08-01T00:00:00"/>
    <x v="60"/>
    <n v="471.91"/>
    <x v="27"/>
    <x v="4"/>
    <m/>
    <n v="0.1"/>
    <n v="0.09"/>
    <s v="ES-065-06/12"/>
    <n v="1802"/>
    <n v="15576"/>
    <n v="17378"/>
    <n v="708"/>
    <m/>
    <m/>
    <m/>
    <x v="1"/>
    <x v="16"/>
    <m/>
    <m/>
    <s v="CHOCTAW T5N R8E"/>
    <s v="SEE ATTACHED FOR DESCRIPTIONS"/>
    <m/>
    <m/>
    <m/>
  </r>
  <r>
    <s v="MSES57491"/>
    <x v="2"/>
    <x v="0"/>
    <d v="2012-06-14T00:00:00"/>
    <d v="2012-08-01T00:00:00"/>
    <x v="60"/>
    <n v="160"/>
    <x v="165"/>
    <x v="4"/>
    <m/>
    <n v="0.1"/>
    <n v="0.09"/>
    <s v="ES-080-06/12"/>
    <n v="710"/>
    <n v="8480"/>
    <n v="9190"/>
    <n v="240"/>
    <m/>
    <m/>
    <m/>
    <x v="1"/>
    <x v="16"/>
    <m/>
    <m/>
    <s v="CHOCTAW T4N R10E"/>
    <s v="SEC.34 W2W2"/>
    <m/>
    <m/>
    <m/>
  </r>
  <r>
    <s v="MSES57490"/>
    <x v="2"/>
    <x v="0"/>
    <d v="2012-06-14T00:00:00"/>
    <d v="2012-08-01T00:00:00"/>
    <x v="60"/>
    <n v="1285.44"/>
    <x v="165"/>
    <x v="4"/>
    <m/>
    <n v="0.1"/>
    <n v="0.09"/>
    <s v="ES-079-06/12"/>
    <n v="4651"/>
    <n v="46296"/>
    <n v="50947"/>
    <n v="1929"/>
    <m/>
    <m/>
    <m/>
    <x v="1"/>
    <x v="16"/>
    <m/>
    <m/>
    <s v="CHOCTAW T4N R10E"/>
    <s v="SEC.32 ALL, SEC.33 ALL "/>
    <m/>
    <m/>
    <m/>
  </r>
  <r>
    <s v="MSES57489"/>
    <x v="2"/>
    <x v="0"/>
    <d v="2012-06-14T00:00:00"/>
    <d v="2012-08-01T00:00:00"/>
    <x v="60"/>
    <n v="210.3"/>
    <x v="165"/>
    <x v="4"/>
    <m/>
    <n v="0.1"/>
    <n v="0.09"/>
    <s v="ES-078-06/12"/>
    <n v="888.5"/>
    <n v="11816"/>
    <n v="12704.5"/>
    <n v="316.5"/>
    <m/>
    <m/>
    <m/>
    <x v="1"/>
    <x v="16"/>
    <m/>
    <m/>
    <s v="CHOCTAW T4N R10E"/>
    <s v="SEC.31 E2NE NWNE SENW SWNW S2W2NWNW"/>
    <m/>
    <m/>
    <m/>
  </r>
  <r>
    <s v="MSES57488"/>
    <x v="2"/>
    <x v="0"/>
    <d v="2012-06-14T00:00:00"/>
    <d v="2012-08-01T00:00:00"/>
    <x v="60"/>
    <n v="639.55999999999995"/>
    <x v="165"/>
    <x v="4"/>
    <m/>
    <n v="0.1"/>
    <n v="0.09"/>
    <s v="ES-077-06/12"/>
    <n v="2390"/>
    <n v="32000"/>
    <n v="34390"/>
    <n v="960"/>
    <m/>
    <m/>
    <m/>
    <x v="1"/>
    <x v="16"/>
    <m/>
    <m/>
    <s v="CHOCTAW T4N R10E"/>
    <s v="SEC.30 ALL"/>
    <m/>
    <m/>
    <m/>
  </r>
  <r>
    <s v="LAES57462"/>
    <x v="2"/>
    <x v="0"/>
    <d v="2012-06-14T00:00:00"/>
    <d v="2012-08-01T00:00:00"/>
    <x v="60"/>
    <n v="637.4"/>
    <x v="149"/>
    <x v="3"/>
    <m/>
    <n v="0.1"/>
    <n v="0.09"/>
    <s v="ES-051-06/12"/>
    <n v="2383"/>
    <n v="0"/>
    <n v="2383"/>
    <n v="957"/>
    <m/>
    <m/>
    <m/>
    <x v="1"/>
    <x v="16"/>
    <m/>
    <m/>
    <s v="LOUISIANA T6N R7W"/>
    <s v="SEC.17 ALL"/>
    <m/>
    <m/>
    <m/>
  </r>
  <r>
    <s v="LAES57466"/>
    <x v="2"/>
    <x v="0"/>
    <d v="2012-06-14T00:00:00"/>
    <d v="2012-08-01T00:00:00"/>
    <x v="60"/>
    <n v="1274"/>
    <x v="149"/>
    <x v="3"/>
    <m/>
    <n v="0.1"/>
    <n v="0.09"/>
    <s v="ES-055-06/12"/>
    <n v="4609"/>
    <n v="5096"/>
    <n v="9705"/>
    <n v="1911"/>
    <m/>
    <m/>
    <m/>
    <x v="1"/>
    <x v="16"/>
    <m/>
    <m/>
    <s v="LOUISIANA T6N R7W"/>
    <s v="SEC.21 ALL SEC.22 ALL"/>
    <m/>
    <m/>
    <m/>
  </r>
  <r>
    <s v="LAES57467"/>
    <x v="2"/>
    <x v="0"/>
    <d v="2012-06-14T00:00:00"/>
    <d v="2012-08-01T00:00:00"/>
    <x v="60"/>
    <n v="2054.08"/>
    <x v="149"/>
    <x v="3"/>
    <m/>
    <n v="0.1"/>
    <n v="0.09"/>
    <s v="ES-056-06/12"/>
    <n v="7342.5"/>
    <n v="16440"/>
    <n v="23782.5"/>
    <n v="3082.5"/>
    <m/>
    <m/>
    <m/>
    <x v="1"/>
    <x v="16"/>
    <m/>
    <m/>
    <s v="LOUISIANA T6N R7W"/>
    <s v="SEC.23 ALL SEC.24 ALL LESS 5.0 ACRES EAST OF HWY 360-1 IN NENE SEC.25 ALL"/>
    <m/>
    <m/>
    <m/>
  </r>
  <r>
    <s v="LAES57468"/>
    <x v="2"/>
    <x v="0"/>
    <d v="2012-06-14T00:00:00"/>
    <d v="2012-08-01T00:00:00"/>
    <x v="60"/>
    <n v="1911.48"/>
    <x v="149"/>
    <x v="3"/>
    <m/>
    <n v="0.1"/>
    <n v="0.09"/>
    <s v="ES-057-06/12"/>
    <n v="6842"/>
    <n v="15296"/>
    <n v="22138"/>
    <n v="2868"/>
    <m/>
    <m/>
    <m/>
    <x v="1"/>
    <x v="16"/>
    <m/>
    <m/>
    <s v="LOUISIANA T6N R7W"/>
    <s v="SEC.26 ALL SEC.27 ALL SEC.28 ALL"/>
    <m/>
    <m/>
    <m/>
  </r>
  <r>
    <s v="MSES57487"/>
    <x v="2"/>
    <x v="0"/>
    <d v="2012-06-14T00:00:00"/>
    <d v="2012-08-01T00:00:00"/>
    <x v="60"/>
    <n v="642.53"/>
    <x v="165"/>
    <x v="4"/>
    <m/>
    <n v="0.1"/>
    <n v="0.09"/>
    <s v="ES-076-06/12"/>
    <n v="2400.5"/>
    <n v="30864"/>
    <n v="33264.5"/>
    <n v="964.5"/>
    <m/>
    <m/>
    <m/>
    <x v="1"/>
    <x v="16"/>
    <m/>
    <m/>
    <s v="CHOCTAW T4N R10E"/>
    <s v="SEC.29 ALL"/>
    <m/>
    <m/>
    <m/>
  </r>
  <r>
    <s v="LAES57461"/>
    <x v="2"/>
    <x v="0"/>
    <d v="2012-06-14T00:00:00"/>
    <d v="2012-08-01T00:00:00"/>
    <x v="60"/>
    <n v="1273.8"/>
    <x v="149"/>
    <x v="3"/>
    <m/>
    <n v="0.1"/>
    <n v="0.09"/>
    <s v="ES-050-06/12"/>
    <n v="4609"/>
    <n v="0"/>
    <n v="4609"/>
    <n v="1911"/>
    <m/>
    <m/>
    <m/>
    <x v="1"/>
    <x v="16"/>
    <m/>
    <m/>
    <s v="LOUISIANA T6N R7W"/>
    <s v="SEC.15 ALL SEC.16 ALL"/>
    <m/>
    <m/>
    <m/>
  </r>
  <r>
    <s v="MSES57477"/>
    <x v="2"/>
    <x v="0"/>
    <d v="2012-06-14T00:00:00"/>
    <d v="2012-08-01T00:00:00"/>
    <x v="60"/>
    <n v="251.13"/>
    <x v="27"/>
    <x v="4"/>
    <m/>
    <n v="0.1"/>
    <n v="0.09"/>
    <s v="ES-066-06/12"/>
    <n v="1032"/>
    <n v="9576"/>
    <n v="10608"/>
    <n v="378"/>
    <m/>
    <m/>
    <m/>
    <x v="1"/>
    <x v="16"/>
    <m/>
    <m/>
    <s v="CHOCTAW T4N R9E"/>
    <s v="SEC.4 SWSW, 4.5 ACRES IN THE SW CORNER OF THE NWSW NESW LESS 4.375 ACRES, 4.375 ACRES IN THE NEWSW. SEC.5 E2NE SESW; SEC.6 NWSW"/>
    <m/>
    <m/>
    <m/>
  </r>
  <r>
    <s v="LAES57452"/>
    <x v="2"/>
    <x v="0"/>
    <d v="2012-06-14T00:00:00"/>
    <d v="2012-08-01T00:00:00"/>
    <x v="60"/>
    <n v="1998.57"/>
    <x v="149"/>
    <x v="3"/>
    <m/>
    <n v="0.1"/>
    <n v="0.09"/>
    <s v="ES-041-06/12"/>
    <n v="7146.5"/>
    <n v="0"/>
    <n v="7146.5"/>
    <n v="2998.5"/>
    <m/>
    <m/>
    <m/>
    <x v="1"/>
    <x v="16"/>
    <m/>
    <m/>
    <s v="LOUISIANA T6N R7W"/>
    <s v="SEC.1 ALL, SEC.2 ALL, SEC.3 ALL"/>
    <m/>
    <m/>
    <m/>
  </r>
  <r>
    <s v="MSES57475"/>
    <x v="2"/>
    <x v="0"/>
    <d v="2012-06-14T00:00:00"/>
    <d v="2012-08-01T00:00:00"/>
    <x v="60"/>
    <n v="233"/>
    <x v="27"/>
    <x v="4"/>
    <m/>
    <n v="0.1"/>
    <n v="0.09"/>
    <s v="ES-064-06/12"/>
    <n v="965.5"/>
    <n v="1864"/>
    <n v="2829.5"/>
    <n v="349.5"/>
    <m/>
    <m/>
    <m/>
    <x v="1"/>
    <x v="16"/>
    <m/>
    <m/>
    <s v="CHOCTAW T5N R8E"/>
    <s v="SEC.3 W2NE NENW SW"/>
    <m/>
    <m/>
    <m/>
  </r>
  <r>
    <s v="MSES57486"/>
    <x v="2"/>
    <x v="0"/>
    <d v="2012-06-14T00:00:00"/>
    <d v="2012-08-01T00:00:00"/>
    <x v="60"/>
    <n v="1501.96"/>
    <x v="165"/>
    <x v="4"/>
    <m/>
    <n v="0.1"/>
    <n v="0.09"/>
    <s v="ES-075-06/12"/>
    <n v="5407"/>
    <n v="54072"/>
    <n v="59479"/>
    <n v="2253"/>
    <m/>
    <m/>
    <m/>
    <x v="1"/>
    <x v="16"/>
    <m/>
    <m/>
    <s v="CHOCTAW T4N R10E"/>
    <s v="SEC.26 W2 SWSE SEC.27 N2 N2S2 SWSW SESW LESS N2E2W2SESW SWSE SESE LESS 9.50 ACRES IN A SQUARE IN SE CORNER SEC.28 N2 N2S2 SESE "/>
    <m/>
    <m/>
    <m/>
  </r>
  <r>
    <s v="LAES57455"/>
    <x v="2"/>
    <x v="0"/>
    <d v="2012-06-14T00:00:00"/>
    <d v="2012-08-01T00:00:00"/>
    <x v="60"/>
    <n v="1154.67"/>
    <x v="149"/>
    <x v="3"/>
    <m/>
    <n v="0.1"/>
    <n v="0.09"/>
    <s v="ES-044-06/12"/>
    <n v="4192.5"/>
    <n v="0"/>
    <n v="4192.5"/>
    <n v="1732.5"/>
    <m/>
    <m/>
    <m/>
    <x v="1"/>
    <x v="16"/>
    <m/>
    <m/>
    <s v="LOUISIANA T6N R7W"/>
    <s v="SEC.6 S2N2 NENW S2 SEC.7 ALL"/>
    <m/>
    <m/>
    <m/>
  </r>
  <r>
    <s v="LAES57454"/>
    <x v="2"/>
    <x v="0"/>
    <d v="2012-06-14T00:00:00"/>
    <d v="2012-08-01T00:00:00"/>
    <x v="60"/>
    <n v="636.63"/>
    <x v="149"/>
    <x v="3"/>
    <m/>
    <n v="0.1"/>
    <n v="0.09"/>
    <s v="ES-043-06/12"/>
    <n v="2379.5"/>
    <n v="0"/>
    <n v="2379.5"/>
    <n v="955.5"/>
    <m/>
    <m/>
    <m/>
    <x v="1"/>
    <x v="16"/>
    <m/>
    <m/>
    <s v="LOUISIANA T6N R7W"/>
    <s v="SEC.5 ALL"/>
    <m/>
    <m/>
    <m/>
  </r>
  <r>
    <s v="LAES57456"/>
    <x v="2"/>
    <x v="0"/>
    <d v="2012-06-14T00:00:00"/>
    <d v="2012-08-01T00:00:00"/>
    <x v="60"/>
    <n v="636.32000000000005"/>
    <x v="149"/>
    <x v="3"/>
    <m/>
    <n v="0.1"/>
    <n v="0.09"/>
    <s v="ES-045-06/12"/>
    <n v="2379.5"/>
    <n v="0"/>
    <n v="2379.5"/>
    <n v="955.5"/>
    <m/>
    <m/>
    <m/>
    <x v="1"/>
    <x v="16"/>
    <m/>
    <m/>
    <s v="LOUISIANA T6N R7W"/>
    <s v="SEC.8 ALL"/>
    <m/>
    <m/>
    <m/>
  </r>
  <r>
    <s v="LAES57459"/>
    <x v="2"/>
    <x v="0"/>
    <d v="2012-06-14T00:00:00"/>
    <d v="2012-08-01T00:00:00"/>
    <x v="60"/>
    <n v="2022.78"/>
    <x v="149"/>
    <x v="3"/>
    <m/>
    <n v="0.1"/>
    <n v="0.09"/>
    <s v="ES-048-06/12"/>
    <n v="7230.5"/>
    <n v="0"/>
    <n v="7230.5"/>
    <n v="3034.5"/>
    <m/>
    <m/>
    <m/>
    <x v="1"/>
    <x v="16"/>
    <m/>
    <m/>
    <s v="LOUISIANA T6N R7W"/>
    <s v="SEC.11 ALL SEC.12 ALL LESS 7.5 ACRES EAST OF HWY 360-1 IN SE SEC.13 ALL LESS 40.0 ACRES EAST OF HWY 360-1 IN E2"/>
    <m/>
    <m/>
    <m/>
  </r>
  <r>
    <s v="MSES57498"/>
    <x v="0"/>
    <x v="0"/>
    <d v="2012-06-14T00:00:00"/>
    <d v="2012-08-01T00:00:00"/>
    <x v="60"/>
    <n v="40"/>
    <x v="11"/>
    <x v="4"/>
    <m/>
    <n v="0.1"/>
    <n v="0.09"/>
    <s v="ES-087-06/12"/>
    <n v="290"/>
    <n v="0"/>
    <n v="290"/>
    <n v="60"/>
    <m/>
    <m/>
    <m/>
    <x v="36"/>
    <x v="16"/>
    <m/>
    <m/>
    <s v="ST.STEPHENS T1S R12W"/>
    <s v="SEC.24 SWSE"/>
    <m/>
    <m/>
    <m/>
  </r>
  <r>
    <s v="LAES57469"/>
    <x v="2"/>
    <x v="0"/>
    <d v="2012-06-14T00:00:00"/>
    <d v="2012-08-01T00:00:00"/>
    <x v="60"/>
    <n v="1588.4"/>
    <x v="149"/>
    <x v="3"/>
    <m/>
    <n v="0.1"/>
    <n v="0.09"/>
    <s v="ES-058-06/12"/>
    <n v="5711.5"/>
    <n v="0"/>
    <n v="5711.5"/>
    <n v="2383.5"/>
    <m/>
    <m/>
    <m/>
    <x v="1"/>
    <x v="16"/>
    <m/>
    <m/>
    <s v="LOUISIANA T6N R7W"/>
    <s v="SEE ATTACHED FOR DESCRIPTIONS"/>
    <m/>
    <m/>
    <m/>
  </r>
  <r>
    <s v="LAES57465"/>
    <x v="2"/>
    <x v="0"/>
    <d v="2012-06-14T00:00:00"/>
    <d v="2012-08-01T00:00:00"/>
    <x v="60"/>
    <n v="637.76"/>
    <x v="149"/>
    <x v="3"/>
    <m/>
    <n v="0.1"/>
    <n v="0.09"/>
    <s v="ES-054-06/12"/>
    <n v="2383"/>
    <n v="0"/>
    <n v="2383"/>
    <n v="957"/>
    <m/>
    <m/>
    <m/>
    <x v="1"/>
    <x v="16"/>
    <m/>
    <m/>
    <s v="LOUISIANA T6N R7W"/>
    <s v="SEC.20 ALL "/>
    <m/>
    <m/>
    <m/>
  </r>
  <r>
    <s v="LAES57464"/>
    <x v="2"/>
    <x v="0"/>
    <d v="2012-06-14T00:00:00"/>
    <d v="2012-08-01T00:00:00"/>
    <x v="60"/>
    <n v="591.1"/>
    <x v="149"/>
    <x v="3"/>
    <m/>
    <n v="0.1"/>
    <n v="0.09"/>
    <s v="ES-053-06/12"/>
    <n v="2222"/>
    <n v="0"/>
    <n v="2222"/>
    <n v="888"/>
    <m/>
    <m/>
    <m/>
    <x v="1"/>
    <x v="16"/>
    <m/>
    <m/>
    <s v="LOUISIANA T6N R7W"/>
    <s v="SEC.19 N2 NESW LESS 5.87 ACRES IN S2NESW S2SW SE"/>
    <m/>
    <m/>
    <m/>
  </r>
  <r>
    <s v="LAES57463"/>
    <x v="2"/>
    <x v="0"/>
    <d v="2012-06-14T00:00:00"/>
    <d v="2012-08-01T00:00:00"/>
    <x v="60"/>
    <n v="636.52"/>
    <x v="149"/>
    <x v="3"/>
    <m/>
    <n v="0.1"/>
    <n v="0.09"/>
    <s v="ES-052-06/12"/>
    <n v="2379.5"/>
    <n v="0"/>
    <n v="2379.5"/>
    <n v="955.5"/>
    <m/>
    <m/>
    <m/>
    <x v="1"/>
    <x v="16"/>
    <m/>
    <m/>
    <s v="LOUISIANA T6N R7W"/>
    <s v="SEC.18 ALL"/>
    <m/>
    <m/>
    <m/>
  </r>
  <r>
    <s v="LAES57471"/>
    <x v="2"/>
    <x v="0"/>
    <d v="2012-06-14T00:00:00"/>
    <d v="2012-08-01T00:00:00"/>
    <x v="60"/>
    <n v="89.1"/>
    <x v="149"/>
    <x v="3"/>
    <m/>
    <n v="0.1"/>
    <n v="0.09"/>
    <s v="ES-060-06/12"/>
    <n v="465"/>
    <n v="0"/>
    <n v="465"/>
    <n v="135"/>
    <m/>
    <m/>
    <m/>
    <x v="1"/>
    <x v="16"/>
    <m/>
    <m/>
    <s v="LOUISIANA T6N R7W"/>
    <s v="SEC.29 SWNWSW N2SE 50% US MINERAL INTEREST"/>
    <m/>
    <m/>
    <m/>
  </r>
  <r>
    <s v="LAES57470"/>
    <x v="2"/>
    <x v="0"/>
    <d v="2012-06-14T00:00:00"/>
    <d v="2012-08-01T00:00:00"/>
    <x v="60"/>
    <n v="2498.37"/>
    <x v="149"/>
    <x v="3"/>
    <m/>
    <n v="0.1"/>
    <n v="0.09"/>
    <s v="ES-059-06/12"/>
    <n v="8896.5"/>
    <n v="0"/>
    <n v="8896.5"/>
    <n v="3748.5"/>
    <m/>
    <m/>
    <m/>
    <x v="1"/>
    <x v="16"/>
    <m/>
    <m/>
    <s v="LOUISIANA T6N R7W"/>
    <s v="SEE ATTACHED FOR DESCRIPTIONS"/>
    <m/>
    <m/>
    <m/>
  </r>
  <r>
    <s v="LAES57458"/>
    <x v="2"/>
    <x v="0"/>
    <d v="2012-06-14T00:00:00"/>
    <d v="2012-08-01T00:00:00"/>
    <x v="60"/>
    <n v="636.67999999999995"/>
    <x v="149"/>
    <x v="3"/>
    <m/>
    <n v="0.1"/>
    <n v="0.09"/>
    <s v="ES-047-06/12"/>
    <n v="2379.5"/>
    <n v="0"/>
    <n v="2379.5"/>
    <n v="955.5"/>
    <m/>
    <m/>
    <m/>
    <x v="1"/>
    <x v="16"/>
    <m/>
    <m/>
    <s v="LOUISIANA T6N R7W"/>
    <s v="SEC.10 ALL"/>
    <m/>
    <m/>
    <m/>
  </r>
  <r>
    <s v="LAES57457"/>
    <x v="2"/>
    <x v="0"/>
    <d v="2012-06-14T00:00:00"/>
    <d v="2012-08-01T00:00:00"/>
    <x v="60"/>
    <n v="636.72"/>
    <x v="149"/>
    <x v="3"/>
    <m/>
    <n v="0.1"/>
    <n v="0.09"/>
    <s v="ES-046-06/12"/>
    <n v="2379.5"/>
    <n v="0"/>
    <n v="2379.5"/>
    <n v="955.5"/>
    <m/>
    <m/>
    <m/>
    <x v="1"/>
    <x v="16"/>
    <m/>
    <m/>
    <s v="LOUISIANA T6N R7W"/>
    <s v="SEC.9 ALL"/>
    <m/>
    <m/>
    <m/>
  </r>
  <r>
    <s v="LAES57460"/>
    <x v="2"/>
    <x v="0"/>
    <d v="2012-06-14T00:00:00"/>
    <d v="2012-08-01T00:00:00"/>
    <x v="60"/>
    <n v="636.67999999999995"/>
    <x v="149"/>
    <x v="3"/>
    <m/>
    <n v="0.1"/>
    <n v="0.09"/>
    <s v="ES-049-06/12"/>
    <n v="2379.5"/>
    <n v="0"/>
    <n v="2379.5"/>
    <n v="955.5"/>
    <m/>
    <m/>
    <m/>
    <x v="1"/>
    <x v="16"/>
    <m/>
    <m/>
    <s v="LOUISIANA T6N R7W"/>
    <s v="SEC.14 ALL"/>
    <m/>
    <m/>
    <m/>
  </r>
  <r>
    <s v="LAES57453"/>
    <x v="2"/>
    <x v="0"/>
    <d v="2012-06-14T00:00:00"/>
    <d v="2012-08-01T00:00:00"/>
    <x v="60"/>
    <n v="638.47"/>
    <x v="149"/>
    <x v="3"/>
    <m/>
    <n v="0.1"/>
    <n v="0.09"/>
    <s v="ES-042-06/12"/>
    <n v="2386.5"/>
    <n v="0"/>
    <n v="2386.5"/>
    <n v="958.5"/>
    <m/>
    <m/>
    <m/>
    <x v="1"/>
    <x v="16"/>
    <m/>
    <m/>
    <s v="LOUISIANA T6N R7W"/>
    <s v="SEC.4 ALL"/>
    <m/>
    <m/>
    <m/>
  </r>
  <r>
    <s v="MSES57494"/>
    <x v="0"/>
    <x v="0"/>
    <d v="2012-06-14T00:00:00"/>
    <d v="2012-08-01T00:00:00"/>
    <x v="60"/>
    <n v="2414.88"/>
    <x v="11"/>
    <x v="4"/>
    <m/>
    <n v="0.1"/>
    <n v="0.09"/>
    <s v="ES-083-06/12"/>
    <n v="8602.5"/>
    <n v="0"/>
    <n v="8602.5"/>
    <n v="3622.5"/>
    <m/>
    <m/>
    <m/>
    <x v="36"/>
    <x v="16"/>
    <m/>
    <m/>
    <s v="ST.STEPHENS T1S R12W"/>
    <s v="SEE LEASE FOR DESCRIPTION"/>
    <m/>
    <m/>
    <m/>
  </r>
  <r>
    <s v="MSES57495"/>
    <x v="0"/>
    <x v="0"/>
    <d v="2012-06-14T00:00:00"/>
    <d v="2012-08-01T00:00:00"/>
    <x v="60"/>
    <n v="1640.72"/>
    <x v="11"/>
    <x v="4"/>
    <m/>
    <n v="0.1"/>
    <n v="0.09"/>
    <s v="ES-084-06/12"/>
    <n v="5893.5"/>
    <n v="0"/>
    <n v="5893.5"/>
    <n v="2461.5"/>
    <m/>
    <m/>
    <m/>
    <x v="36"/>
    <x v="16"/>
    <m/>
    <m/>
    <s v="ST.STEPHENS T1S R12W"/>
    <s v="SEC.1 SWNE SESW NESE SEC.12 NE SENW N2SW NESE SEC.28 SENW SEC.29 E2NE NW NESW W2SE SEC.30 E2 SENW NESW S2SW SEC.31 W2W2 SENW NESW SEC.32 S2SE"/>
    <m/>
    <m/>
    <m/>
  </r>
  <r>
    <s v="MSES57496"/>
    <x v="0"/>
    <x v="0"/>
    <d v="2012-06-14T00:00:00"/>
    <d v="2012-08-01T00:00:00"/>
    <x v="60"/>
    <n v="80"/>
    <x v="11"/>
    <x v="4"/>
    <m/>
    <n v="0.1"/>
    <n v="0.09"/>
    <s v="ES-085-06/12"/>
    <n v="430"/>
    <n v="0"/>
    <n v="430"/>
    <n v="120"/>
    <m/>
    <m/>
    <m/>
    <x v="36"/>
    <x v="16"/>
    <m/>
    <m/>
    <s v="ST.STEPHENS T1S R12W"/>
    <s v="SEC.11 SENE, SEC.13 SWSW"/>
    <m/>
    <m/>
    <m/>
  </r>
  <r>
    <s v="MSES57497"/>
    <x v="0"/>
    <x v="0"/>
    <d v="2012-06-14T00:00:00"/>
    <d v="2012-08-01T00:00:00"/>
    <x v="60"/>
    <n v="200"/>
    <x v="11"/>
    <x v="4"/>
    <m/>
    <n v="0.1"/>
    <n v="0.09"/>
    <s v="ES-086-06/12"/>
    <n v="850"/>
    <n v="0"/>
    <n v="850"/>
    <n v="300"/>
    <m/>
    <m/>
    <m/>
    <x v="36"/>
    <x v="16"/>
    <m/>
    <m/>
    <s v="ST.STEPHENS T1S R12W"/>
    <s v="SEC.19 SESE SEC.24 S2NE SEC.31 NENW SESW"/>
    <m/>
    <m/>
    <m/>
  </r>
  <r>
    <s v="LAES57473"/>
    <x v="2"/>
    <x v="0"/>
    <d v="2012-06-14T00:00:00"/>
    <d v="2012-08-01T00:00:00"/>
    <x v="60"/>
    <n v="207.09"/>
    <x v="140"/>
    <x v="3"/>
    <m/>
    <n v="0.1"/>
    <n v="0.09"/>
    <s v="ES-062-06/12"/>
    <n v="878"/>
    <n v="0"/>
    <n v="878"/>
    <n v="312"/>
    <m/>
    <m/>
    <m/>
    <x v="1"/>
    <x v="16"/>
    <m/>
    <m/>
    <s v="LOUISIANA T9N R3W"/>
    <s v="SEC.11 TRACT C-681 IN S2NE LYING WEST OF PIERRE JOSEPH MASS SURVEY NWSE N2SW SWSW"/>
    <m/>
    <m/>
    <m/>
  </r>
  <r>
    <s v="LAES57474"/>
    <x v="2"/>
    <x v="0"/>
    <d v="2012-06-14T00:00:00"/>
    <d v="2012-08-01T00:00:00"/>
    <x v="60"/>
    <n v="742.56"/>
    <x v="140"/>
    <x v="3"/>
    <m/>
    <n v="0.1"/>
    <n v="0.09"/>
    <s v="ES-063-06/12"/>
    <n v="2750.5"/>
    <n v="0"/>
    <n v="2750.5"/>
    <n v="1114.5"/>
    <m/>
    <m/>
    <m/>
    <x v="1"/>
    <x v="16"/>
    <m/>
    <m/>
    <s v="LOUISIANA T9N R3W"/>
    <s v="SEC.15 E2NE NESE SEC.21 E2NE E2W2NE SEC.22 SWNW SEC.26 SENW SEC.27 NE SEC.35 E2NE SEC.36 W2NW SENW NESW"/>
    <m/>
    <m/>
    <m/>
  </r>
  <r>
    <s v="LAES57472"/>
    <x v="2"/>
    <x v="0"/>
    <d v="2012-06-14T00:00:00"/>
    <d v="2012-08-01T00:00:00"/>
    <x v="60"/>
    <n v="236.53"/>
    <x v="140"/>
    <x v="3"/>
    <m/>
    <n v="0.1"/>
    <n v="0.09"/>
    <s v="ES-061-06/12"/>
    <n v="979.5"/>
    <n v="0"/>
    <n v="979.5"/>
    <n v="355.5"/>
    <m/>
    <m/>
    <m/>
    <x v="1"/>
    <x v="16"/>
    <m/>
    <m/>
    <s v="LOUISIANA T9N R3W"/>
    <s v="SEC.3 E2NE W2SESE SEC.7 NWNE SEC.10 W2SENW E2SE"/>
    <m/>
    <m/>
    <m/>
  </r>
  <r>
    <s v="MSES57492"/>
    <x v="2"/>
    <x v="0"/>
    <d v="2012-06-14T00:00:00"/>
    <d v="2012-08-01T00:00:00"/>
    <x v="60"/>
    <n v="2532.17"/>
    <x v="27"/>
    <x v="4"/>
    <m/>
    <n v="0.1"/>
    <n v="0.09"/>
    <s v="ES-081-06/12"/>
    <n v="9015.5"/>
    <n v="0"/>
    <n v="9015.5"/>
    <n v="3799.5"/>
    <m/>
    <m/>
    <m/>
    <x v="1"/>
    <x v="16"/>
    <m/>
    <m/>
    <s v="CHOCTAW T5N R7E"/>
    <s v="SEE LEASE FOR DESCRIPTION"/>
    <m/>
    <m/>
    <m/>
  </r>
  <r>
    <s v="MSES57493"/>
    <x v="2"/>
    <x v="0"/>
    <d v="2012-06-14T00:00:00"/>
    <d v="2012-08-01T00:00:00"/>
    <x v="60"/>
    <n v="1245.75"/>
    <x v="27"/>
    <x v="4"/>
    <m/>
    <n v="0.1"/>
    <n v="0.09"/>
    <s v="ES-082-06/12"/>
    <n v="4511"/>
    <n v="0"/>
    <n v="4511"/>
    <n v="1869"/>
    <m/>
    <m/>
    <m/>
    <x v="1"/>
    <x v="16"/>
    <m/>
    <m/>
    <s v="CHOCTAW T5N R7E"/>
    <s v="SEE LEASE FOR DESCRIPTION"/>
    <m/>
    <m/>
    <m/>
  </r>
  <r>
    <m/>
    <x v="1"/>
    <x v="1"/>
    <m/>
    <m/>
    <x v="1"/>
    <m/>
    <x v="1"/>
    <x v="1"/>
    <m/>
    <m/>
    <m/>
    <m/>
    <n v="136112.5"/>
    <n v="346358"/>
    <n v="482470.5"/>
    <m/>
    <m/>
    <m/>
    <m/>
    <x v="1"/>
    <x v="1"/>
    <m/>
    <m/>
    <m/>
    <m/>
    <m/>
    <m/>
    <m/>
  </r>
  <r>
    <m/>
    <x v="1"/>
    <x v="1"/>
    <m/>
    <m/>
    <x v="1"/>
    <m/>
    <x v="1"/>
    <x v="1"/>
    <m/>
    <m/>
    <m/>
    <m/>
    <m/>
    <m/>
    <m/>
    <m/>
    <m/>
    <m/>
    <m/>
    <x v="1"/>
    <x v="1"/>
    <m/>
    <m/>
    <m/>
    <m/>
    <m/>
    <m/>
    <m/>
  </r>
  <r>
    <s v="NMNM128839"/>
    <x v="2"/>
    <x v="0"/>
    <d v="2012-07-18T00:00:00"/>
    <d v="2012-11-01T00:00:00"/>
    <x v="61"/>
    <n v="2398.6"/>
    <x v="166"/>
    <x v="7"/>
    <m/>
    <n v="0.1"/>
    <n v="0.09"/>
    <n v="201207009"/>
    <n v="8546.5"/>
    <n v="0"/>
    <n v="8546.5"/>
    <n v="3598.5"/>
    <m/>
    <m/>
    <m/>
    <x v="1"/>
    <x v="16"/>
    <m/>
    <m/>
    <s v="NMPM T0290S R0140W"/>
    <s v="SEC.20 NENE S2N2 S2; SEC.29 ALL, SEC.30 LOTS 2-4 E2 E2W2; SEC.31 LOTS 1-4 E2 E2W2"/>
    <m/>
    <m/>
    <m/>
  </r>
  <r>
    <s v="NMNM128840"/>
    <x v="2"/>
    <x v="0"/>
    <d v="2012-07-18T00:00:00"/>
    <d v="2012-11-01T00:00:00"/>
    <x v="61"/>
    <n v="2560"/>
    <x v="166"/>
    <x v="7"/>
    <m/>
    <n v="0.1"/>
    <n v="0.09"/>
    <n v="201207010"/>
    <n v="9110"/>
    <n v="0"/>
    <n v="9110"/>
    <n v="3840"/>
    <m/>
    <m/>
    <m/>
    <x v="1"/>
    <x v="16"/>
    <m/>
    <m/>
    <s v="NMPM T0290S R0140W"/>
    <s v="SEC.21 ALL, SEC.22 ALL, SEC.27 ALL, SEC.28 ALL"/>
    <m/>
    <m/>
    <m/>
  </r>
  <r>
    <s v="NMNM128841"/>
    <x v="2"/>
    <x v="0"/>
    <d v="2012-07-18T00:00:00"/>
    <d v="2012-11-01T00:00:00"/>
    <x v="61"/>
    <n v="1384.56"/>
    <x v="166"/>
    <x v="7"/>
    <m/>
    <n v="0.1"/>
    <n v="0.09"/>
    <n v="201207011"/>
    <n v="4997.5"/>
    <n v="0"/>
    <n v="4997.5"/>
    <n v="2077.5"/>
    <m/>
    <m/>
    <m/>
    <x v="1"/>
    <x v="16"/>
    <m/>
    <m/>
    <s v="NMPM T0300S R0140W"/>
    <s v="SEC.001 LOTS 1-14, SEC.001 S2NW SW, SEC.012 LOTS 1-12 W2"/>
    <m/>
    <m/>
    <m/>
  </r>
  <r>
    <s v="NMNM128842"/>
    <x v="2"/>
    <x v="0"/>
    <d v="2012-07-18T00:00:00"/>
    <d v="2012-11-01T00:00:00"/>
    <x v="61"/>
    <n v="1394.36"/>
    <x v="166"/>
    <x v="7"/>
    <m/>
    <n v="0.1"/>
    <n v="0.09"/>
    <n v="201207012"/>
    <n v="5032.5"/>
    <n v="0"/>
    <n v="5032.5"/>
    <n v="2092.5"/>
    <m/>
    <m/>
    <m/>
    <x v="1"/>
    <x v="16"/>
    <m/>
    <m/>
    <s v="NMPM T0300S R0140W"/>
    <s v="SEC.013 LOTS 1-12 W2 SEC.24 LOTS 1-12 W2"/>
    <m/>
    <m/>
    <m/>
  </r>
  <r>
    <s v="NMNM128843"/>
    <x v="2"/>
    <x v="0"/>
    <d v="2012-07-18T00:00:00"/>
    <d v="2012-11-01T00:00:00"/>
    <x v="61"/>
    <n v="1920"/>
    <x v="166"/>
    <x v="7"/>
    <m/>
    <n v="0.1"/>
    <n v="0.09"/>
    <n v="201207013"/>
    <n v="6870"/>
    <n v="0"/>
    <n v="6870"/>
    <n v="2880"/>
    <m/>
    <m/>
    <m/>
    <x v="1"/>
    <x v="16"/>
    <m/>
    <m/>
    <s v="NMPM T0300S R0140W"/>
    <s v="SEC.014 ALL SEC.022 ALL SEC.023 ALL"/>
    <m/>
    <m/>
    <m/>
  </r>
  <r>
    <s v="NMNM128844"/>
    <x v="2"/>
    <x v="0"/>
    <d v="2012-07-18T00:00:00"/>
    <d v="2012-11-01T00:00:00"/>
    <x v="61"/>
    <n v="160"/>
    <x v="166"/>
    <x v="7"/>
    <m/>
    <n v="0.1"/>
    <n v="0.09"/>
    <n v="201207014"/>
    <n v="710"/>
    <n v="0"/>
    <n v="710"/>
    <n v="240"/>
    <m/>
    <m/>
    <m/>
    <x v="1"/>
    <x v="16"/>
    <m/>
    <m/>
    <s v="NMPM T0300S R0140W"/>
    <s v="SEC.029 NE"/>
    <m/>
    <m/>
    <m/>
  </r>
  <r>
    <s v="OKNM128849"/>
    <x v="2"/>
    <x v="0"/>
    <d v="2012-07-18T00:00:00"/>
    <d v="2012-11-01T00:00:00"/>
    <x v="61"/>
    <n v="160"/>
    <x v="167"/>
    <x v="5"/>
    <m/>
    <n v="0.1"/>
    <n v="0.09"/>
    <n v="201207019"/>
    <n v="710"/>
    <n v="12480"/>
    <n v="13190"/>
    <n v="240"/>
    <m/>
    <m/>
    <m/>
    <x v="1"/>
    <x v="16"/>
    <m/>
    <m/>
    <s v="IM T0270N R0040E"/>
    <s v="SEC.027 NW TR 1272"/>
    <m/>
    <m/>
    <m/>
  </r>
  <r>
    <s v="OKNM128850"/>
    <x v="2"/>
    <x v="0"/>
    <d v="2012-07-18T00:00:00"/>
    <d v="2012-11-01T00:00:00"/>
    <x v="61"/>
    <n v="276.12"/>
    <x v="167"/>
    <x v="5"/>
    <m/>
    <n v="0.1"/>
    <n v="0.09"/>
    <n v="201207020"/>
    <n v="1119.5"/>
    <n v="24376"/>
    <n v="25495.5"/>
    <n v="415.5"/>
    <m/>
    <m/>
    <m/>
    <x v="1"/>
    <x v="16"/>
    <m/>
    <m/>
    <s v="IM T0270N R0050E"/>
    <s v="SEC.031 1,2(TR 334-3) SWNE TR 305 E2NW TR 334-3 W2SE TR 302"/>
    <m/>
    <m/>
    <m/>
  </r>
  <r>
    <s v="TXNM128851"/>
    <x v="2"/>
    <x v="0"/>
    <d v="2012-07-18T00:00:00"/>
    <d v="2012-11-01T00:00:00"/>
    <x v="61"/>
    <n v="2066.9899999999998"/>
    <x v="168"/>
    <x v="0"/>
    <m/>
    <n v="0.1"/>
    <n v="0.09"/>
    <n v="201207021"/>
    <n v="7384.5"/>
    <n v="0"/>
    <n v="7384.5"/>
    <n v="3100.5"/>
    <m/>
    <m/>
    <m/>
    <x v="1"/>
    <x v="16"/>
    <m/>
    <m/>
    <s v="TX T147"/>
    <s v="TR 372-A 418-D 450-B 545-A; TR 578-A 600 623 624 625, TR 626 628 629 630 631, TR 684-A 687 793 1202"/>
    <m/>
    <m/>
    <m/>
  </r>
  <r>
    <s v="TXNM128852"/>
    <x v="2"/>
    <x v="0"/>
    <d v="2012-07-18T00:00:00"/>
    <d v="2012-11-01T00:00:00"/>
    <x v="61"/>
    <n v="1892.89"/>
    <x v="168"/>
    <x v="0"/>
    <m/>
    <n v="0.1"/>
    <n v="0.09"/>
    <n v="201207022"/>
    <n v="6775.5"/>
    <n v="0"/>
    <n v="6775.5"/>
    <n v="2839.5"/>
    <m/>
    <m/>
    <m/>
    <x v="1"/>
    <x v="16"/>
    <m/>
    <m/>
    <s v="TX T147"/>
    <s v="TR 253-2 312-A 418-C 442-B, TR 450-A,519-B,565-B,632, TR 633 633-A 638 640-A 678, TR 679 680 681 682 1200"/>
    <m/>
    <m/>
    <m/>
  </r>
  <r>
    <s v="TXNM128853"/>
    <x v="2"/>
    <x v="0"/>
    <d v="2012-07-18T00:00:00"/>
    <d v="2012-11-01T00:00:00"/>
    <x v="61"/>
    <n v="2123.91"/>
    <x v="168"/>
    <x v="0"/>
    <m/>
    <n v="0.1"/>
    <n v="0.09"/>
    <n v="201207023"/>
    <n v="7584"/>
    <n v="0"/>
    <n v="7584"/>
    <n v="3186"/>
    <m/>
    <m/>
    <m/>
    <x v="1"/>
    <x v="16"/>
    <m/>
    <m/>
    <s v="TX T147"/>
    <s v="TR 73-A 156-B 450 519-E, TR 532 572-1 598-B 636 639 TR 640 640-B 641 647 649, TR 656 671 672 672-A 673 TR 674 675 724 727 906 990"/>
    <m/>
    <m/>
    <m/>
  </r>
  <r>
    <s v="TXNM128857"/>
    <x v="2"/>
    <x v="0"/>
    <d v="2012-07-18T00:00:00"/>
    <d v="2012-11-01T00:00:00"/>
    <x v="61"/>
    <n v="124"/>
    <x v="58"/>
    <x v="0"/>
    <m/>
    <n v="0.1"/>
    <n v="0.09"/>
    <n v="201207027"/>
    <n v="584"/>
    <n v="7192"/>
    <n v="7776"/>
    <n v="186"/>
    <m/>
    <m/>
    <m/>
    <x v="1"/>
    <x v="16"/>
    <m/>
    <m/>
    <s v="T403"/>
    <s v="TR S-2A-C. SEE ATTACHED M&amp;B'S W/MAP;"/>
    <m/>
    <m/>
    <m/>
  </r>
  <r>
    <s v="TXNM128858"/>
    <x v="2"/>
    <x v="0"/>
    <d v="2012-07-18T00:00:00"/>
    <d v="2012-11-01T00:00:00"/>
    <x v="61"/>
    <n v="2100.9299999999998"/>
    <x v="169"/>
    <x v="0"/>
    <m/>
    <n v="0.1"/>
    <n v="0.09"/>
    <n v="201207028"/>
    <n v="7503.5"/>
    <n v="542058"/>
    <n v="549561.5"/>
    <n v="3151.5"/>
    <m/>
    <m/>
    <m/>
    <x v="1"/>
    <x v="16"/>
    <m/>
    <m/>
    <s v="T403"/>
    <s v="TR S-2K-IV PARCEL #1 SEE ATTACHED M&amp;B'S W/MAP; NOTE - 2063.93 ACRES IN SABINE &amp; 64.00 ACRES IN JASPER COUNTY"/>
    <m/>
    <m/>
    <m/>
  </r>
  <r>
    <m/>
    <x v="1"/>
    <x v="1"/>
    <m/>
    <m/>
    <x v="1"/>
    <m/>
    <x v="1"/>
    <x v="1"/>
    <m/>
    <m/>
    <m/>
    <m/>
    <n v="66927.5"/>
    <n v="586106"/>
    <n v="653033.5"/>
    <m/>
    <m/>
    <m/>
    <m/>
    <x v="1"/>
    <x v="1"/>
    <m/>
    <m/>
    <m/>
    <m/>
    <m/>
    <m/>
    <m/>
  </r>
  <r>
    <m/>
    <x v="1"/>
    <x v="1"/>
    <m/>
    <m/>
    <x v="1"/>
    <m/>
    <x v="1"/>
    <x v="1"/>
    <m/>
    <m/>
    <m/>
    <m/>
    <m/>
    <m/>
    <m/>
    <m/>
    <m/>
    <m/>
    <m/>
    <x v="1"/>
    <x v="1"/>
    <m/>
    <m/>
    <m/>
    <m/>
    <m/>
    <m/>
    <m/>
  </r>
  <r>
    <s v="MSES57576"/>
    <x v="2"/>
    <x v="0"/>
    <d v="2012-09-13T00:00:00"/>
    <d v="2013-09-01T00:00:00"/>
    <x v="62"/>
    <n v="40.049999999999997"/>
    <x v="27"/>
    <x v="4"/>
    <m/>
    <n v="0.1"/>
    <n v="0.09"/>
    <s v="ES-055-09/12"/>
    <n v="293.5"/>
    <n v="1312"/>
    <n v="1605.5"/>
    <n v="61.5"/>
    <m/>
    <m/>
    <m/>
    <x v="1"/>
    <x v="17"/>
    <m/>
    <m/>
    <s v="T5N R7E MERIDIAN CHOCTAW"/>
    <s v="SEC.26 NWNW"/>
    <m/>
    <m/>
    <m/>
  </r>
  <r>
    <s v="MSES57577"/>
    <x v="2"/>
    <x v="0"/>
    <d v="2012-09-13T00:00:00"/>
    <d v="2013-09-01T00:00:00"/>
    <x v="62"/>
    <n v="4"/>
    <x v="27"/>
    <x v="4"/>
    <m/>
    <n v="0.1"/>
    <n v="0.09"/>
    <s v="ES-056-09/12"/>
    <n v="164"/>
    <n v="128"/>
    <n v="292"/>
    <n v="6"/>
    <m/>
    <m/>
    <m/>
    <x v="1"/>
    <x v="17"/>
    <m/>
    <m/>
    <s v="T5N R7E MERIDIAN CHOCTAW"/>
    <s v="SEC.33, 4 ACRES IN SWNW"/>
    <m/>
    <m/>
    <m/>
  </r>
  <r>
    <s v="MSES57578"/>
    <x v="2"/>
    <x v="0"/>
    <d v="2012-09-13T00:00:00"/>
    <d v="2013-09-01T00:00:00"/>
    <x v="62"/>
    <n v="659.34"/>
    <x v="27"/>
    <x v="4"/>
    <m/>
    <n v="0.1"/>
    <n v="0.09"/>
    <s v="ES-057-09/12"/>
    <n v="2460"/>
    <n v="20460"/>
    <n v="22920"/>
    <n v="990"/>
    <m/>
    <m/>
    <m/>
    <x v="1"/>
    <x v="17"/>
    <m/>
    <m/>
    <s v="T5N R8E MERIDIAN CHOCTAW"/>
    <s v="SEE LEASE FOR DESCRIPTION"/>
    <m/>
    <m/>
    <m/>
  </r>
  <r>
    <s v="MSES57579"/>
    <x v="2"/>
    <x v="0"/>
    <d v="2012-09-13T00:00:00"/>
    <d v="2013-09-01T00:00:00"/>
    <x v="62"/>
    <n v="109.84"/>
    <x v="55"/>
    <x v="4"/>
    <m/>
    <n v="0.1"/>
    <n v="0.09"/>
    <s v="ES-058-09/12"/>
    <n v="535"/>
    <n v="8580"/>
    <n v="9115"/>
    <n v="165"/>
    <m/>
    <m/>
    <m/>
    <x v="1"/>
    <x v="17"/>
    <m/>
    <m/>
    <s v="T4N R9E MERIDIAN CHOCTAW"/>
    <s v="SEC.1 SWNE W2SE"/>
    <m/>
    <m/>
    <m/>
  </r>
  <r>
    <s v="MSES57580"/>
    <x v="2"/>
    <x v="0"/>
    <d v="2012-09-13T00:00:00"/>
    <d v="2013-09-01T00:00:00"/>
    <x v="62"/>
    <n v="41.73"/>
    <x v="55"/>
    <x v="4"/>
    <m/>
    <n v="0.1"/>
    <n v="0.09"/>
    <s v="ES-059-09/12"/>
    <n v="297"/>
    <n v="3486"/>
    <n v="3783"/>
    <n v="63"/>
    <m/>
    <m/>
    <m/>
    <x v="1"/>
    <x v="17"/>
    <m/>
    <m/>
    <s v="T4N R9E MERIDIAN CHOCTAW"/>
    <s v="SEE LEASE FOR DESCRIPTION"/>
    <m/>
    <m/>
    <m/>
  </r>
  <r>
    <s v="MSES57581"/>
    <x v="2"/>
    <x v="0"/>
    <d v="2012-09-13T00:00:00"/>
    <d v="2013-09-01T00:00:00"/>
    <x v="62"/>
    <n v="425.96"/>
    <x v="27"/>
    <x v="4"/>
    <m/>
    <n v="0.1"/>
    <n v="0.09"/>
    <s v="ES-060-09/12"/>
    <n v="1641"/>
    <n v="53676"/>
    <n v="55317"/>
    <n v="639"/>
    <m/>
    <m/>
    <m/>
    <x v="1"/>
    <x v="17"/>
    <m/>
    <m/>
    <s v="T5N R9E MERIDIAN CHOCTAW"/>
    <s v="SEC 9 S2 SEC 10 W2SW S2SWNW SEC 14 5.75 ACRES WEST OF ROAD IN THE NWNW"/>
    <m/>
    <m/>
    <m/>
  </r>
  <r>
    <s v="MSES57582"/>
    <x v="2"/>
    <x v="0"/>
    <d v="2012-09-13T00:00:00"/>
    <d v="2013-09-01T00:00:00"/>
    <x v="62"/>
    <n v="115"/>
    <x v="27"/>
    <x v="4"/>
    <m/>
    <n v="0.1"/>
    <n v="0.09"/>
    <s v="ES-061-09/12"/>
    <n v="552.5"/>
    <n v="8970"/>
    <n v="9522.5"/>
    <n v="172.5"/>
    <m/>
    <m/>
    <m/>
    <x v="1"/>
    <x v="17"/>
    <m/>
    <m/>
    <s v="T5N R9E MERIDIAN CHOCTAW"/>
    <s v="SEC.20 N2SE LESS 5 ACRES IN THE NW CORNER E2SWSE SEC.29 E2NWNE"/>
    <m/>
    <m/>
    <m/>
  </r>
  <r>
    <s v="MSES57583"/>
    <x v="2"/>
    <x v="0"/>
    <d v="2012-09-13T00:00:00"/>
    <d v="2013-09-01T00:00:00"/>
    <x v="62"/>
    <n v="112.8"/>
    <x v="38"/>
    <x v="4"/>
    <m/>
    <n v="0.1"/>
    <n v="0.09"/>
    <s v="ES-062-09/12"/>
    <n v="545.5"/>
    <n v="1808"/>
    <n v="2353.5"/>
    <n v="169.5"/>
    <m/>
    <m/>
    <m/>
    <x v="1"/>
    <x v="17"/>
    <m/>
    <m/>
    <s v="T5N R4E MERIDIAN WASHINGTON"/>
    <s v="SEE LEASE FOR DESCRIPTION"/>
    <m/>
    <m/>
    <m/>
  </r>
  <r>
    <s v="MSES57584"/>
    <x v="2"/>
    <x v="0"/>
    <d v="2012-09-13T00:00:00"/>
    <d v="2013-09-01T00:00:00"/>
    <x v="62"/>
    <n v="131.69999999999999"/>
    <x v="38"/>
    <x v="4"/>
    <m/>
    <n v="0.1"/>
    <n v="0.09"/>
    <s v="ES-063-09/12"/>
    <n v="612"/>
    <n v="2376"/>
    <n v="2988"/>
    <n v="198"/>
    <m/>
    <m/>
    <m/>
    <x v="1"/>
    <x v="17"/>
    <m/>
    <m/>
    <s v="T5N R4E MERIDIAN WASHINGTON"/>
    <s v="SEC.11 W2NE N2NWSE SESE"/>
    <m/>
    <m/>
    <m/>
  </r>
  <r>
    <s v="MSES57585"/>
    <x v="2"/>
    <x v="0"/>
    <d v="2012-09-13T00:00:00"/>
    <d v="2013-09-01T00:00:00"/>
    <x v="62"/>
    <n v="250.11"/>
    <x v="38"/>
    <x v="4"/>
    <m/>
    <n v="0.1"/>
    <n v="0.09"/>
    <s v="ES-064-09/12"/>
    <n v="1028.5"/>
    <n v="4016"/>
    <n v="5044.5"/>
    <n v="376.5"/>
    <m/>
    <m/>
    <m/>
    <x v="1"/>
    <x v="17"/>
    <m/>
    <m/>
    <s v="T5N R4E MERIDIAN WASHINGTON"/>
    <s v="SEE LEASE FOR DESCRIPTION"/>
    <m/>
    <m/>
    <m/>
  </r>
  <r>
    <s v="MSES57586"/>
    <x v="2"/>
    <x v="0"/>
    <d v="2012-09-13T00:00:00"/>
    <d v="2013-09-01T00:00:00"/>
    <x v="62"/>
    <n v="300.08"/>
    <x v="38"/>
    <x v="4"/>
    <m/>
    <n v="0.1"/>
    <n v="0.09"/>
    <s v="ES-065-09/12"/>
    <n v="1203.5"/>
    <n v="5117"/>
    <n v="6320.5"/>
    <n v="451.5"/>
    <m/>
    <m/>
    <m/>
    <x v="1"/>
    <x v="17"/>
    <m/>
    <m/>
    <s v="T5N R4E MERIDIAN WASHINGTON"/>
    <s v="SEE LEASE FOR DESCRIPTION"/>
    <m/>
    <m/>
    <m/>
  </r>
  <r>
    <s v="MSES57587"/>
    <x v="2"/>
    <x v="0"/>
    <d v="2012-09-13T00:00:00"/>
    <d v="2013-09-01T00:00:00"/>
    <x v="62"/>
    <n v="3.32"/>
    <x v="38"/>
    <x v="4"/>
    <m/>
    <n v="0.1"/>
    <n v="0.09"/>
    <s v="ES-066-09/12"/>
    <n v="164"/>
    <n v="56"/>
    <n v="220"/>
    <n v="6"/>
    <m/>
    <m/>
    <m/>
    <x v="1"/>
    <x v="17"/>
    <m/>
    <m/>
    <s v="T5N R4E MERIDIAN WASHINGTON"/>
    <s v="SEC 18 TRACT H-1108 BEING 3.32 ACRES LYING IN THE S2SENWSE"/>
    <m/>
    <m/>
    <m/>
  </r>
  <r>
    <s v="LAES57522"/>
    <x v="2"/>
    <x v="0"/>
    <d v="2012-09-13T00:00:00"/>
    <d v="2015-10-01T00:00:00"/>
    <x v="63"/>
    <n v="692.48"/>
    <x v="139"/>
    <x v="3"/>
    <m/>
    <n v="0.1"/>
    <n v="0.09"/>
    <s v="ES-001-09/12"/>
    <n v="2575.5"/>
    <n v="19404"/>
    <n v="21979.5"/>
    <n v="1039.5"/>
    <m/>
    <m/>
    <m/>
    <x v="1"/>
    <x v="18"/>
    <m/>
    <m/>
    <s v="T6N R1E MERIDIAN LOUISIANA"/>
    <s v="SEC 1 W2 LESS 4.82 ACRS IN S2S2SW (LOTS 3,4,5) SEC 2 E2NE FRL E2SW N2SE"/>
    <s v="SEC 4 N2NE LESS 4 ACRES ON EAST SIDE OF NENE NENW"/>
    <m/>
    <m/>
  </r>
  <r>
    <s v="LAES57523"/>
    <x v="2"/>
    <x v="0"/>
    <d v="2012-09-13T00:00:00"/>
    <d v="2016-10-01T00:00:00"/>
    <x v="64"/>
    <n v="362.86"/>
    <x v="139"/>
    <x v="3"/>
    <m/>
    <n v="0.1"/>
    <n v="0.09"/>
    <s v="ES-002-09/12"/>
    <n v="1420.5"/>
    <n v="7623"/>
    <n v="9043.5"/>
    <n v="544.5"/>
    <m/>
    <m/>
    <m/>
    <x v="1"/>
    <x v="19"/>
    <m/>
    <m/>
    <s v="T6N R1E MERIDIAN LOUISIANA"/>
    <s v="SEC 5 N2 AND NESW ALL LYING NORTH OF BIG CREEK SEC 6 TRACK IN NE NORTH "/>
    <s v="OF BIG CREEK"/>
    <m/>
    <m/>
  </r>
  <r>
    <s v="LAES57524"/>
    <x v="2"/>
    <x v="0"/>
    <d v="2012-09-13T00:00:00"/>
    <d v="2015-10-01T00:00:00"/>
    <x v="63"/>
    <n v="516.25"/>
    <x v="139"/>
    <x v="3"/>
    <m/>
    <n v="0.1"/>
    <n v="0.09"/>
    <s v="ES-003-09/12"/>
    <n v="1959.5"/>
    <n v="11891"/>
    <n v="13850.5"/>
    <n v="775.5"/>
    <m/>
    <m/>
    <m/>
    <x v="1"/>
    <x v="18"/>
    <m/>
    <m/>
    <s v="T6N R1E MERIDIAN LOUISIANA"/>
    <s v="SEC 7 W2SW SEC 9 S2NE SWNW S2"/>
    <m/>
    <m/>
    <m/>
  </r>
  <r>
    <s v="LAES57525"/>
    <x v="2"/>
    <x v="0"/>
    <d v="2012-09-13T00:00:00"/>
    <d v="2015-10-01T00:00:00"/>
    <x v="63"/>
    <n v="544.86"/>
    <x v="139"/>
    <x v="3"/>
    <m/>
    <n v="0.1"/>
    <n v="0.09"/>
    <s v="ES-004-09/12"/>
    <n v="2057.5"/>
    <n v="13080"/>
    <n v="15137.5"/>
    <n v="817.8"/>
    <m/>
    <m/>
    <m/>
    <x v="1"/>
    <x v="18"/>
    <m/>
    <m/>
    <s v="T6N R1E MERIDIAN LOUISIANA"/>
    <s v="SEC 10 FRL. N2NE S2N2 S2"/>
    <m/>
    <m/>
    <m/>
  </r>
  <r>
    <s v="LAES57527"/>
    <x v="2"/>
    <x v="0"/>
    <d v="2012-09-13T00:00:00"/>
    <d v="2016-10-01T00:00:00"/>
    <x v="64"/>
    <n v="621.20000000000005"/>
    <x v="139"/>
    <x v="3"/>
    <m/>
    <n v="0.1"/>
    <n v="0.09"/>
    <s v="ES-006-09/12"/>
    <n v="2327"/>
    <n v="11196"/>
    <n v="13523"/>
    <n v="933"/>
    <m/>
    <m/>
    <m/>
    <x v="1"/>
    <x v="19"/>
    <m/>
    <m/>
    <s v="T6N R1E MERIDIAN LOUISIANA"/>
    <s v="SEC 11 FRL ENTIRE SECTION"/>
    <m/>
    <m/>
    <m/>
  </r>
  <r>
    <s v="LAES57528"/>
    <x v="2"/>
    <x v="0"/>
    <d v="2012-09-13T00:00:00"/>
    <d v="2015-10-01T00:00:00"/>
    <x v="63"/>
    <n v="304.48"/>
    <x v="139"/>
    <x v="3"/>
    <m/>
    <n v="0.1"/>
    <n v="0.09"/>
    <s v="ES-007-09/12"/>
    <n v="1217.5"/>
    <n v="7320"/>
    <n v="8537.5"/>
    <n v="457.5"/>
    <m/>
    <m/>
    <m/>
    <x v="1"/>
    <x v="18"/>
    <m/>
    <m/>
    <s v="T6N R1E MERIDIAN LOUISIANA"/>
    <s v="SEC 12 FRL. W2NW SEC 13 FRL. N2SW S2SW SE"/>
    <m/>
    <m/>
    <m/>
  </r>
  <r>
    <s v="LAES57529"/>
    <x v="2"/>
    <x v="0"/>
    <d v="2012-09-13T00:00:00"/>
    <d v="2015-10-01T00:00:00"/>
    <x v="63"/>
    <n v="55.3"/>
    <x v="139"/>
    <x v="3"/>
    <m/>
    <n v="0.1"/>
    <n v="0.09"/>
    <s v="ES-008-09/12"/>
    <n v="346"/>
    <n v="448"/>
    <n v="794"/>
    <n v="84"/>
    <m/>
    <m/>
    <m/>
    <x v="1"/>
    <x v="18"/>
    <m/>
    <m/>
    <s v="T6N R1E MERIDIAN LOUISIANA"/>
    <s v="SEC 13 TRACT C-120 IN THE E2NE"/>
    <m/>
    <m/>
    <m/>
  </r>
  <r>
    <s v="LAES57530"/>
    <x v="2"/>
    <x v="0"/>
    <d v="2012-09-13T00:00:00"/>
    <d v="2015-10-01T00:00:00"/>
    <x v="63"/>
    <n v="120.12"/>
    <x v="139"/>
    <x v="3"/>
    <m/>
    <n v="0.1"/>
    <n v="0.09"/>
    <s v="ES-009-09/12"/>
    <n v="573.5"/>
    <n v="2420"/>
    <n v="2993.5"/>
    <n v="181.5"/>
    <m/>
    <m/>
    <m/>
    <x v="1"/>
    <x v="18"/>
    <m/>
    <m/>
    <s v="T6N R1E MERIDIAN LOUISIANA"/>
    <s v="SEC 14 7 39 TRACT C-1749 IN N2NESE OF SECS 14 &amp; 39 &amp; N2SWSE OF SEC 14"/>
    <s v="TRACT C-1472 IN NWSE OF SECS 14 &amp; 39 TRACT C-85 IN NESE OF SECS 14 &amp; 39"/>
    <m/>
    <m/>
  </r>
  <r>
    <s v="LAES57531"/>
    <x v="2"/>
    <x v="0"/>
    <d v="2012-09-13T00:00:00"/>
    <d v="2015-10-01T00:00:00"/>
    <x v="63"/>
    <n v="642.16"/>
    <x v="139"/>
    <x v="3"/>
    <m/>
    <n v="0.1"/>
    <n v="0.09"/>
    <s v="ES-010-09/12"/>
    <n v="2400.5"/>
    <n v="12860"/>
    <n v="15260.5"/>
    <n v="964.5"/>
    <m/>
    <m/>
    <m/>
    <x v="1"/>
    <x v="18"/>
    <m/>
    <m/>
    <s v="T6N R1E MERIDIAN LOUISIANA"/>
    <s v="SEC 15 ALL"/>
    <m/>
    <m/>
    <m/>
  </r>
  <r>
    <s v="LAES57532"/>
    <x v="2"/>
    <x v="0"/>
    <d v="2012-09-13T00:00:00"/>
    <d v="2015-10-01T00:00:00"/>
    <x v="63"/>
    <n v="358.76"/>
    <x v="139"/>
    <x v="3"/>
    <m/>
    <n v="0.1"/>
    <n v="0.09"/>
    <s v="ES-011-09/12"/>
    <n v="1406.5"/>
    <n v="7180"/>
    <n v="8586.5"/>
    <n v="538.5"/>
    <m/>
    <m/>
    <m/>
    <x v="1"/>
    <x v="18"/>
    <m/>
    <m/>
    <s v="T6N R1E MERIDIAN LOUISIANA"/>
    <s v="SEC 20 E2 SESW"/>
    <m/>
    <m/>
    <m/>
  </r>
  <r>
    <s v="LAES57533"/>
    <x v="2"/>
    <x v="0"/>
    <d v="2012-09-13T00:00:00"/>
    <d v="2015-10-01T00:00:00"/>
    <x v="63"/>
    <n v="480.21"/>
    <x v="139"/>
    <x v="3"/>
    <m/>
    <n v="0.1"/>
    <n v="0.09"/>
    <s v="ES-012-09/12"/>
    <n v="1833.5"/>
    <n v="11544"/>
    <n v="13377.5"/>
    <n v="721.5"/>
    <m/>
    <m/>
    <m/>
    <x v="1"/>
    <x v="18"/>
    <m/>
    <m/>
    <s v="T6N R1E MERIDIAN LOUISIANA"/>
    <s v="SEC 21 N2 W2SW SESW NESE"/>
    <m/>
    <m/>
    <m/>
  </r>
  <r>
    <s v="LAES57534"/>
    <x v="2"/>
    <x v="0"/>
    <d v="2012-09-13T00:00:00"/>
    <d v="2015-10-01T00:00:00"/>
    <x v="63"/>
    <n v="685.78"/>
    <x v="139"/>
    <x v="3"/>
    <m/>
    <n v="0.1"/>
    <n v="0.09"/>
    <s v="ES-013-09/12"/>
    <n v="2551"/>
    <n v="15092"/>
    <n v="17643"/>
    <n v="1029"/>
    <m/>
    <m/>
    <m/>
    <x v="1"/>
    <x v="18"/>
    <m/>
    <m/>
    <s v="T6N R1E MERIDIAN LOUISIANA"/>
    <s v="SEC 22 NWNE N2NW SEC 23 SENE S2S2 NESE SEC 24 W2E2 LESS 4 ACRES IN "/>
    <s v="NWNE NW"/>
    <m/>
    <m/>
  </r>
  <r>
    <s v="LAES57535"/>
    <x v="2"/>
    <x v="0"/>
    <d v="2012-09-13T00:00:00"/>
    <d v="2015-10-01T00:00:00"/>
    <x v="63"/>
    <n v="632.55999999999995"/>
    <x v="139"/>
    <x v="3"/>
    <m/>
    <n v="0.1"/>
    <n v="0.09"/>
    <s v="ES-014-09/12"/>
    <n v="2365.5"/>
    <n v="13293"/>
    <n v="15658.5"/>
    <n v="949.5"/>
    <m/>
    <m/>
    <m/>
    <x v="1"/>
    <x v="18"/>
    <m/>
    <m/>
    <s v="T6N R1E MERIDIAN LOUISIANA"/>
    <s v="SEC 26 ALL THE LESS SWSENW"/>
    <m/>
    <m/>
    <m/>
  </r>
  <r>
    <s v="LAES57536"/>
    <x v="2"/>
    <x v="0"/>
    <d v="2012-09-13T00:00:00"/>
    <d v="2015-10-01T00:00:00"/>
    <x v="63"/>
    <n v="641.36"/>
    <x v="139"/>
    <x v="3"/>
    <m/>
    <n v="0.1"/>
    <n v="0.09"/>
    <s v="ES-015-09/12"/>
    <n v="2397"/>
    <n v="15408"/>
    <n v="17805"/>
    <n v="963"/>
    <m/>
    <m/>
    <m/>
    <x v="1"/>
    <x v="18"/>
    <m/>
    <m/>
    <s v="T6N R1E MERIDIAN LOUISIANA"/>
    <s v="SEC 27 ALL"/>
    <m/>
    <m/>
    <m/>
  </r>
  <r>
    <s v="LAES57537"/>
    <x v="2"/>
    <x v="0"/>
    <d v="2012-09-13T00:00:00"/>
    <d v="2015-10-01T00:00:00"/>
    <x v="63"/>
    <n v="521.5"/>
    <x v="139"/>
    <x v="3"/>
    <m/>
    <n v="0.1"/>
    <n v="0.09"/>
    <s v="ES-016-09/12"/>
    <n v="1977"/>
    <n v="12528"/>
    <n v="14505"/>
    <n v="783"/>
    <m/>
    <m/>
    <m/>
    <x v="1"/>
    <x v="18"/>
    <m/>
    <m/>
    <s v="T6N R1E MERIDIAN LOUISIANA"/>
    <s v="SEC 28 NWNE S2N2 S2"/>
    <m/>
    <m/>
    <m/>
  </r>
  <r>
    <s v="LAES57538"/>
    <x v="2"/>
    <x v="0"/>
    <d v="2012-09-13T00:00:00"/>
    <d v="2015-10-01T00:00:00"/>
    <x v="63"/>
    <n v="369.4"/>
    <x v="139"/>
    <x v="3"/>
    <m/>
    <n v="0.1"/>
    <n v="0.09"/>
    <s v="ES-017-09/12"/>
    <n v="1445"/>
    <n v="8510"/>
    <n v="9955"/>
    <n v="555"/>
    <m/>
    <m/>
    <m/>
    <x v="1"/>
    <x v="18"/>
    <m/>
    <m/>
    <s v="T6N R1E MERIDIAN LOUISIANA"/>
    <s v="SEC 29 E2 NENW E2E2SENW"/>
    <m/>
    <m/>
    <m/>
  </r>
  <r>
    <s v="LAES57539"/>
    <x v="2"/>
    <x v="0"/>
    <d v="2012-09-13T00:00:00"/>
    <d v="2015-10-01T00:00:00"/>
    <x v="63"/>
    <n v="399.77"/>
    <x v="139"/>
    <x v="3"/>
    <m/>
    <n v="0.1"/>
    <n v="0.09"/>
    <s v="ES-018-09/12"/>
    <n v="1550"/>
    <n v="9200"/>
    <n v="10750"/>
    <n v="600"/>
    <m/>
    <m/>
    <m/>
    <x v="1"/>
    <x v="18"/>
    <m/>
    <m/>
    <s v="T6N R1E MERIDIAN LOUISIANA"/>
    <s v="SEC 32 NE E2NW PART OF W2NW N2SE SESE"/>
    <m/>
    <m/>
    <m/>
  </r>
  <r>
    <s v="LAES57540"/>
    <x v="2"/>
    <x v="0"/>
    <d v="2012-09-13T00:00:00"/>
    <d v="2015-10-01T00:00:00"/>
    <x v="63"/>
    <n v="641"/>
    <x v="139"/>
    <x v="3"/>
    <m/>
    <n v="0.1"/>
    <n v="0.09"/>
    <s v="ES-019-09/12"/>
    <n v="2393.5"/>
    <n v="14743"/>
    <n v="17136.5"/>
    <n v="961.5"/>
    <m/>
    <m/>
    <m/>
    <x v="1"/>
    <x v="18"/>
    <m/>
    <m/>
    <s v="T6N R1E MERIDIAN LOUISIANA"/>
    <s v="SEC 33 ALL"/>
    <m/>
    <m/>
    <m/>
  </r>
  <r>
    <s v="LAES57541"/>
    <x v="2"/>
    <x v="0"/>
    <d v="2012-09-13T00:00:00"/>
    <d v="2015-10-01T00:00:00"/>
    <x v="63"/>
    <n v="530.13"/>
    <x v="139"/>
    <x v="3"/>
    <m/>
    <n v="0.1"/>
    <n v="0.09"/>
    <s v="ES-020-09/12"/>
    <n v="2008.5"/>
    <n v="12213"/>
    <n v="14221.5"/>
    <n v="810"/>
    <m/>
    <m/>
    <m/>
    <x v="1"/>
    <x v="18"/>
    <m/>
    <m/>
    <s v="T6N R1E MERIDIAN LOUISIANA"/>
    <s v="SEC 34 N2NE SWNE NW NESW S2NWSW S2SW W2SE SESE"/>
    <m/>
    <m/>
    <m/>
  </r>
  <r>
    <s v="LAES57542"/>
    <x v="2"/>
    <x v="0"/>
    <d v="2012-09-13T00:00:00"/>
    <d v="2015-10-01T00:00:00"/>
    <x v="63"/>
    <n v="159"/>
    <x v="139"/>
    <x v="3"/>
    <m/>
    <n v="0.1"/>
    <n v="0.09"/>
    <s v="ES-021-09/12"/>
    <n v="706.5"/>
    <n v="5565"/>
    <n v="6271.5"/>
    <n v="238.5"/>
    <m/>
    <m/>
    <m/>
    <x v="1"/>
    <x v="18"/>
    <m/>
    <m/>
    <s v="T6N R1E MERIDIAN LOUISIANA"/>
    <s v="SEC 38 TRACT C-59 IN N2"/>
    <m/>
    <m/>
    <m/>
  </r>
  <r>
    <s v="LAES57543"/>
    <x v="2"/>
    <x v="0"/>
    <d v="2012-09-13T00:00:00"/>
    <d v="2015-10-01T00:00:00"/>
    <x v="63"/>
    <n v="539.16"/>
    <x v="139"/>
    <x v="3"/>
    <m/>
    <n v="0.1"/>
    <n v="0.09"/>
    <s v="ES-022-09/12"/>
    <n v="2040"/>
    <n v="4320"/>
    <n v="6360"/>
    <n v="810"/>
    <m/>
    <m/>
    <m/>
    <x v="1"/>
    <x v="18"/>
    <m/>
    <m/>
    <s v="T9N R2W MERIDIAN LOUISIANA"/>
    <s v="SEC 2 SENE S2S2NWSW N2SE SEC 4 N2NW SENW SEC 5 ALL OF TRACT C-1685"/>
    <s v="LYING IN THE NE &amp; SENW; SEC 11 NESW S2SENW"/>
    <m/>
    <m/>
  </r>
  <r>
    <s v="LAES57544"/>
    <x v="2"/>
    <x v="0"/>
    <d v="2012-09-13T00:00:00"/>
    <d v="2015-10-01T00:00:00"/>
    <x v="63"/>
    <n v="263.41000000000003"/>
    <x v="139"/>
    <x v="3"/>
    <m/>
    <n v="0.1"/>
    <n v="0.09"/>
    <s v="ES-023-09/12"/>
    <n v="1074"/>
    <n v="2112"/>
    <n v="3186"/>
    <n v="396"/>
    <m/>
    <m/>
    <m/>
    <x v="1"/>
    <x v="18"/>
    <m/>
    <m/>
    <s v="T9N R2W MERIDIAN LOUISIANA"/>
    <s v="SEC 18 S2SW SEC 19 NE NESE"/>
    <m/>
    <m/>
    <m/>
  </r>
  <r>
    <s v="LAES57545"/>
    <x v="2"/>
    <x v="0"/>
    <d v="2012-09-13T00:00:00"/>
    <d v="2015-10-01T00:00:00"/>
    <x v="63"/>
    <n v="409.54"/>
    <x v="139"/>
    <x v="3"/>
    <m/>
    <n v="0.1"/>
    <n v="0.09"/>
    <s v="ES-024-09/12"/>
    <n v="1585"/>
    <n v="0"/>
    <n v="1585"/>
    <n v="615"/>
    <m/>
    <m/>
    <m/>
    <x v="1"/>
    <x v="18"/>
    <m/>
    <m/>
    <s v="T9N R2W MERIDIAN LOUISIANA"/>
    <s v="SEC 28 SESE SEC 30 S2NE S2NENE N2NW SEC 32 S2SW SEC 34 W2SW SEC 36 "/>
    <s v="NENE"/>
    <m/>
    <m/>
  </r>
  <r>
    <s v="LAES57546"/>
    <x v="2"/>
    <x v="0"/>
    <d v="2012-09-13T00:00:00"/>
    <d v="2015-10-01T00:00:00"/>
    <x v="63"/>
    <n v="39.58"/>
    <x v="149"/>
    <x v="3"/>
    <m/>
    <n v="0.1"/>
    <n v="0.09"/>
    <s v="ES-025-09/12"/>
    <n v="290"/>
    <n v="640"/>
    <n v="930"/>
    <n v="60"/>
    <m/>
    <m/>
    <m/>
    <x v="1"/>
    <x v="18"/>
    <m/>
    <m/>
    <s v="T6N R6W MERIDIAN LOUISIANA"/>
    <s v="SEC 4 SWSW"/>
    <m/>
    <m/>
    <m/>
  </r>
  <r>
    <s v="LAES57547"/>
    <x v="2"/>
    <x v="0"/>
    <d v="2012-09-13T00:00:00"/>
    <d v="2015-10-01T00:00:00"/>
    <x v="63"/>
    <n v="441.11"/>
    <x v="149"/>
    <x v="3"/>
    <m/>
    <n v="0.1"/>
    <n v="0.09"/>
    <s v="ES-026-09/12"/>
    <n v="1697"/>
    <n v="7956"/>
    <n v="9653"/>
    <n v="663"/>
    <m/>
    <m/>
    <m/>
    <x v="1"/>
    <x v="18"/>
    <m/>
    <m/>
    <s v="T6N R6W MERIDIAN LOUISIANA"/>
    <s v="SEC 6 ALL LAND WEST OF RD 339 LESS &amp; EXCEPT THE NENE "/>
    <s v="SEC 7 ALL LAND WEST OF RD 339 (37.50 AC)"/>
    <m/>
    <m/>
  </r>
  <r>
    <s v="LAES57548"/>
    <x v="2"/>
    <x v="0"/>
    <d v="2012-09-13T00:00:00"/>
    <d v="2015-10-01T00:00:00"/>
    <x v="63"/>
    <n v="638.47"/>
    <x v="149"/>
    <x v="3"/>
    <m/>
    <n v="0.1"/>
    <n v="0.09"/>
    <s v="ES-027-09/12"/>
    <n v="2386.5"/>
    <n v="7668"/>
    <n v="10054.5"/>
    <n v="958.5"/>
    <m/>
    <m/>
    <m/>
    <x v="1"/>
    <x v="18"/>
    <m/>
    <m/>
    <s v="T6N R6W MERIDIAN LOUISIANA"/>
    <s v="SEC 19 ALL LAND SOUTH &amp; WEST OF FOREST HIGHWAY 59"/>
    <m/>
    <m/>
    <m/>
  </r>
  <r>
    <s v="LAES57549"/>
    <x v="2"/>
    <x v="0"/>
    <d v="2012-09-13T00:00:00"/>
    <d v="2015-10-01T00:00:00"/>
    <x v="63"/>
    <n v="83"/>
    <x v="149"/>
    <x v="3"/>
    <m/>
    <n v="0.1"/>
    <n v="0.09"/>
    <s v="ES-028-09/12"/>
    <n v="440.5"/>
    <n v="996"/>
    <n v="1436.5"/>
    <n v="124.5"/>
    <m/>
    <m/>
    <m/>
    <x v="1"/>
    <x v="18"/>
    <m/>
    <m/>
    <s v="T6N R6W MERIDIAN LOUISIANA"/>
    <s v="SEC 20 PART OF TRACT K-2 IN SESE AS PART OF LONGLEAF TRAIL (35.30 AC) "/>
    <s v="SEC 21 PART OF TRACT K-2 IN SWSW AS PART OF LONGLEAF TRAIL VISTA RECREATION AREA (47.70 AC)"/>
    <m/>
    <m/>
  </r>
  <r>
    <s v="LAES57550"/>
    <x v="2"/>
    <x v="0"/>
    <d v="2012-09-13T00:00:00"/>
    <d v="2015-10-01T00:00:00"/>
    <x v="63"/>
    <n v="59.28"/>
    <x v="149"/>
    <x v="3"/>
    <m/>
    <n v="0.1"/>
    <n v="0.09"/>
    <s v="ES-029-09/12"/>
    <n v="360"/>
    <n v="720"/>
    <n v="1080"/>
    <n v="90"/>
    <m/>
    <m/>
    <m/>
    <x v="1"/>
    <x v="18"/>
    <m/>
    <m/>
    <s v="T6N R6W MERIDIAN LOUISIANA"/>
    <s v="SEC 22 TRACT K-15 IN THE E2SE"/>
    <m/>
    <m/>
    <m/>
  </r>
  <r>
    <s v="LAES57551"/>
    <x v="2"/>
    <x v="0"/>
    <d v="2012-09-13T00:00:00"/>
    <d v="2015-10-01T00:00:00"/>
    <x v="63"/>
    <n v="533.76"/>
    <x v="149"/>
    <x v="3"/>
    <m/>
    <n v="0.1"/>
    <n v="0.09"/>
    <s v="ES-030-09/12"/>
    <n v="2019"/>
    <n v="6408"/>
    <n v="8427"/>
    <n v="801"/>
    <m/>
    <m/>
    <m/>
    <x v="1"/>
    <x v="18"/>
    <m/>
    <m/>
    <s v="T6N R6W MERIDIAN LOUISIANA"/>
    <s v="SEC 22 TRACT K-178 IN THE N2SE SEC 23 N2 SW"/>
    <m/>
    <m/>
    <m/>
  </r>
  <r>
    <s v="LAES57552"/>
    <x v="2"/>
    <x v="0"/>
    <d v="2012-09-13T00:00:00"/>
    <d v="2015-10-01T00:00:00"/>
    <x v="63"/>
    <n v="344.48"/>
    <x v="149"/>
    <x v="3"/>
    <m/>
    <n v="0.1"/>
    <n v="0.09"/>
    <s v="ES-031-09/12"/>
    <n v="1357.5"/>
    <n v="4140"/>
    <n v="5497.5"/>
    <n v="517.5"/>
    <m/>
    <m/>
    <m/>
    <x v="1"/>
    <x v="18"/>
    <m/>
    <m/>
    <s v="T6N R6W MERIDIAN LOUISIANA"/>
    <s v="SEC 26 TRACT K-178 IN SENE E2SWNE SW EAST OF LA 119; SE LESS SENESE"/>
    <m/>
    <m/>
    <m/>
  </r>
  <r>
    <s v="LAES57553"/>
    <x v="2"/>
    <x v="0"/>
    <d v="2012-09-13T00:00:00"/>
    <d v="2015-10-01T00:00:00"/>
    <x v="63"/>
    <n v="51.1"/>
    <x v="149"/>
    <x v="3"/>
    <m/>
    <n v="0.1"/>
    <n v="0.09"/>
    <s v="ES-032-09/12"/>
    <n v="332"/>
    <n v="624"/>
    <n v="956"/>
    <n v="78"/>
    <m/>
    <m/>
    <m/>
    <x v="1"/>
    <x v="18"/>
    <m/>
    <m/>
    <s v="T6N R6W MERIDIAN LOUISIANA"/>
    <s v="SEC 28 TRACT K-2 IN N2NW AS PART OF LONGLEAF TRAIL VISTA RECREATION "/>
    <s v="AREA"/>
    <m/>
    <m/>
  </r>
  <r>
    <s v="LAES57554"/>
    <x v="2"/>
    <x v="0"/>
    <d v="2012-09-13T00:00:00"/>
    <d v="2015-10-01T00:00:00"/>
    <x v="63"/>
    <n v="12.5"/>
    <x v="149"/>
    <x v="3"/>
    <m/>
    <n v="0.1"/>
    <n v="0.09"/>
    <s v="ES-033-09/12"/>
    <n v="195.5"/>
    <n v="260"/>
    <n v="455.5"/>
    <n v="19.5"/>
    <m/>
    <m/>
    <m/>
    <x v="1"/>
    <x v="18"/>
    <m/>
    <m/>
    <s v="T6N R6W MERIDIAN LOUISIANA"/>
    <s v="SEC 28 SWSW SOUTH AND WEST OF FOREST HIGHWAY 59"/>
    <m/>
    <m/>
    <m/>
  </r>
  <r>
    <s v="LAES57555"/>
    <x v="2"/>
    <x v="0"/>
    <d v="2012-09-13T00:00:00"/>
    <d v="2015-10-01T00:00:00"/>
    <x v="63"/>
    <n v="429.13"/>
    <x v="149"/>
    <x v="3"/>
    <m/>
    <n v="0.1"/>
    <n v="0.09"/>
    <s v="ES-034-09/12"/>
    <n v="1655"/>
    <n v="7740"/>
    <n v="9395"/>
    <n v="645"/>
    <m/>
    <m/>
    <m/>
    <x v="1"/>
    <x v="18"/>
    <m/>
    <m/>
    <s v="T6N R6W MERIDIAN LOUISIANA"/>
    <s v="SEC 29 ALL LAND SOUTH AND WEST OF FOREST HIGHWAY 59"/>
    <m/>
    <m/>
    <m/>
  </r>
  <r>
    <s v="LAES57556"/>
    <x v="2"/>
    <x v="0"/>
    <d v="2012-09-13T00:00:00"/>
    <d v="2015-10-01T00:00:00"/>
    <x v="63"/>
    <n v="108.75"/>
    <x v="149"/>
    <x v="3"/>
    <m/>
    <n v="0.1"/>
    <n v="0.09"/>
    <s v="ES-035-09/12"/>
    <n v="531.5"/>
    <n v="1744"/>
    <n v="2275.5"/>
    <n v="163.5"/>
    <m/>
    <m/>
    <m/>
    <x v="1"/>
    <x v="18"/>
    <m/>
    <m/>
    <s v="T6N R6W MERIDIAN LOUISIANA"/>
    <s v="SEC 29 THAT PART OF TRACT K-2 IN NE &amp; NESE AS PART OF LONGLEAF TRAIL"/>
    <s v="VISTA RECREATIONAL AREA"/>
    <m/>
    <m/>
  </r>
  <r>
    <s v="LAES57557"/>
    <x v="2"/>
    <x v="0"/>
    <d v="2012-09-13T00:00:00"/>
    <d v="2015-10-01T00:00:00"/>
    <x v="63"/>
    <n v="642"/>
    <x v="149"/>
    <x v="3"/>
    <m/>
    <n v="0.1"/>
    <n v="0.09"/>
    <s v="ES-036-09/12"/>
    <n v="2397"/>
    <n v="8988"/>
    <n v="11385"/>
    <n v="963"/>
    <m/>
    <m/>
    <m/>
    <x v="1"/>
    <x v="18"/>
    <m/>
    <m/>
    <s v="T6N R6W MERIDIAN LOUISIANA"/>
    <s v="SEC 30 ALL"/>
    <m/>
    <m/>
    <m/>
  </r>
  <r>
    <s v="LAES57558"/>
    <x v="2"/>
    <x v="0"/>
    <d v="2012-09-13T00:00:00"/>
    <d v="2015-10-01T00:00:00"/>
    <x v="63"/>
    <n v="636.16"/>
    <x v="149"/>
    <x v="3"/>
    <m/>
    <n v="0.1"/>
    <n v="0.09"/>
    <s v="ES-037-09/12"/>
    <n v="2379.5"/>
    <n v="8918"/>
    <n v="11297.5"/>
    <n v="955.5"/>
    <m/>
    <m/>
    <m/>
    <x v="1"/>
    <x v="18"/>
    <m/>
    <m/>
    <s v="T6N R6W MERIDIAN LOUISIANA"/>
    <s v="SEC 31 ALL"/>
    <m/>
    <m/>
    <m/>
  </r>
  <r>
    <s v="LAES57559"/>
    <x v="2"/>
    <x v="0"/>
    <d v="2012-09-13T00:00:00"/>
    <d v="2015-10-01T00:00:00"/>
    <x v="63"/>
    <n v="631.6"/>
    <x v="149"/>
    <x v="3"/>
    <m/>
    <n v="0.1"/>
    <n v="0.09"/>
    <s v="ES-038-09/12"/>
    <n v="2362"/>
    <n v="8848"/>
    <n v="11210"/>
    <n v="948"/>
    <m/>
    <m/>
    <m/>
    <x v="1"/>
    <x v="18"/>
    <m/>
    <m/>
    <s v="T6N R6W MERIDIAN LOUISIANA"/>
    <s v="SEC 32 ALL"/>
    <m/>
    <m/>
    <m/>
  </r>
  <r>
    <s v="LAES57560"/>
    <x v="2"/>
    <x v="0"/>
    <d v="2012-09-13T00:00:00"/>
    <d v="2015-10-01T00:00:00"/>
    <x v="63"/>
    <n v="533.32000000000005"/>
    <x v="149"/>
    <x v="3"/>
    <m/>
    <n v="0.1"/>
    <n v="0.09"/>
    <s v="ES-039-09/12"/>
    <n v="2019"/>
    <n v="8010"/>
    <n v="10029"/>
    <n v="801"/>
    <m/>
    <m/>
    <m/>
    <x v="1"/>
    <x v="18"/>
    <m/>
    <m/>
    <s v="T6N R6W MERIDIAN LOUISIANA"/>
    <s v="SEC 33 ALL LAND SOUTH OF FOREST HIGHWAY 59"/>
    <m/>
    <m/>
    <m/>
  </r>
  <r>
    <s v="LAES57561"/>
    <x v="2"/>
    <x v="0"/>
    <d v="2012-09-13T00:00:00"/>
    <d v="2015-10-01T00:00:00"/>
    <x v="63"/>
    <n v="397.16"/>
    <x v="149"/>
    <x v="3"/>
    <m/>
    <n v="0.1"/>
    <n v="0.09"/>
    <s v="ES-040-09/12"/>
    <n v="1543"/>
    <n v="7164"/>
    <n v="8707"/>
    <n v="597"/>
    <m/>
    <m/>
    <m/>
    <x v="1"/>
    <x v="18"/>
    <m/>
    <m/>
    <s v="T6N R6W MERIDIAN LOUISIANA"/>
    <s v="SEC 34 ALL LAND SOUTH OF FOREST HIGHWAY 59 LESS &amp; EXCEPT 9.96 ACRES"/>
    <s v="IN NESENE"/>
    <m/>
    <m/>
  </r>
  <r>
    <s v="LAES57562"/>
    <x v="2"/>
    <x v="0"/>
    <d v="2012-09-13T00:00:00"/>
    <d v="2015-10-01T00:00:00"/>
    <x v="63"/>
    <n v="420.9"/>
    <x v="149"/>
    <x v="3"/>
    <m/>
    <n v="0.1"/>
    <n v="0.09"/>
    <s v="ES-041-09/12"/>
    <n v="1623.5"/>
    <n v="15577"/>
    <n v="17200.5"/>
    <n v="631.5"/>
    <m/>
    <m/>
    <m/>
    <x v="1"/>
    <x v="18"/>
    <m/>
    <m/>
    <s v="T6N R6W MERIDIAN LOUISIANA"/>
    <s v="SEC 35 NENE W2NE W2 LESS &amp; EXCEPT 12.5 ACRES IN NWNW"/>
    <m/>
    <m/>
    <m/>
  </r>
  <r>
    <s v="LAES57563"/>
    <x v="2"/>
    <x v="0"/>
    <d v="2012-09-13T00:00:00"/>
    <d v="2015-10-01T00:00:00"/>
    <x v="63"/>
    <n v="883.98"/>
    <x v="170"/>
    <x v="3"/>
    <m/>
    <n v="0.1"/>
    <n v="0.09"/>
    <s v="ES-042-09/12"/>
    <n v="3244"/>
    <n v="0"/>
    <n v="3244"/>
    <n v="1326"/>
    <m/>
    <m/>
    <m/>
    <x v="1"/>
    <x v="18"/>
    <m/>
    <m/>
    <s v="T1N R7W MERIDIAN LOUISIANA"/>
    <s v="SEC 13 S2NE NWNW SWSW SE SEC 14 N2NE SWNE W2 NESE S2SE"/>
    <m/>
    <m/>
    <m/>
  </r>
  <r>
    <s v="LAES57564"/>
    <x v="2"/>
    <x v="0"/>
    <d v="2012-09-13T00:00:00"/>
    <d v="2015-10-01T00:00:00"/>
    <x v="63"/>
    <n v="441.81"/>
    <x v="170"/>
    <x v="3"/>
    <m/>
    <n v="0.1"/>
    <n v="0.09"/>
    <s v="ES-043-09/12"/>
    <n v="1697"/>
    <n v="0"/>
    <n v="1697"/>
    <n v="663"/>
    <m/>
    <m/>
    <m/>
    <x v="1"/>
    <x v="18"/>
    <m/>
    <m/>
    <s v="T1N R7W MERIDIAN LOUISIANA"/>
    <s v="SEC 15 E2E2 SWSW SEC 16 SWNW S2S2 NESE"/>
    <m/>
    <m/>
    <m/>
  </r>
  <r>
    <s v="LAES57565"/>
    <x v="2"/>
    <x v="0"/>
    <d v="2012-09-13T00:00:00"/>
    <d v="2015-10-01T00:00:00"/>
    <x v="63"/>
    <n v="586.75"/>
    <x v="170"/>
    <x v="3"/>
    <m/>
    <n v="0.1"/>
    <n v="0.09"/>
    <s v="ES-044-09/12"/>
    <n v="2204.5"/>
    <n v="0"/>
    <n v="2204.5"/>
    <n v="880.5"/>
    <m/>
    <m/>
    <m/>
    <x v="1"/>
    <x v="18"/>
    <m/>
    <m/>
    <s v="T1N R7W MERIDIAN LOUISIANA"/>
    <s v="SEC 17 NE N2NW N2SENW S2"/>
    <m/>
    <m/>
    <m/>
  </r>
  <r>
    <s v="LAES57566"/>
    <x v="2"/>
    <x v="0"/>
    <d v="2012-09-13T00:00:00"/>
    <d v="2015-10-01T00:00:00"/>
    <x v="63"/>
    <n v="755.37"/>
    <x v="170"/>
    <x v="3"/>
    <m/>
    <n v="0.1"/>
    <n v="0.09"/>
    <s v="ES-045-09/12"/>
    <n v="2796"/>
    <n v="0"/>
    <n v="2796"/>
    <n v="1134"/>
    <m/>
    <m/>
    <m/>
    <x v="1"/>
    <x v="18"/>
    <m/>
    <m/>
    <s v="T1N R7W MERIDIAN LOUISIANA"/>
    <s v="SEC 18 E2 NENW NENWNW S2NWNW S2NW E2SW SEC 19 S2NE NENW E2SE"/>
    <m/>
    <m/>
    <m/>
  </r>
  <r>
    <s v="LAES57567"/>
    <x v="2"/>
    <x v="0"/>
    <d v="2012-09-13T00:00:00"/>
    <d v="2015-10-01T00:00:00"/>
    <x v="63"/>
    <n v="1197.92"/>
    <x v="170"/>
    <x v="3"/>
    <m/>
    <n v="0.1"/>
    <n v="0.09"/>
    <s v="ES-046-09/12"/>
    <n v="4343"/>
    <n v="0"/>
    <n v="4343"/>
    <n v="1797"/>
    <m/>
    <m/>
    <m/>
    <x v="1"/>
    <x v="18"/>
    <m/>
    <m/>
    <s v="T1N R7W MERIDIAN LOUISIANA"/>
    <s v="SEC 20 ALL LESS 39.80 ACRES (TRACT V-10) IN E2 SEC 21 NE NENW S2NW S2"/>
    <m/>
    <m/>
    <m/>
  </r>
  <r>
    <s v="LAES57568"/>
    <x v="2"/>
    <x v="0"/>
    <d v="2012-09-13T00:00:00"/>
    <d v="2015-10-01T00:00:00"/>
    <x v="63"/>
    <n v="1073.29"/>
    <x v="170"/>
    <x v="3"/>
    <m/>
    <n v="0.1"/>
    <n v="0.09"/>
    <s v="ES-047-09/12"/>
    <n v="3909"/>
    <n v="0"/>
    <n v="3909"/>
    <n v="1611"/>
    <m/>
    <m/>
    <m/>
    <x v="1"/>
    <x v="18"/>
    <m/>
    <m/>
    <s v="T1N R7W MERIDIAN LOUISIANA"/>
    <s v="SEC 22 ALL SEC 23 N2N2 SWNW S2NESW NWSW S2SW W2SE E2SESE"/>
    <m/>
    <m/>
    <m/>
  </r>
  <r>
    <s v="LAES57569"/>
    <x v="2"/>
    <x v="0"/>
    <d v="2012-09-13T00:00:00"/>
    <d v="2015-10-01T00:00:00"/>
    <x v="63"/>
    <n v="646.21"/>
    <x v="170"/>
    <x v="3"/>
    <m/>
    <n v="0.1"/>
    <n v="0.09"/>
    <s v="ES-048-09/12"/>
    <n v="2414.5"/>
    <n v="0"/>
    <n v="2414.5"/>
    <n v="970.5"/>
    <m/>
    <m/>
    <m/>
    <x v="1"/>
    <x v="18"/>
    <m/>
    <m/>
    <s v="T1N R7W MERIDIAN LOUISIANA"/>
    <s v="SEC 24 ALL"/>
    <m/>
    <m/>
    <m/>
  </r>
  <r>
    <s v="LAES57570"/>
    <x v="2"/>
    <x v="0"/>
    <d v="2012-09-13T00:00:00"/>
    <d v="2015-10-01T00:00:00"/>
    <x v="63"/>
    <n v="1206.6600000000001"/>
    <x v="170"/>
    <x v="3"/>
    <m/>
    <n v="0.1"/>
    <n v="0.09"/>
    <s v="ES-049-09/12"/>
    <n v="4374.5"/>
    <n v="0"/>
    <n v="4374.5"/>
    <n v="1810.5"/>
    <m/>
    <m/>
    <m/>
    <x v="1"/>
    <x v="18"/>
    <m/>
    <m/>
    <s v="T1N R7W MERIDIAN LOUISIANA"/>
    <s v="SEC 25 N2 N2SW SESW SE SEC 26 N2 SW N2SE SWSE"/>
    <m/>
    <m/>
    <m/>
  </r>
  <r>
    <s v="LAES57571"/>
    <x v="2"/>
    <x v="0"/>
    <d v="2012-09-13T00:00:00"/>
    <d v="2015-10-01T00:00:00"/>
    <x v="63"/>
    <n v="1297.72"/>
    <x v="170"/>
    <x v="3"/>
    <m/>
    <n v="0.1"/>
    <n v="0.09"/>
    <s v="ES-050-09/12"/>
    <n v="4693"/>
    <n v="0"/>
    <n v="4693"/>
    <n v="1947"/>
    <m/>
    <m/>
    <m/>
    <x v="1"/>
    <x v="18"/>
    <m/>
    <m/>
    <s v="T1N R7W MERIDIAN LOUISIANA"/>
    <s v="SEC 27 ALL SEC 28 ALL"/>
    <m/>
    <m/>
    <m/>
  </r>
  <r>
    <s v="LAES57572"/>
    <x v="2"/>
    <x v="0"/>
    <d v="2012-09-13T00:00:00"/>
    <d v="2015-10-01T00:00:00"/>
    <x v="63"/>
    <n v="957.39"/>
    <x v="170"/>
    <x v="3"/>
    <m/>
    <n v="0.1"/>
    <n v="0.09"/>
    <s v="ES-051-09/12"/>
    <n v="3503"/>
    <n v="0"/>
    <n v="3503"/>
    <n v="1437"/>
    <m/>
    <m/>
    <m/>
    <x v="1"/>
    <x v="18"/>
    <m/>
    <m/>
    <s v="T1N R7W MERIDIAN LOUISIANA"/>
    <s v="SEC 29 N2 N2S2 SESW S2SE LESS 14.0 ACRES (TRACT V-10) SEC 30 E2NE SWNW"/>
    <s v="NWSW S2SW W2SE"/>
    <m/>
    <m/>
  </r>
  <r>
    <s v="LAES57573"/>
    <x v="2"/>
    <x v="0"/>
    <d v="2012-09-13T00:00:00"/>
    <d v="2015-10-01T00:00:00"/>
    <x v="63"/>
    <n v="1002.23"/>
    <x v="170"/>
    <x v="3"/>
    <m/>
    <n v="0.1"/>
    <n v="0.09"/>
    <s v="ES-052-09/12"/>
    <n v="3660.5"/>
    <n v="0"/>
    <n v="3660.5"/>
    <n v="1504.5"/>
    <m/>
    <m/>
    <m/>
    <x v="1"/>
    <x v="18"/>
    <m/>
    <m/>
    <s v="T1N R7W MERIDIAN LOUISIANA"/>
    <s v="SEC 31 NENE S2NE NW S2 SEC 32 W2NW S2"/>
    <m/>
    <m/>
    <m/>
  </r>
  <r>
    <s v="LAES57574"/>
    <x v="2"/>
    <x v="0"/>
    <d v="2012-09-13T00:00:00"/>
    <d v="2015-10-01T00:00:00"/>
    <x v="63"/>
    <n v="1125.48"/>
    <x v="170"/>
    <x v="3"/>
    <m/>
    <n v="0.1"/>
    <n v="0.09"/>
    <s v="ES-053-09/12"/>
    <n v="4091"/>
    <n v="0"/>
    <n v="4091"/>
    <n v="1689"/>
    <m/>
    <m/>
    <m/>
    <x v="1"/>
    <x v="18"/>
    <m/>
    <m/>
    <s v="T1N R7W MERIDIAN LOUISIANA"/>
    <s v="SEC 33 E2 N2NW SENW NWSW SEC 34 ALL"/>
    <m/>
    <m/>
    <m/>
  </r>
  <r>
    <s v="LAES57575"/>
    <x v="2"/>
    <x v="0"/>
    <d v="2012-09-13T00:00:00"/>
    <d v="2015-10-01T00:00:00"/>
    <x v="63"/>
    <n v="903.46"/>
    <x v="170"/>
    <x v="3"/>
    <m/>
    <n v="0.1"/>
    <n v="0.09"/>
    <s v="ES-054-09/12"/>
    <n v="3314"/>
    <n v="0"/>
    <n v="3314"/>
    <n v="1356"/>
    <m/>
    <m/>
    <m/>
    <x v="1"/>
    <x v="18"/>
    <m/>
    <m/>
    <s v="T1N R7W MERIDIAN LOUISIANA"/>
    <s v="SEC 35 NWNE S2NE NW S2 SEC 36 E2"/>
    <m/>
    <m/>
    <m/>
  </r>
  <r>
    <m/>
    <x v="1"/>
    <x v="1"/>
    <m/>
    <m/>
    <x v="1"/>
    <m/>
    <x v="1"/>
    <x v="1"/>
    <m/>
    <m/>
    <m/>
    <m/>
    <n v="117539.5"/>
    <n v="424336"/>
    <n v="541875.5"/>
    <m/>
    <m/>
    <m/>
    <m/>
    <x v="1"/>
    <x v="1"/>
    <m/>
    <m/>
    <m/>
    <m/>
    <m/>
    <m/>
    <m/>
  </r>
  <r>
    <m/>
    <x v="1"/>
    <x v="1"/>
    <m/>
    <m/>
    <x v="1"/>
    <m/>
    <x v="1"/>
    <x v="1"/>
    <m/>
    <m/>
    <m/>
    <m/>
    <m/>
    <m/>
    <m/>
    <m/>
    <m/>
    <m/>
    <m/>
    <x v="1"/>
    <x v="1"/>
    <m/>
    <m/>
    <m/>
    <m/>
    <m/>
    <m/>
    <m/>
  </r>
  <r>
    <s v="LAES57608"/>
    <x v="2"/>
    <x v="0"/>
    <d v="2012-12-13T00:00:00"/>
    <d v="2013-02-01T00:00:00"/>
    <x v="65"/>
    <n v="75.48"/>
    <x v="171"/>
    <x v="3"/>
    <m/>
    <n v="0.1"/>
    <n v="0.09"/>
    <s v="ES-002-12/12"/>
    <n v="416"/>
    <n v="0"/>
    <n v="416"/>
    <n v="114"/>
    <m/>
    <m/>
    <m/>
    <x v="1"/>
    <x v="17"/>
    <m/>
    <m/>
    <s v="T14S R18E MERIDIAN LOUISIANA"/>
    <s v="SEC 19 S2SW"/>
    <m/>
    <m/>
    <m/>
  </r>
  <r>
    <s v="LAES57609"/>
    <x v="0"/>
    <x v="0"/>
    <d v="2012-12-13T00:00:00"/>
    <m/>
    <x v="1"/>
    <n v="40"/>
    <x v="1"/>
    <x v="1"/>
    <m/>
    <n v="0.1"/>
    <n v="0.09"/>
    <m/>
    <n v="290"/>
    <n v="360"/>
    <n v="650"/>
    <m/>
    <m/>
    <m/>
    <m/>
    <x v="104"/>
    <x v="1"/>
    <m/>
    <m/>
    <m/>
    <m/>
    <m/>
    <m/>
    <m/>
  </r>
  <r>
    <s v="LAES57610"/>
    <x v="0"/>
    <x v="0"/>
    <d v="2012-12-13T00:00:00"/>
    <m/>
    <x v="1"/>
    <n v="207.96"/>
    <x v="1"/>
    <x v="1"/>
    <m/>
    <n v="0.1"/>
    <n v="0.09"/>
    <m/>
    <n v="878"/>
    <n v="1872"/>
    <n v="2750"/>
    <m/>
    <m/>
    <m/>
    <m/>
    <x v="104"/>
    <x v="1"/>
    <m/>
    <m/>
    <m/>
    <m/>
    <m/>
    <m/>
    <m/>
  </r>
  <r>
    <s v="LAES57611"/>
    <x v="0"/>
    <x v="0"/>
    <d v="2012-12-13T00:00:00"/>
    <m/>
    <x v="1"/>
    <n v="351.97"/>
    <x v="1"/>
    <x v="1"/>
    <m/>
    <n v="0.1"/>
    <n v="0.09"/>
    <m/>
    <n v="1382"/>
    <n v="2816"/>
    <n v="4198"/>
    <m/>
    <m/>
    <m/>
    <m/>
    <x v="104"/>
    <x v="1"/>
    <m/>
    <m/>
    <m/>
    <m/>
    <m/>
    <m/>
    <m/>
  </r>
  <r>
    <s v="LAES57612"/>
    <x v="0"/>
    <x v="0"/>
    <d v="2012-12-13T00:00:00"/>
    <m/>
    <x v="1"/>
    <n v="205.7"/>
    <x v="1"/>
    <x v="1"/>
    <m/>
    <n v="0.1"/>
    <n v="0.09"/>
    <m/>
    <n v="871"/>
    <n v="1854"/>
    <n v="2725"/>
    <m/>
    <m/>
    <m/>
    <m/>
    <x v="104"/>
    <x v="1"/>
    <m/>
    <m/>
    <m/>
    <m/>
    <m/>
    <m/>
    <m/>
  </r>
  <r>
    <s v="LAES57613"/>
    <x v="0"/>
    <x v="0"/>
    <d v="2012-12-13T00:00:00"/>
    <m/>
    <x v="1"/>
    <n v="119.5"/>
    <x v="1"/>
    <x v="1"/>
    <m/>
    <n v="0.1"/>
    <n v="0.09"/>
    <m/>
    <n v="570"/>
    <n v="1080"/>
    <n v="1650"/>
    <m/>
    <m/>
    <m/>
    <m/>
    <x v="104"/>
    <x v="1"/>
    <m/>
    <m/>
    <m/>
    <m/>
    <m/>
    <m/>
    <m/>
  </r>
  <r>
    <s v="LAES57614"/>
    <x v="0"/>
    <x v="0"/>
    <d v="2012-12-13T00:00:00"/>
    <m/>
    <x v="1"/>
    <n v="145.27000000000001"/>
    <x v="1"/>
    <x v="1"/>
    <m/>
    <n v="0.1"/>
    <n v="0.09"/>
    <m/>
    <n v="661"/>
    <n v="1314"/>
    <n v="1975"/>
    <m/>
    <m/>
    <m/>
    <m/>
    <x v="104"/>
    <x v="1"/>
    <m/>
    <m/>
    <m/>
    <m/>
    <m/>
    <m/>
    <m/>
  </r>
  <r>
    <s v="LAES57615"/>
    <x v="0"/>
    <x v="0"/>
    <d v="2012-12-13T00:00:00"/>
    <m/>
    <x v="1"/>
    <n v="647.55999999999995"/>
    <x v="1"/>
    <x v="1"/>
    <m/>
    <n v="0.1"/>
    <n v="0.09"/>
    <m/>
    <n v="2418"/>
    <n v="5184"/>
    <n v="7602"/>
    <m/>
    <m/>
    <m/>
    <m/>
    <x v="104"/>
    <x v="1"/>
    <m/>
    <m/>
    <m/>
    <m/>
    <m/>
    <m/>
    <m/>
  </r>
  <r>
    <s v="LAES57616"/>
    <x v="0"/>
    <x v="0"/>
    <d v="2012-12-13T00:00:00"/>
    <m/>
    <x v="1"/>
    <n v="245.2"/>
    <x v="1"/>
    <x v="1"/>
    <m/>
    <n v="0.1"/>
    <n v="0.09"/>
    <m/>
    <n v="1011"/>
    <n v="2214"/>
    <n v="3225"/>
    <m/>
    <m/>
    <m/>
    <m/>
    <x v="104"/>
    <x v="1"/>
    <m/>
    <m/>
    <m/>
    <m/>
    <m/>
    <m/>
    <m/>
  </r>
  <r>
    <s v="LAES57617"/>
    <x v="0"/>
    <x v="0"/>
    <d v="2012-12-13T00:00:00"/>
    <m/>
    <x v="1"/>
    <n v="424.78"/>
    <x v="1"/>
    <x v="1"/>
    <m/>
    <n v="0.1"/>
    <n v="0.09"/>
    <m/>
    <n v="1637.5"/>
    <n v="3825"/>
    <n v="5462.5"/>
    <m/>
    <m/>
    <m/>
    <m/>
    <x v="104"/>
    <x v="1"/>
    <m/>
    <m/>
    <m/>
    <m/>
    <m/>
    <m/>
    <m/>
  </r>
  <r>
    <s v="LAES57618"/>
    <x v="0"/>
    <x v="0"/>
    <d v="2012-12-13T00:00:00"/>
    <m/>
    <x v="1"/>
    <n v="648.4"/>
    <x v="1"/>
    <x v="1"/>
    <m/>
    <n v="0.1"/>
    <n v="0.09"/>
    <m/>
    <n v="2421.5"/>
    <n v="5841"/>
    <n v="8262.5"/>
    <m/>
    <m/>
    <m/>
    <m/>
    <x v="104"/>
    <x v="1"/>
    <m/>
    <m/>
    <m/>
    <m/>
    <m/>
    <m/>
    <m/>
  </r>
  <r>
    <s v="LAES57619"/>
    <x v="0"/>
    <x v="0"/>
    <d v="2012-12-13T00:00:00"/>
    <m/>
    <x v="1"/>
    <n v="26"/>
    <x v="1"/>
    <x v="1"/>
    <m/>
    <n v="0.1"/>
    <n v="0.09"/>
    <m/>
    <n v="241"/>
    <n v="234"/>
    <n v="475"/>
    <m/>
    <m/>
    <m/>
    <m/>
    <x v="104"/>
    <x v="1"/>
    <m/>
    <m/>
    <m/>
    <m/>
    <m/>
    <m/>
    <m/>
  </r>
  <r>
    <s v="LAES57620"/>
    <x v="0"/>
    <x v="0"/>
    <d v="2012-12-13T00:00:00"/>
    <m/>
    <x v="1"/>
    <n v="322.63"/>
    <x v="1"/>
    <x v="1"/>
    <m/>
    <n v="0.1"/>
    <n v="0.09"/>
    <m/>
    <n v="1280.5"/>
    <n v="2584"/>
    <n v="3864.5"/>
    <m/>
    <m/>
    <m/>
    <m/>
    <x v="104"/>
    <x v="1"/>
    <m/>
    <m/>
    <m/>
    <m/>
    <m/>
    <m/>
    <m/>
  </r>
  <r>
    <s v="LAES57621"/>
    <x v="0"/>
    <x v="0"/>
    <d v="2012-12-13T00:00:00"/>
    <m/>
    <x v="1"/>
    <n v="238.91"/>
    <x v="1"/>
    <x v="1"/>
    <m/>
    <n v="0.1"/>
    <n v="0.09"/>
    <m/>
    <n v="986.5"/>
    <n v="2151"/>
    <n v="3137.5"/>
    <m/>
    <m/>
    <m/>
    <m/>
    <x v="104"/>
    <x v="1"/>
    <m/>
    <m/>
    <m/>
    <m/>
    <m/>
    <m/>
    <m/>
  </r>
  <r>
    <s v="LAES57622"/>
    <x v="0"/>
    <x v="0"/>
    <d v="2012-12-13T00:00:00"/>
    <m/>
    <x v="1"/>
    <n v="97.04"/>
    <x v="1"/>
    <x v="1"/>
    <m/>
    <n v="0.1"/>
    <n v="0.09"/>
    <m/>
    <n v="493"/>
    <n v="882"/>
    <n v="1375"/>
    <m/>
    <m/>
    <m/>
    <m/>
    <x v="104"/>
    <x v="1"/>
    <m/>
    <m/>
    <m/>
    <m/>
    <m/>
    <m/>
    <m/>
  </r>
  <r>
    <s v="LAES57623"/>
    <x v="0"/>
    <x v="0"/>
    <d v="2012-12-13T00:00:00"/>
    <m/>
    <x v="1"/>
    <n v="237.64"/>
    <x v="1"/>
    <x v="1"/>
    <m/>
    <n v="0.1"/>
    <n v="0.09"/>
    <m/>
    <n v="983"/>
    <n v="1904"/>
    <n v="2887"/>
    <m/>
    <m/>
    <m/>
    <m/>
    <x v="104"/>
    <x v="1"/>
    <m/>
    <m/>
    <m/>
    <m/>
    <m/>
    <m/>
    <m/>
  </r>
  <r>
    <s v="LAES57624"/>
    <x v="0"/>
    <x v="0"/>
    <d v="2012-12-13T00:00:00"/>
    <m/>
    <x v="1"/>
    <n v="152.85"/>
    <x v="1"/>
    <x v="1"/>
    <m/>
    <n v="0.1"/>
    <n v="0.09"/>
    <m/>
    <n v="685.5"/>
    <n v="1377"/>
    <n v="2062.5"/>
    <m/>
    <m/>
    <m/>
    <m/>
    <x v="104"/>
    <x v="1"/>
    <m/>
    <m/>
    <m/>
    <m/>
    <m/>
    <m/>
    <m/>
  </r>
  <r>
    <s v="LAES57625"/>
    <x v="0"/>
    <x v="0"/>
    <d v="2012-12-13T00:00:00"/>
    <m/>
    <x v="1"/>
    <n v="597.26"/>
    <x v="1"/>
    <x v="1"/>
    <m/>
    <n v="0.1"/>
    <n v="0.09"/>
    <m/>
    <n v="2243"/>
    <n v="5382"/>
    <n v="7625"/>
    <m/>
    <m/>
    <m/>
    <m/>
    <x v="104"/>
    <x v="1"/>
    <m/>
    <m/>
    <m/>
    <m/>
    <m/>
    <m/>
    <m/>
  </r>
  <r>
    <s v="LAES57626"/>
    <x v="0"/>
    <x v="0"/>
    <d v="2012-12-13T00:00:00"/>
    <m/>
    <x v="1"/>
    <n v="80.75"/>
    <x v="1"/>
    <x v="1"/>
    <m/>
    <n v="0.1"/>
    <n v="0.09"/>
    <m/>
    <n v="433.5"/>
    <n v="648"/>
    <n v="1081.5"/>
    <m/>
    <m/>
    <m/>
    <m/>
    <x v="104"/>
    <x v="1"/>
    <m/>
    <m/>
    <m/>
    <m/>
    <m/>
    <m/>
    <m/>
  </r>
  <r>
    <s v="LAES57627"/>
    <x v="0"/>
    <x v="0"/>
    <d v="2012-12-13T00:00:00"/>
    <m/>
    <x v="1"/>
    <n v="263.35000000000002"/>
    <x v="1"/>
    <x v="1"/>
    <m/>
    <n v="0.1"/>
    <n v="0.09"/>
    <m/>
    <n v="1074"/>
    <n v="2376"/>
    <n v="3450"/>
    <m/>
    <m/>
    <m/>
    <m/>
    <x v="104"/>
    <x v="1"/>
    <m/>
    <m/>
    <m/>
    <m/>
    <m/>
    <m/>
    <m/>
  </r>
  <r>
    <s v="LAES57628"/>
    <x v="0"/>
    <x v="0"/>
    <d v="2012-12-13T00:00:00"/>
    <m/>
    <x v="1"/>
    <n v="483"/>
    <x v="1"/>
    <x v="1"/>
    <m/>
    <n v="0.1"/>
    <n v="0.09"/>
    <m/>
    <n v="1840.5"/>
    <n v="4347"/>
    <n v="6187.5"/>
    <m/>
    <m/>
    <m/>
    <m/>
    <x v="104"/>
    <x v="1"/>
    <m/>
    <m/>
    <m/>
    <m/>
    <m/>
    <m/>
    <m/>
  </r>
  <r>
    <s v="LAES57629"/>
    <x v="0"/>
    <x v="0"/>
    <d v="2012-12-13T00:00:00"/>
    <m/>
    <x v="1"/>
    <n v="437.2"/>
    <x v="1"/>
    <x v="1"/>
    <m/>
    <n v="0.1"/>
    <n v="0.09"/>
    <m/>
    <n v="1683"/>
    <n v="3504"/>
    <n v="5187"/>
    <m/>
    <m/>
    <m/>
    <m/>
    <x v="104"/>
    <x v="1"/>
    <m/>
    <m/>
    <m/>
    <m/>
    <m/>
    <m/>
    <m/>
  </r>
  <r>
    <s v="LAES57630"/>
    <x v="0"/>
    <x v="0"/>
    <d v="2012-12-13T00:00:00"/>
    <m/>
    <x v="1"/>
    <n v="218.81"/>
    <x v="1"/>
    <x v="1"/>
    <m/>
    <n v="0.1"/>
    <n v="0.09"/>
    <m/>
    <n v="916.5"/>
    <n v="1971"/>
    <n v="2887.5"/>
    <m/>
    <m/>
    <m/>
    <m/>
    <x v="104"/>
    <x v="1"/>
    <m/>
    <m/>
    <m/>
    <m/>
    <m/>
    <m/>
    <m/>
  </r>
  <r>
    <s v="LAES57631"/>
    <x v="0"/>
    <x v="0"/>
    <d v="2012-12-13T00:00:00"/>
    <m/>
    <x v="1"/>
    <n v="252.52"/>
    <x v="1"/>
    <x v="1"/>
    <m/>
    <n v="0.1"/>
    <n v="0.09"/>
    <m/>
    <n v="1035.5"/>
    <n v="2277"/>
    <n v="3312.5"/>
    <m/>
    <m/>
    <m/>
    <m/>
    <x v="104"/>
    <x v="1"/>
    <m/>
    <m/>
    <m/>
    <m/>
    <m/>
    <m/>
    <m/>
  </r>
  <r>
    <s v="LAES57632"/>
    <x v="0"/>
    <x v="0"/>
    <d v="2012-12-13T00:00:00"/>
    <m/>
    <x v="1"/>
    <n v="638.38"/>
    <x v="1"/>
    <x v="1"/>
    <m/>
    <n v="0.1"/>
    <n v="0.09"/>
    <m/>
    <n v="2386.5"/>
    <n v="5112"/>
    <n v="7498.5"/>
    <m/>
    <m/>
    <m/>
    <m/>
    <x v="104"/>
    <x v="1"/>
    <m/>
    <m/>
    <m/>
    <m/>
    <m/>
    <m/>
    <m/>
  </r>
  <r>
    <s v="LAES57633"/>
    <x v="0"/>
    <x v="0"/>
    <d v="2012-12-13T00:00:00"/>
    <m/>
    <x v="1"/>
    <n v="75"/>
    <x v="1"/>
    <x v="1"/>
    <m/>
    <n v="0.1"/>
    <n v="0.09"/>
    <m/>
    <n v="412.5"/>
    <n v="675"/>
    <n v="1087.5"/>
    <m/>
    <m/>
    <m/>
    <m/>
    <x v="104"/>
    <x v="1"/>
    <m/>
    <m/>
    <m/>
    <m/>
    <m/>
    <m/>
    <m/>
  </r>
  <r>
    <s v="LAES57634"/>
    <x v="0"/>
    <x v="0"/>
    <d v="2012-12-13T00:00:00"/>
    <m/>
    <x v="1"/>
    <n v="95.39"/>
    <x v="1"/>
    <x v="1"/>
    <m/>
    <n v="0.1"/>
    <n v="0.09"/>
    <m/>
    <n v="486"/>
    <n v="864"/>
    <n v="1350"/>
    <m/>
    <m/>
    <m/>
    <m/>
    <x v="104"/>
    <x v="1"/>
    <m/>
    <m/>
    <m/>
    <m/>
    <m/>
    <m/>
    <m/>
  </r>
  <r>
    <s v="LAES57635"/>
    <x v="0"/>
    <x v="0"/>
    <d v="2012-12-13T00:00:00"/>
    <m/>
    <x v="1"/>
    <n v="77.69"/>
    <x v="1"/>
    <x v="1"/>
    <m/>
    <n v="0.1"/>
    <n v="0.09"/>
    <m/>
    <n v="423"/>
    <n v="624"/>
    <n v="1047"/>
    <m/>
    <m/>
    <m/>
    <m/>
    <x v="104"/>
    <x v="1"/>
    <m/>
    <m/>
    <m/>
    <m/>
    <m/>
    <m/>
    <m/>
  </r>
  <r>
    <s v="LAES57636"/>
    <x v="0"/>
    <x v="0"/>
    <d v="2012-12-13T00:00:00"/>
    <m/>
    <x v="1"/>
    <n v="598.84"/>
    <x v="1"/>
    <x v="1"/>
    <m/>
    <n v="0.1"/>
    <n v="0.09"/>
    <m/>
    <n v="2246.5"/>
    <n v="5391"/>
    <n v="7637.5"/>
    <m/>
    <m/>
    <m/>
    <m/>
    <x v="104"/>
    <x v="1"/>
    <m/>
    <m/>
    <m/>
    <m/>
    <m/>
    <m/>
    <m/>
  </r>
  <r>
    <s v="LAES57637"/>
    <x v="0"/>
    <x v="0"/>
    <d v="2012-12-13T00:00:00"/>
    <m/>
    <x v="1"/>
    <n v="318.94"/>
    <x v="1"/>
    <x v="1"/>
    <m/>
    <n v="0.1"/>
    <n v="0.09"/>
    <m/>
    <n v="1266.5"/>
    <n v="2552"/>
    <n v="3818.5"/>
    <m/>
    <m/>
    <m/>
    <m/>
    <x v="104"/>
    <x v="1"/>
    <m/>
    <m/>
    <m/>
    <m/>
    <m/>
    <m/>
    <m/>
  </r>
  <r>
    <s v="LAES57638"/>
    <x v="0"/>
    <x v="0"/>
    <d v="2012-12-13T00:00:00"/>
    <m/>
    <x v="1"/>
    <n v="199.07"/>
    <x v="1"/>
    <x v="1"/>
    <m/>
    <n v="0.1"/>
    <n v="0.09"/>
    <m/>
    <n v="850"/>
    <n v="1800"/>
    <n v="2650"/>
    <m/>
    <m/>
    <m/>
    <m/>
    <x v="104"/>
    <x v="1"/>
    <m/>
    <m/>
    <m/>
    <m/>
    <m/>
    <m/>
    <m/>
  </r>
  <r>
    <s v="LAES57639"/>
    <x v="0"/>
    <x v="0"/>
    <d v="2012-12-13T00:00:00"/>
    <m/>
    <x v="1"/>
    <n v="137.4"/>
    <x v="1"/>
    <x v="1"/>
    <m/>
    <n v="0.1"/>
    <n v="0.09"/>
    <m/>
    <n v="633"/>
    <n v="1242"/>
    <n v="1875"/>
    <m/>
    <m/>
    <m/>
    <m/>
    <x v="104"/>
    <x v="1"/>
    <m/>
    <m/>
    <m/>
    <m/>
    <m/>
    <m/>
    <m/>
  </r>
  <r>
    <s v="LAES57640"/>
    <x v="0"/>
    <x v="0"/>
    <d v="2012-12-13T00:00:00"/>
    <m/>
    <x v="1"/>
    <n v="517.99"/>
    <x v="1"/>
    <x v="1"/>
    <m/>
    <n v="0.1"/>
    <n v="0.09"/>
    <m/>
    <n v="1963"/>
    <n v="4144"/>
    <n v="6107"/>
    <m/>
    <m/>
    <m/>
    <m/>
    <x v="104"/>
    <x v="1"/>
    <m/>
    <m/>
    <m/>
    <m/>
    <m/>
    <m/>
    <m/>
  </r>
  <r>
    <s v="LAES57641"/>
    <x v="0"/>
    <x v="0"/>
    <d v="2012-12-13T00:00:00"/>
    <m/>
    <x v="1"/>
    <n v="478.34"/>
    <x v="1"/>
    <x v="1"/>
    <m/>
    <n v="0.1"/>
    <n v="0.09"/>
    <m/>
    <n v="1826.5"/>
    <n v="4311"/>
    <n v="6137.5"/>
    <m/>
    <m/>
    <m/>
    <m/>
    <x v="104"/>
    <x v="1"/>
    <m/>
    <m/>
    <m/>
    <m/>
    <m/>
    <m/>
    <m/>
  </r>
  <r>
    <s v="LAES57642"/>
    <x v="0"/>
    <x v="0"/>
    <d v="2012-12-13T00:00:00"/>
    <m/>
    <x v="1"/>
    <n v="479.21"/>
    <x v="1"/>
    <x v="1"/>
    <m/>
    <n v="0.1"/>
    <n v="0.09"/>
    <m/>
    <n v="1830"/>
    <n v="3840"/>
    <n v="5670"/>
    <m/>
    <m/>
    <m/>
    <m/>
    <x v="104"/>
    <x v="1"/>
    <m/>
    <m/>
    <m/>
    <m/>
    <m/>
    <m/>
    <m/>
  </r>
  <r>
    <s v="LAES57643"/>
    <x v="0"/>
    <x v="0"/>
    <d v="2012-12-13T00:00:00"/>
    <m/>
    <x v="1"/>
    <n v="439.1"/>
    <x v="1"/>
    <x v="1"/>
    <m/>
    <n v="0.1"/>
    <n v="0.09"/>
    <m/>
    <n v="1690"/>
    <n v="3960"/>
    <n v="5650"/>
    <m/>
    <m/>
    <m/>
    <m/>
    <x v="104"/>
    <x v="1"/>
    <m/>
    <m/>
    <m/>
    <m/>
    <m/>
    <m/>
    <m/>
  </r>
  <r>
    <s v="LAES57644"/>
    <x v="0"/>
    <x v="0"/>
    <d v="2012-12-13T00:00:00"/>
    <m/>
    <x v="1"/>
    <n v="638.70000000000005"/>
    <x v="1"/>
    <x v="1"/>
    <m/>
    <n v="0.1"/>
    <n v="0.09"/>
    <m/>
    <n v="2386.5"/>
    <n v="5112"/>
    <n v="7498.5"/>
    <m/>
    <m/>
    <m/>
    <m/>
    <x v="104"/>
    <x v="1"/>
    <m/>
    <m/>
    <m/>
    <m/>
    <m/>
    <m/>
    <m/>
  </r>
  <r>
    <s v="LAES57645"/>
    <x v="0"/>
    <x v="0"/>
    <d v="2012-12-13T00:00:00"/>
    <m/>
    <x v="1"/>
    <n v="472.88"/>
    <x v="1"/>
    <x v="1"/>
    <m/>
    <n v="0.1"/>
    <n v="0.09"/>
    <m/>
    <n v="1805.5"/>
    <n v="4257"/>
    <n v="6062.5"/>
    <m/>
    <m/>
    <m/>
    <m/>
    <x v="104"/>
    <x v="1"/>
    <m/>
    <m/>
    <m/>
    <m/>
    <m/>
    <m/>
    <m/>
  </r>
  <r>
    <s v="LAES57646"/>
    <x v="0"/>
    <x v="0"/>
    <d v="2012-12-13T00:00:00"/>
    <m/>
    <x v="1"/>
    <n v="336.1"/>
    <x v="1"/>
    <x v="1"/>
    <m/>
    <n v="0.1"/>
    <n v="0.09"/>
    <m/>
    <n v="1329.5"/>
    <n v="3033"/>
    <n v="4362.5"/>
    <m/>
    <m/>
    <m/>
    <m/>
    <x v="104"/>
    <x v="1"/>
    <m/>
    <m/>
    <m/>
    <m/>
    <m/>
    <m/>
    <m/>
  </r>
  <r>
    <s v="LAES57647"/>
    <x v="0"/>
    <x v="0"/>
    <d v="2012-12-13T00:00:00"/>
    <m/>
    <x v="1"/>
    <n v="269.02999999999997"/>
    <x v="1"/>
    <x v="1"/>
    <m/>
    <n v="0.1"/>
    <n v="0.09"/>
    <m/>
    <n v="1095"/>
    <n v="2160"/>
    <n v="3255"/>
    <m/>
    <m/>
    <m/>
    <m/>
    <x v="104"/>
    <x v="1"/>
    <m/>
    <m/>
    <m/>
    <m/>
    <m/>
    <m/>
    <m/>
  </r>
  <r>
    <s v="LAES57648"/>
    <x v="0"/>
    <x v="0"/>
    <d v="2012-12-13T00:00:00"/>
    <m/>
    <x v="1"/>
    <n v="638.4"/>
    <x v="1"/>
    <x v="1"/>
    <m/>
    <n v="0.1"/>
    <n v="0.09"/>
    <m/>
    <n v="2386.5"/>
    <n v="5751"/>
    <n v="8137.5"/>
    <m/>
    <m/>
    <m/>
    <m/>
    <x v="104"/>
    <x v="1"/>
    <m/>
    <m/>
    <m/>
    <m/>
    <m/>
    <m/>
    <m/>
  </r>
  <r>
    <s v="LAES57649"/>
    <x v="0"/>
    <x v="0"/>
    <d v="2012-12-13T00:00:00"/>
    <m/>
    <x v="1"/>
    <n v="637.20000000000005"/>
    <x v="1"/>
    <x v="1"/>
    <m/>
    <n v="0.1"/>
    <n v="0.09"/>
    <m/>
    <n v="2383"/>
    <n v="5104"/>
    <n v="7487"/>
    <m/>
    <m/>
    <m/>
    <m/>
    <x v="104"/>
    <x v="1"/>
    <m/>
    <m/>
    <m/>
    <m/>
    <m/>
    <m/>
    <m/>
  </r>
  <r>
    <s v="LAES57650"/>
    <x v="0"/>
    <x v="0"/>
    <d v="2012-12-13T00:00:00"/>
    <m/>
    <x v="1"/>
    <n v="239.45"/>
    <x v="1"/>
    <x v="1"/>
    <m/>
    <n v="0.1"/>
    <n v="0.09"/>
    <m/>
    <n v="990"/>
    <n v="2160"/>
    <n v="3150"/>
    <m/>
    <m/>
    <m/>
    <m/>
    <x v="104"/>
    <x v="1"/>
    <m/>
    <m/>
    <m/>
    <m/>
    <m/>
    <m/>
    <m/>
  </r>
  <r>
    <s v="LAES57651"/>
    <x v="0"/>
    <x v="0"/>
    <d v="2012-12-13T00:00:00"/>
    <m/>
    <x v="1"/>
    <n v="91.69"/>
    <x v="1"/>
    <x v="1"/>
    <m/>
    <n v="0.1"/>
    <n v="0.09"/>
    <m/>
    <n v="472"/>
    <n v="736"/>
    <n v="1208"/>
    <m/>
    <m/>
    <m/>
    <m/>
    <x v="104"/>
    <x v="1"/>
    <m/>
    <m/>
    <m/>
    <m/>
    <m/>
    <m/>
    <m/>
  </r>
  <r>
    <s v="LAES57652"/>
    <x v="0"/>
    <x v="0"/>
    <d v="2012-12-13T00:00:00"/>
    <m/>
    <x v="1"/>
    <n v="393.62"/>
    <x v="1"/>
    <x v="1"/>
    <m/>
    <n v="0.1"/>
    <n v="0.09"/>
    <m/>
    <n v="1529"/>
    <n v="3546"/>
    <n v="5075"/>
    <m/>
    <m/>
    <m/>
    <m/>
    <x v="104"/>
    <x v="1"/>
    <m/>
    <m/>
    <m/>
    <m/>
    <m/>
    <m/>
    <m/>
  </r>
  <r>
    <s v="LAES57653"/>
    <x v="0"/>
    <x v="0"/>
    <d v="2012-12-13T00:00:00"/>
    <m/>
    <x v="1"/>
    <n v="633.97"/>
    <x v="1"/>
    <x v="1"/>
    <m/>
    <n v="0.1"/>
    <n v="0.09"/>
    <m/>
    <n v="2369"/>
    <n v="5072"/>
    <n v="7441"/>
    <m/>
    <m/>
    <m/>
    <m/>
    <x v="104"/>
    <x v="1"/>
    <m/>
    <m/>
    <m/>
    <m/>
    <m/>
    <m/>
    <m/>
  </r>
  <r>
    <s v="LAES57654"/>
    <x v="0"/>
    <x v="0"/>
    <d v="2012-12-13T00:00:00"/>
    <m/>
    <x v="1"/>
    <n v="639.08000000000004"/>
    <x v="1"/>
    <x v="1"/>
    <m/>
    <n v="0.1"/>
    <n v="0.09"/>
    <m/>
    <n v="2390"/>
    <n v="5760"/>
    <n v="8150"/>
    <m/>
    <m/>
    <m/>
    <m/>
    <x v="104"/>
    <x v="1"/>
    <m/>
    <m/>
    <m/>
    <m/>
    <m/>
    <m/>
    <m/>
  </r>
  <r>
    <s v="LAES57655"/>
    <x v="0"/>
    <x v="0"/>
    <d v="2012-12-13T00:00:00"/>
    <m/>
    <x v="1"/>
    <n v="638.72"/>
    <x v="1"/>
    <x v="1"/>
    <m/>
    <n v="0.1"/>
    <n v="0.09"/>
    <m/>
    <n v="2386.5"/>
    <n v="5112"/>
    <n v="7498.5"/>
    <m/>
    <m/>
    <m/>
    <m/>
    <x v="104"/>
    <x v="1"/>
    <m/>
    <m/>
    <m/>
    <m/>
    <m/>
    <m/>
    <m/>
  </r>
  <r>
    <s v="LAES57656"/>
    <x v="0"/>
    <x v="0"/>
    <d v="2012-12-13T00:00:00"/>
    <m/>
    <x v="1"/>
    <n v="638.08000000000004"/>
    <x v="1"/>
    <x v="1"/>
    <m/>
    <n v="0.1"/>
    <n v="0.09"/>
    <m/>
    <n v="2386.5"/>
    <n v="5751"/>
    <n v="8137.5"/>
    <m/>
    <m/>
    <m/>
    <m/>
    <x v="104"/>
    <x v="1"/>
    <m/>
    <m/>
    <m/>
    <m/>
    <m/>
    <m/>
    <m/>
  </r>
  <r>
    <s v="LAES57657"/>
    <x v="0"/>
    <x v="0"/>
    <d v="2012-12-13T00:00:00"/>
    <m/>
    <x v="1"/>
    <n v="638.74"/>
    <x v="1"/>
    <x v="1"/>
    <m/>
    <n v="0.1"/>
    <n v="0.09"/>
    <m/>
    <n v="2386.5"/>
    <n v="5751"/>
    <n v="8137.5"/>
    <m/>
    <m/>
    <m/>
    <m/>
    <x v="104"/>
    <x v="1"/>
    <m/>
    <m/>
    <m/>
    <m/>
    <m/>
    <m/>
    <m/>
  </r>
  <r>
    <s v="LAES57658"/>
    <x v="0"/>
    <x v="0"/>
    <d v="2012-12-13T00:00:00"/>
    <m/>
    <x v="1"/>
    <n v="639.64"/>
    <x v="1"/>
    <x v="1"/>
    <m/>
    <n v="0.1"/>
    <n v="0.09"/>
    <m/>
    <n v="2390"/>
    <n v="5120"/>
    <n v="7510"/>
    <m/>
    <m/>
    <m/>
    <m/>
    <x v="104"/>
    <x v="1"/>
    <m/>
    <m/>
    <m/>
    <m/>
    <m/>
    <m/>
    <m/>
  </r>
  <r>
    <s v="LAES57659"/>
    <x v="0"/>
    <x v="0"/>
    <d v="2012-12-13T00:00:00"/>
    <m/>
    <x v="1"/>
    <n v="637.24"/>
    <x v="1"/>
    <x v="1"/>
    <m/>
    <n v="0.1"/>
    <n v="0.09"/>
    <m/>
    <n v="2383"/>
    <n v="5742"/>
    <n v="8125"/>
    <m/>
    <m/>
    <m/>
    <m/>
    <x v="104"/>
    <x v="1"/>
    <m/>
    <m/>
    <m/>
    <m/>
    <m/>
    <m/>
    <m/>
  </r>
  <r>
    <s v="LAES57660"/>
    <x v="0"/>
    <x v="0"/>
    <d v="2012-12-13T00:00:00"/>
    <m/>
    <x v="1"/>
    <n v="637.44000000000005"/>
    <x v="1"/>
    <x v="1"/>
    <m/>
    <n v="0.1"/>
    <n v="0.09"/>
    <m/>
    <n v="2383"/>
    <n v="5742"/>
    <n v="8125"/>
    <m/>
    <m/>
    <m/>
    <m/>
    <x v="104"/>
    <x v="1"/>
    <m/>
    <m/>
    <m/>
    <m/>
    <m/>
    <m/>
    <m/>
  </r>
  <r>
    <s v="LAES57661"/>
    <x v="0"/>
    <x v="0"/>
    <d v="2012-12-13T00:00:00"/>
    <m/>
    <x v="1"/>
    <n v="638"/>
    <x v="1"/>
    <x v="1"/>
    <m/>
    <n v="0.1"/>
    <n v="0.09"/>
    <m/>
    <n v="2383"/>
    <n v="5104"/>
    <n v="7487"/>
    <m/>
    <m/>
    <m/>
    <m/>
    <x v="104"/>
    <x v="1"/>
    <m/>
    <m/>
    <m/>
    <m/>
    <m/>
    <m/>
    <m/>
  </r>
  <r>
    <s v="LAES57662"/>
    <x v="0"/>
    <x v="0"/>
    <d v="2012-12-13T00:00:00"/>
    <m/>
    <x v="1"/>
    <n v="637.44000000000005"/>
    <x v="1"/>
    <x v="1"/>
    <m/>
    <n v="0.1"/>
    <n v="0.09"/>
    <m/>
    <n v="2383"/>
    <n v="5742"/>
    <n v="8125"/>
    <m/>
    <m/>
    <m/>
    <m/>
    <x v="104"/>
    <x v="1"/>
    <m/>
    <m/>
    <m/>
    <m/>
    <m/>
    <m/>
    <m/>
  </r>
  <r>
    <s v="LAES57663"/>
    <x v="0"/>
    <x v="0"/>
    <d v="2012-12-13T00:00:00"/>
    <m/>
    <x v="1"/>
    <n v="636.96"/>
    <x v="1"/>
    <x v="1"/>
    <m/>
    <n v="0.1"/>
    <n v="0.09"/>
    <m/>
    <n v="2379.5"/>
    <n v="5096"/>
    <n v="7475.5"/>
    <m/>
    <m/>
    <m/>
    <m/>
    <x v="104"/>
    <x v="1"/>
    <m/>
    <m/>
    <m/>
    <m/>
    <m/>
    <m/>
    <m/>
  </r>
  <r>
    <m/>
    <x v="1"/>
    <x v="1"/>
    <m/>
    <m/>
    <x v="1"/>
    <m/>
    <x v="1"/>
    <x v="1"/>
    <m/>
    <m/>
    <m/>
    <m/>
    <n v="83062"/>
    <n v="182363"/>
    <n v="265425"/>
    <m/>
    <m/>
    <m/>
    <m/>
    <x v="1"/>
    <x v="1"/>
    <m/>
    <m/>
    <m/>
    <m/>
    <m/>
    <m/>
    <m/>
  </r>
  <r>
    <m/>
    <x v="1"/>
    <x v="1"/>
    <m/>
    <m/>
    <x v="1"/>
    <m/>
    <x v="1"/>
    <x v="1"/>
    <m/>
    <m/>
    <m/>
    <m/>
    <m/>
    <m/>
    <m/>
    <m/>
    <m/>
    <m/>
    <m/>
    <x v="1"/>
    <x v="1"/>
    <m/>
    <m/>
    <m/>
    <m/>
    <m/>
    <m/>
    <m/>
  </r>
  <r>
    <s v="NMNM129272"/>
    <x v="2"/>
    <x v="0"/>
    <d v="2012-10-17T00:00:00"/>
    <d v="2013-01-01T00:00:00"/>
    <x v="66"/>
    <n v="240"/>
    <x v="63"/>
    <x v="7"/>
    <m/>
    <n v="0.1"/>
    <n v="0.09"/>
    <s v="NM-201210-017"/>
    <n v="990"/>
    <n v="95520"/>
    <n v="96510"/>
    <n v="360"/>
    <m/>
    <m/>
    <m/>
    <x v="1"/>
    <x v="17"/>
    <m/>
    <m/>
    <s v="NMPM T0200S R0380E"/>
    <s v="SEC.022 SWNE S2NW N2SW NWSE"/>
    <m/>
    <m/>
    <m/>
  </r>
  <r>
    <m/>
    <x v="1"/>
    <x v="1"/>
    <m/>
    <m/>
    <x v="1"/>
    <m/>
    <x v="1"/>
    <x v="1"/>
    <m/>
    <m/>
    <m/>
    <m/>
    <m/>
    <m/>
    <m/>
    <m/>
    <m/>
    <m/>
    <m/>
    <x v="1"/>
    <x v="1"/>
    <m/>
    <m/>
    <m/>
    <m/>
    <m/>
    <m/>
    <m/>
  </r>
  <r>
    <s v="NMNM129725"/>
    <x v="2"/>
    <x v="0"/>
    <d v="2013-01-16T00:00:00"/>
    <d v="2013-04-01T00:00:00"/>
    <x v="67"/>
    <n v="640"/>
    <x v="62"/>
    <x v="7"/>
    <m/>
    <n v="0.1"/>
    <n v="0.09"/>
    <s v="NM-201301-009"/>
    <n v="2390"/>
    <n v="81920"/>
    <n v="84310"/>
    <n v="960"/>
    <m/>
    <m/>
    <m/>
    <x v="1"/>
    <x v="17"/>
    <m/>
    <m/>
    <s v="NMPM T0080S R0270E "/>
    <s v="SEC.035 ALL;"/>
    <m/>
    <m/>
    <m/>
  </r>
  <r>
    <s v="NMNM129735"/>
    <x v="2"/>
    <x v="0"/>
    <d v="2013-01-16T00:00:00"/>
    <d v="2013-04-01T00:00:00"/>
    <x v="67"/>
    <n v="637.4"/>
    <x v="47"/>
    <x v="7"/>
    <m/>
    <n v="0.1"/>
    <n v="0.09"/>
    <s v="NM-201301-019"/>
    <n v="2383"/>
    <n v="43384"/>
    <n v="45767"/>
    <n v="957"/>
    <m/>
    <m/>
    <m/>
    <x v="1"/>
    <x v="17"/>
    <m/>
    <m/>
    <s v="NMPM T0200N R0090W"/>
    <s v="SEC.030 LOTS 1-4; 030 E2, E2W2"/>
    <m/>
    <m/>
    <m/>
  </r>
  <r>
    <s v="NMNM129736"/>
    <x v="2"/>
    <x v="0"/>
    <d v="2013-01-16T00:00:00"/>
    <d v="2013-04-01T00:00:00"/>
    <x v="67"/>
    <n v="160"/>
    <x v="42"/>
    <x v="7"/>
    <m/>
    <n v="0.1"/>
    <n v="0.09"/>
    <s v="NM-201301-020"/>
    <n v="710"/>
    <n v="49280"/>
    <n v="49990"/>
    <n v="240"/>
    <m/>
    <m/>
    <m/>
    <x v="1"/>
    <x v="17"/>
    <m/>
    <m/>
    <s v="NMPM T0270N R0130W"/>
    <s v="SEC.004 SW"/>
    <m/>
    <m/>
    <m/>
  </r>
  <r>
    <s v="TXNM129750"/>
    <x v="2"/>
    <x v="0"/>
    <d v="2013-01-16T00:00:00"/>
    <d v="2013-04-01T00:00:00"/>
    <x v="67"/>
    <n v="177.77"/>
    <x v="172"/>
    <x v="0"/>
    <m/>
    <n v="0.1"/>
    <n v="0.09"/>
    <s v="NM-201301-034"/>
    <n v="773"/>
    <n v="12104"/>
    <n v="12877"/>
    <n v="267"/>
    <m/>
    <m/>
    <m/>
    <x v="1"/>
    <x v="17"/>
    <m/>
    <m/>
    <s v="MONTGOMERY - 170 ACRS, WALKER - 7.77 ACRS"/>
    <s v="TRACT J-1-III PARCEL #9 SEE ATTACHED FOR METES &amp; BOUNDS DESCRIPTION WITH MAP "/>
    <m/>
    <m/>
    <s v="Doc#2018101190"/>
  </r>
  <r>
    <s v="TXNM129757"/>
    <x v="2"/>
    <x v="0"/>
    <d v="2013-01-16T00:00:00"/>
    <d v="2013-04-01T00:00:00"/>
    <x v="67"/>
    <n v="2178.17"/>
    <x v="19"/>
    <x v="0"/>
    <m/>
    <n v="0.1"/>
    <n v="0.09"/>
    <s v="NM-201301-041"/>
    <n v="7776.5"/>
    <n v="126382"/>
    <n v="134158.5"/>
    <n v="3268.5"/>
    <m/>
    <m/>
    <m/>
    <x v="1"/>
    <x v="17"/>
    <m/>
    <m/>
    <s v="TRACT J-2-I PARCEL #4"/>
    <s v="SEE ATTACHED FOR METES &amp; BOUNDS DESCRIPTION WITH MAP"/>
    <m/>
    <m/>
    <m/>
  </r>
  <r>
    <s v="TXNM129758"/>
    <x v="2"/>
    <x v="0"/>
    <d v="2013-01-16T00:00:00"/>
    <d v="2013-04-01T00:00:00"/>
    <x v="67"/>
    <n v="478.74"/>
    <x v="19"/>
    <x v="0"/>
    <m/>
    <n v="0.1"/>
    <n v="0.09"/>
    <s v="NM-201301-042"/>
    <n v="1826.5"/>
    <n v="190642"/>
    <n v="192468.5"/>
    <n v="718.5"/>
    <m/>
    <m/>
    <m/>
    <x v="1"/>
    <x v="17"/>
    <m/>
    <m/>
    <s v="TRACT J-2-I PARCEL #5"/>
    <s v="SEE ATTACHED FOR METES &amp; BOUNDS DESCRIPTION WITH MAP"/>
    <m/>
    <m/>
    <m/>
  </r>
  <r>
    <s v="TXNM129759"/>
    <x v="2"/>
    <x v="0"/>
    <d v="2013-01-16T00:00:00"/>
    <d v="2013-04-01T00:00:00"/>
    <x v="67"/>
    <n v="1450.84"/>
    <x v="19"/>
    <x v="0"/>
    <m/>
    <n v="0.1"/>
    <n v="0.09"/>
    <s v="NM-201301-043"/>
    <n v="5228.5"/>
    <n v="98668"/>
    <n v="103896.5"/>
    <n v="2176.5"/>
    <m/>
    <m/>
    <m/>
    <x v="1"/>
    <x v="17"/>
    <m/>
    <m/>
    <s v="U.S.MINERAL INTEREST 50% - 830.24 ACRS"/>
    <s v="TRACT J-2-I PARCEL #6 TRACT J-2-I PARCEL #6A (200.00 ACRS) TRACT J-2-I PARCEL #6B (630.24 ACRS) SEE ATTACHED FOR METES &amp; BOUNDS DESCRIPTION WITH MAP "/>
    <m/>
    <m/>
    <m/>
  </r>
  <r>
    <s v="TXNM129760"/>
    <x v="2"/>
    <x v="0"/>
    <d v="2013-01-16T00:00:00"/>
    <d v="2013-04-01T00:00:00"/>
    <x v="67"/>
    <n v="884.96"/>
    <x v="19"/>
    <x v="0"/>
    <m/>
    <n v="0.1"/>
    <n v="0.09"/>
    <s v="NM-201301-044"/>
    <n v="3247.5"/>
    <n v="46905"/>
    <n v="50152.5"/>
    <n v="1327.5"/>
    <m/>
    <m/>
    <m/>
    <x v="1"/>
    <x v="17"/>
    <m/>
    <m/>
    <s v="TRACT J-2-I PARCEL #7"/>
    <s v="SEE ATTACHED FOR METES &amp; BOUNDS DESCRIPTION WITH MAP"/>
    <m/>
    <m/>
    <m/>
  </r>
  <r>
    <s v="TXNM129770"/>
    <x v="2"/>
    <x v="0"/>
    <d v="2013-01-16T00:00:00"/>
    <d v="2013-04-01T00:00:00"/>
    <x v="67"/>
    <n v="310"/>
    <x v="21"/>
    <x v="0"/>
    <m/>
    <n v="0.1"/>
    <n v="0.09"/>
    <s v="NM-2013-01-054"/>
    <n v="1235"/>
    <n v="24180"/>
    <n v="25415"/>
    <n v="465"/>
    <m/>
    <m/>
    <m/>
    <x v="1"/>
    <x v="17"/>
    <m/>
    <m/>
    <s v="TRACT J-1n"/>
    <s v="SEE ATTACHED FOR METES &amp; BOUNDS DESCRIPTION WITH MAP"/>
    <m/>
    <m/>
    <m/>
  </r>
  <r>
    <s v="TXNM129772"/>
    <x v="2"/>
    <x v="0"/>
    <d v="2013-01-16T00:00:00"/>
    <d v="2013-04-01T00:00:00"/>
    <x v="67"/>
    <n v="120"/>
    <x v="21"/>
    <x v="0"/>
    <m/>
    <n v="0.1"/>
    <n v="0.09"/>
    <s v="NM-2013-01-056"/>
    <n v="570"/>
    <n v="6960"/>
    <n v="7530"/>
    <n v="180"/>
    <m/>
    <m/>
    <m/>
    <x v="1"/>
    <x v="17"/>
    <m/>
    <m/>
    <s v="TRACT J-632"/>
    <s v="SEE ATTACHED FOR METES &amp; BOUNDS DESCRIPTION WITH MAP"/>
    <m/>
    <m/>
    <m/>
  </r>
  <r>
    <s v="TXNM129782"/>
    <x v="2"/>
    <x v="0"/>
    <d v="2013-01-16T00:00:00"/>
    <d v="2013-04-01T00:00:00"/>
    <x v="67"/>
    <n v="150"/>
    <x v="19"/>
    <x v="0"/>
    <m/>
    <n v="0.1"/>
    <n v="0.09"/>
    <s v="NM-201301-066"/>
    <n v="675"/>
    <n v="10200"/>
    <n v="10875"/>
    <n v="225"/>
    <m/>
    <m/>
    <m/>
    <x v="1"/>
    <x v="17"/>
    <m/>
    <m/>
    <s v="TRACT J-9"/>
    <s v="SEE ATTACHED FOR METES &amp; BOUNDS DESCRIPTION WITH MAP"/>
    <m/>
    <m/>
    <m/>
  </r>
  <r>
    <s v="TXNM129783"/>
    <x v="2"/>
    <x v="0"/>
    <d v="2013-01-16T00:00:00"/>
    <d v="2013-04-01T00:00:00"/>
    <x v="67"/>
    <n v="1015"/>
    <x v="173"/>
    <x v="0"/>
    <m/>
    <n v="0.1"/>
    <n v="0.09"/>
    <s v="NM-201301-067"/>
    <n v="3702.5"/>
    <n v="34510"/>
    <n v="38212.5"/>
    <n v="1522.5"/>
    <m/>
    <m/>
    <m/>
    <x v="1"/>
    <x v="17"/>
    <m/>
    <m/>
    <s v="SAN JACINTO - 1002 ACRS, WALKER - 13 ACRS"/>
    <s v="TRACT J-1C SEE ATTACHED FOR METES &amp; BOUNDS DESCRIPTION WITH MAP"/>
    <m/>
    <m/>
    <m/>
  </r>
  <r>
    <s v="TXNM129784"/>
    <x v="2"/>
    <x v="0"/>
    <d v="2013-01-16T00:00:00"/>
    <d v="2013-04-01T00:00:00"/>
    <x v="67"/>
    <n v="116"/>
    <x v="19"/>
    <x v="0"/>
    <m/>
    <n v="0.1"/>
    <n v="0.09"/>
    <s v="NM-201301-068"/>
    <n v="556"/>
    <n v="4408"/>
    <n v="4964"/>
    <n v="174"/>
    <m/>
    <m/>
    <m/>
    <x v="1"/>
    <x v="17"/>
    <m/>
    <m/>
    <s v="TRACT J-58"/>
    <s v="SEE ATTACHED FOR METES &amp; BOUNDS DESCRIPTION WITH MAP"/>
    <m/>
    <m/>
    <m/>
  </r>
  <r>
    <m/>
    <x v="1"/>
    <x v="1"/>
    <m/>
    <m/>
    <x v="1"/>
    <m/>
    <x v="1"/>
    <x v="1"/>
    <m/>
    <m/>
    <m/>
    <m/>
    <n v="31073.5"/>
    <n v="729543"/>
    <n v="760616.5"/>
    <m/>
    <m/>
    <m/>
    <m/>
    <x v="1"/>
    <x v="1"/>
    <m/>
    <m/>
    <m/>
    <m/>
    <m/>
    <m/>
    <m/>
  </r>
  <r>
    <m/>
    <x v="1"/>
    <x v="1"/>
    <m/>
    <m/>
    <x v="1"/>
    <m/>
    <x v="1"/>
    <x v="1"/>
    <m/>
    <m/>
    <m/>
    <m/>
    <m/>
    <m/>
    <m/>
    <m/>
    <m/>
    <m/>
    <m/>
    <x v="1"/>
    <x v="1"/>
    <m/>
    <m/>
    <m/>
    <m/>
    <m/>
    <m/>
    <m/>
  </r>
  <r>
    <s v="LAES57696"/>
    <x v="2"/>
    <x v="0"/>
    <d v="2013-03-21T00:00:00"/>
    <d v="2013-06-01T00:00:00"/>
    <x v="68"/>
    <n v="1321.39"/>
    <x v="174"/>
    <x v="3"/>
    <m/>
    <n v="0.1"/>
    <n v="0.09"/>
    <s v="ES-005-03/13"/>
    <n v="4777"/>
    <n v="0"/>
    <n v="4777"/>
    <n v="1983"/>
    <m/>
    <m/>
    <m/>
    <x v="1"/>
    <x v="17"/>
    <m/>
    <m/>
    <s v="T12N R7W MERIDIAN LOUISIANA"/>
    <s v="SEC 19 LOT 8 SEC.20 SWNW SEC 30 LOTS 5-14 SEC 31 LOTS 1-16 SEC 32 LOTS 5-12"/>
    <m/>
    <m/>
    <m/>
  </r>
  <r>
    <s v="MIES57728"/>
    <x v="2"/>
    <x v="0"/>
    <d v="2013-03-21T00:00:00"/>
    <d v="2013-06-01T00:00:00"/>
    <x v="68"/>
    <n v="560"/>
    <x v="175"/>
    <x v="9"/>
    <m/>
    <n v="0.1"/>
    <n v="0.09"/>
    <s v="ES-037-03/13"/>
    <n v="2110"/>
    <n v="10080"/>
    <n v="12190"/>
    <n v="840"/>
    <m/>
    <m/>
    <m/>
    <x v="1"/>
    <x v="17"/>
    <m/>
    <m/>
    <s v="T23N R2W MERIDIAN MICHIGAN"/>
    <s v="SEC 15 SE SEC 22 N2 N2SW"/>
    <m/>
    <m/>
    <m/>
  </r>
  <r>
    <s v="LAES57700"/>
    <x v="2"/>
    <x v="0"/>
    <d v="2013-03-21T00:00:00"/>
    <d v="2016-10-01T00:00:00"/>
    <x v="64"/>
    <n v="1517.02"/>
    <x v="176"/>
    <x v="3"/>
    <m/>
    <n v="0.1"/>
    <n v="0.09"/>
    <s v="ES-009-03/13"/>
    <n v="5463"/>
    <n v="95634"/>
    <n v="101097"/>
    <n v="2277"/>
    <m/>
    <m/>
    <m/>
    <x v="1"/>
    <x v="19"/>
    <m/>
    <m/>
    <s v="T1S R6W MERIDIAN LOUISIANA"/>
    <s v="SEC 4 W2W2 SEC 5 ALL SEC 6 ALL "/>
    <m/>
    <m/>
    <m/>
  </r>
  <r>
    <s v="LAES57701"/>
    <x v="2"/>
    <x v="0"/>
    <d v="2013-03-21T00:00:00"/>
    <d v="2016-10-01T00:00:00"/>
    <x v="64"/>
    <n v="699.51"/>
    <x v="176"/>
    <x v="3"/>
    <m/>
    <n v="0.1"/>
    <n v="0.09"/>
    <s v="ES-010-03/13"/>
    <n v="2600"/>
    <n v="44100"/>
    <n v="46700"/>
    <n v="1050"/>
    <m/>
    <m/>
    <m/>
    <x v="1"/>
    <x v="19"/>
    <m/>
    <m/>
    <s v="T1S R6W MERIDIAN LOUISIANA"/>
    <s v="SEC 8 ALL LESS 6.15 ACRES S7E OF HWY 399 IN SESE; SEC 9 NWNW"/>
    <m/>
    <m/>
    <m/>
  </r>
  <r>
    <s v="LAES57711"/>
    <x v="2"/>
    <x v="0"/>
    <d v="2013-03-21T00:00:00"/>
    <d v="2016-10-01T00:00:00"/>
    <x v="64"/>
    <n v="1064.51"/>
    <x v="32"/>
    <x v="3"/>
    <m/>
    <n v="0.1"/>
    <n v="0.09"/>
    <s v="ES-020-03/13"/>
    <n v="3877.5"/>
    <n v="0"/>
    <n v="3877.5"/>
    <n v="1597.5"/>
    <m/>
    <m/>
    <m/>
    <x v="1"/>
    <x v="19"/>
    <m/>
    <m/>
    <s v="T3N R2W MERIDIAN LOUISIANA"/>
    <s v="SEC 4 PART OF TRACT E-3 IN W2NW (LOTS 2&amp;3); SEC 5 FR NE FR SENW FR SW FR SE"/>
    <s v="SEC 6 FR NE NW FR S2"/>
    <m/>
    <m/>
  </r>
  <r>
    <s v="LAES57712"/>
    <x v="2"/>
    <x v="0"/>
    <d v="2013-03-21T00:00:00"/>
    <d v="2016-10-01T00:00:00"/>
    <x v="64"/>
    <n v="1344.91"/>
    <x v="32"/>
    <x v="3"/>
    <m/>
    <n v="0.1"/>
    <n v="0.09"/>
    <s v="ES-021-03/13"/>
    <n v="4857.5"/>
    <n v="0"/>
    <n v="4857.5"/>
    <n v="2017.5"/>
    <m/>
    <m/>
    <m/>
    <x v="1"/>
    <x v="19"/>
    <m/>
    <m/>
    <s v="T3N R2W MERIDIAN LOUISIANA"/>
    <s v="SEC 7 NE N2NW SENW S2 SEC 8 FR NE (LOTS 1&amp;2) NW S2 SEC 9 FR SWNW FR N2SW FR S2SW FR SWSE"/>
    <m/>
    <m/>
    <m/>
  </r>
  <r>
    <s v="LAES57713"/>
    <x v="2"/>
    <x v="0"/>
    <d v="2013-03-21T00:00:00"/>
    <d v="2016-10-01T00:00:00"/>
    <x v="64"/>
    <n v="41"/>
    <x v="32"/>
    <x v="3"/>
    <m/>
    <n v="0.1"/>
    <n v="0.09"/>
    <s v="ES-022-03/13"/>
    <n v="293.5"/>
    <n v="0"/>
    <n v="293.5"/>
    <n v="61.5"/>
    <m/>
    <m/>
    <m/>
    <x v="1"/>
    <x v="19"/>
    <m/>
    <m/>
    <s v="T3N R2W MERIDIAN LOUISIANA"/>
    <s v="SEC 15 SENW"/>
    <m/>
    <m/>
    <m/>
  </r>
  <r>
    <s v="LAES57714"/>
    <x v="2"/>
    <x v="0"/>
    <d v="2013-03-21T00:00:00"/>
    <d v="2016-10-01T00:00:00"/>
    <x v="64"/>
    <n v="1278.4100000000001"/>
    <x v="32"/>
    <x v="3"/>
    <m/>
    <n v="0.1"/>
    <n v="0.09"/>
    <s v="ES-023-03/13"/>
    <n v="4626.5"/>
    <n v="0"/>
    <n v="4626.5"/>
    <n v="1918.5"/>
    <m/>
    <m/>
    <m/>
    <x v="1"/>
    <x v="19"/>
    <m/>
    <m/>
    <s v="T3N R2W MERIDIAN LOUISIANA"/>
    <s v="SEC 15 FR W2W2 (LOT 4 &amp; SWSW) SEC 16 TRACT E-6 IN NE &amp; S2 NW TRACT E-1in "/>
    <s v="S2SE; SEC 17 ALL"/>
    <m/>
    <m/>
  </r>
  <r>
    <s v="LAES57715"/>
    <x v="2"/>
    <x v="0"/>
    <d v="2013-03-21T00:00:00"/>
    <d v="2016-10-01T00:00:00"/>
    <x v="64"/>
    <n v="1880.89"/>
    <x v="32"/>
    <x v="3"/>
    <m/>
    <n v="0.1"/>
    <n v="0.09"/>
    <s v="ES-024-03/13"/>
    <n v="6733.5"/>
    <n v="0"/>
    <n v="6733.5"/>
    <n v="2821.5"/>
    <m/>
    <m/>
    <m/>
    <x v="1"/>
    <x v="19"/>
    <m/>
    <m/>
    <s v="T3N R2W MERIDIAN LOUISIANA"/>
    <s v="SEC 18 ALL SEC 19 ALL SEC 20 ALL"/>
    <m/>
    <m/>
    <m/>
  </r>
  <r>
    <s v="LAES57716"/>
    <x v="2"/>
    <x v="0"/>
    <d v="2013-03-21T00:00:00"/>
    <d v="2016-10-01T00:00:00"/>
    <x v="64"/>
    <n v="1265.42"/>
    <x v="32"/>
    <x v="3"/>
    <m/>
    <n v="0.1"/>
    <n v="0.09"/>
    <s v="ES-025-03/13"/>
    <n v="4581"/>
    <n v="0"/>
    <n v="4581"/>
    <n v="1899"/>
    <m/>
    <m/>
    <m/>
    <x v="1"/>
    <x v="19"/>
    <m/>
    <m/>
    <s v="T3N R2W MERIDIAN LOUISIANA"/>
    <s v="SEC 21 W2NE W2 SE SEC 22 W2NE W2 FR SE SEC 23 S2SENE N2SE SESE AND PT OR"/>
    <s v="NW LYING N OF VALENTINE CREEK, TRACT E-3 CONTAINING 10.5 AC LYING IN THE S2NW &amp; N2SW E2SWSW SESW SWSE"/>
    <m/>
    <m/>
  </r>
  <r>
    <s v="LAES57717"/>
    <x v="2"/>
    <x v="0"/>
    <d v="2013-03-21T00:00:00"/>
    <d v="2016-10-01T00:00:00"/>
    <x v="64"/>
    <n v="1243.25"/>
    <x v="32"/>
    <x v="3"/>
    <m/>
    <n v="0.1"/>
    <n v="0.09"/>
    <s v="ES-026-03/13"/>
    <n v="4504"/>
    <n v="0"/>
    <n v="4504"/>
    <n v="1866"/>
    <m/>
    <m/>
    <m/>
    <x v="1"/>
    <x v="19"/>
    <m/>
    <m/>
    <s v="T3N R2W MERIDIAN LOUISIANA"/>
    <s v="SEC 25 NE N2NW FR SWNW N OF BAYOU BEOEUF SENW NESW N2SE FR SESE"/>
    <s v="SEC 26 E2 FR W2 SEC 27 TRACT 44 IN FR NW TRACT E-2 IN FR SW &amp; SE"/>
    <m/>
    <m/>
  </r>
  <r>
    <s v="LAES57718"/>
    <x v="2"/>
    <x v="0"/>
    <d v="2013-03-21T00:00:00"/>
    <d v="2016-10-01T00:00:00"/>
    <x v="64"/>
    <n v="1441.45"/>
    <x v="32"/>
    <x v="3"/>
    <m/>
    <n v="0.1"/>
    <n v="0.09"/>
    <s v="ES-027-03/13"/>
    <n v="5197"/>
    <n v="0"/>
    <n v="5197"/>
    <n v="2163"/>
    <m/>
    <m/>
    <m/>
    <x v="1"/>
    <x v="19"/>
    <m/>
    <m/>
    <s v="T3N R2W MERIDIAN LOUISIANA"/>
    <s v="SEC 28 N2 W2SENE W2W2E2SENE SWNW S2 SEC 29 NW N2SW SESW SEC 30 ALL"/>
    <m/>
    <m/>
    <m/>
  </r>
  <r>
    <s v="LAES57719"/>
    <x v="2"/>
    <x v="0"/>
    <d v="2013-03-21T00:00:00"/>
    <d v="2016-10-01T00:00:00"/>
    <x v="64"/>
    <n v="1885.87"/>
    <x v="32"/>
    <x v="3"/>
    <m/>
    <n v="0.1"/>
    <n v="0.09"/>
    <s v="ES-028-03/13"/>
    <n v="6751"/>
    <n v="0"/>
    <n v="6751"/>
    <n v="2829"/>
    <m/>
    <m/>
    <m/>
    <x v="1"/>
    <x v="19"/>
    <m/>
    <m/>
    <s v="T3N R2W MERIDIAN LOUISIANA"/>
    <s v="SEC 31 ALL SEC 32 ALL SEC 33 ALL "/>
    <m/>
    <m/>
    <m/>
  </r>
  <r>
    <s v="LAES57720"/>
    <x v="2"/>
    <x v="0"/>
    <d v="2013-03-21T00:00:00"/>
    <d v="2016-10-01T00:00:00"/>
    <x v="64"/>
    <n v="1555.6"/>
    <x v="32"/>
    <x v="3"/>
    <m/>
    <n v="0.1"/>
    <n v="0.09"/>
    <s v="ES-029-03/13"/>
    <n v="5596"/>
    <n v="0"/>
    <n v="5596"/>
    <n v="2334"/>
    <m/>
    <m/>
    <m/>
    <x v="1"/>
    <x v="19"/>
    <m/>
    <m/>
    <s v="T3N R2W MERIDIAN LOUISIANA"/>
    <s v="SEC 34 TRACT E2 IN FR N2 S2 SEC 35 ALL SEC 36 W2"/>
    <m/>
    <m/>
    <m/>
  </r>
  <r>
    <s v="LAES57721"/>
    <x v="2"/>
    <x v="0"/>
    <d v="2013-03-21T00:00:00"/>
    <d v="2016-10-01T00:00:00"/>
    <x v="64"/>
    <n v="1336.8"/>
    <x v="32"/>
    <x v="3"/>
    <m/>
    <n v="0.1"/>
    <n v="0.09"/>
    <s v="ES-030-03/13"/>
    <n v="4829.5"/>
    <n v="0"/>
    <n v="4829.5"/>
    <n v="2005.6"/>
    <m/>
    <m/>
    <m/>
    <x v="1"/>
    <x v="19"/>
    <m/>
    <m/>
    <s v="T3N R2W MERIDIAN LOUISIANA"/>
    <s v="SEC 40 ALL SEC 43 TRACT E-79 WEST 536.36 ACRES; SEC 44 ALL"/>
    <m/>
    <m/>
    <m/>
  </r>
  <r>
    <s v="MSES57733"/>
    <x v="0"/>
    <x v="0"/>
    <d v="2013-03-21T00:00:00"/>
    <d v="2016-12-01T00:00:00"/>
    <x v="69"/>
    <n v="727.52"/>
    <x v="27"/>
    <x v="4"/>
    <m/>
    <n v="0.1"/>
    <n v="0.09"/>
    <s v="ES-042-03/13"/>
    <n v="2698"/>
    <n v="0"/>
    <n v="2698"/>
    <n v="1092"/>
    <m/>
    <m/>
    <m/>
    <x v="1"/>
    <x v="19"/>
    <m/>
    <m/>
    <s v="T6N R8E MERIDIAN CHOCTAW"/>
    <s v="SEC 3 W2NW SEC 6 NENW W2W2 SESW SEC 7 W2 SEC 18 N2NW LESS ILLINOIS "/>
    <s v="RAILROAD ROW DESCRIBED AS A STRIP OF LAND USED AS ROW FOR Y &amp; M V.R. BEING 100' WIDE OR 50' ON EACH SIDE OF THE FOLLOWING DESCRIBED CENTER LINE: BEGIN. AT A POINT 2.05 CHAINS NORTH OF THE SW CORNER OF N2NW THENCE S 83 E ALONG CENTER LINE OF MAIN TRACK, 16.83 CHAINS TO SOUTH BOUNDARY OF N2NW"/>
    <m/>
    <m/>
  </r>
  <r>
    <s v="MSES57734"/>
    <x v="2"/>
    <x v="0"/>
    <d v="2013-03-21T00:00:00"/>
    <d v="2014-06-01T00:00:00"/>
    <x v="70"/>
    <n v="1260.25"/>
    <x v="27"/>
    <x v="4"/>
    <m/>
    <n v="0.1"/>
    <n v="0.09"/>
    <s v="ES-043-03/13"/>
    <n v="4563.5"/>
    <n v="0"/>
    <n v="4563.5"/>
    <n v="1891.5"/>
    <m/>
    <m/>
    <m/>
    <x v="1"/>
    <x v="20"/>
    <m/>
    <m/>
    <s v="MERIDIAN CHOCTAW T6N R8E"/>
    <s v="SEC 13 ALL OF S2SW &amp; SWSE LYING SOUTH OF ILLINOIS CENTRAL RAILROAD ROW SEC 14 PART OF E2SESE LYING SOUTH OF ILLINOIS CENTRAL RAILROAD ROW SEC 23 E2 S2NW SW SEC 24 ALL "/>
    <m/>
    <m/>
    <m/>
  </r>
  <r>
    <s v="MSES57735"/>
    <x v="2"/>
    <x v="0"/>
    <d v="2013-03-21T00:00:00"/>
    <d v="2014-06-01T00:00:00"/>
    <x v="70"/>
    <n v="1064.8399999999999"/>
    <x v="27"/>
    <x v="4"/>
    <m/>
    <n v="0.1"/>
    <n v="0.09"/>
    <s v="ES-044-03/13"/>
    <n v="3877.5"/>
    <n v="0"/>
    <n v="3877.5"/>
    <n v="1597.5"/>
    <m/>
    <m/>
    <m/>
    <x v="1"/>
    <x v="20"/>
    <m/>
    <m/>
    <s v="MERIDIAN CHOCTAW T6N R8E"/>
    <s v="SEC 21 W2SW SEC 22 E2 W2NW SENW SW. FOR SEC 27  &amp; SEC 28 - SEE LEASE FOR DETAILED DESCRIPTION (TOO LONG)"/>
    <m/>
    <m/>
    <m/>
  </r>
  <r>
    <s v="MSES57736"/>
    <x v="2"/>
    <x v="0"/>
    <d v="2013-03-21T00:00:00"/>
    <d v="2014-06-01T00:00:00"/>
    <x v="70"/>
    <n v="1230.8499999999999"/>
    <x v="27"/>
    <x v="4"/>
    <m/>
    <n v="0.1"/>
    <n v="0.09"/>
    <s v="ES-045-03/13"/>
    <n v="4458.5"/>
    <n v="0"/>
    <n v="4458.5"/>
    <n v="1846.5"/>
    <m/>
    <m/>
    <m/>
    <x v="1"/>
    <x v="20"/>
    <m/>
    <m/>
    <s v="MERIDIAN CHOCTAW T6N R8E"/>
    <s v="SEC 25 ALL SEC 26 N2 SW SEC 35 SWNW NWSW NWSE SWSE LESS THAT PART DESCRIBED AS COMMENCING AT A POINT 135 W OF SE CORNER OF SWSE &amp; RUNNING N 200 YARDS, THENCE W 220 YARDS, THENCE S 200 YARDS, THENCE E 220 YARDS TO POINT OF BEGINNING"/>
    <m/>
    <m/>
    <m/>
  </r>
  <r>
    <s v="MSES57738"/>
    <x v="2"/>
    <x v="0"/>
    <d v="2013-03-21T00:00:00"/>
    <d v="2014-06-01T00:00:00"/>
    <x v="70"/>
    <n v="1627.29"/>
    <x v="27"/>
    <x v="4"/>
    <m/>
    <n v="0.1"/>
    <n v="0.09"/>
    <s v="ES-047-03/13"/>
    <n v="5848"/>
    <n v="0"/>
    <n v="5848"/>
    <n v="2442"/>
    <m/>
    <m/>
    <m/>
    <x v="1"/>
    <x v="20"/>
    <m/>
    <m/>
    <s v="MERIDIAN CHOCTAW T6N R8E"/>
    <s v="SEC 29 ALL SEC 31 NW SEC 32 NENW E2NWNW E2SW 12 ACRES OF UNIFORM WIDTH OFF EAST SIDE OF W2SW SWSE SEC 33 - SEE LEASE FOR DESCRIPTION SEC 34 E2 NENW S2NW SW"/>
    <m/>
    <m/>
    <m/>
  </r>
  <r>
    <s v="MSES57739"/>
    <x v="2"/>
    <x v="0"/>
    <d v="2013-03-21T00:00:00"/>
    <d v="2014-06-01T00:00:00"/>
    <x v="70"/>
    <n v="641.55999999999995"/>
    <x v="27"/>
    <x v="4"/>
    <m/>
    <n v="0.1"/>
    <n v="0.09"/>
    <s v="ES-048-03/13"/>
    <n v="2397"/>
    <n v="0"/>
    <n v="2397"/>
    <n v="963"/>
    <m/>
    <m/>
    <m/>
    <x v="1"/>
    <x v="20"/>
    <m/>
    <m/>
    <s v="MERIDIAN CHOCTAW T6N R8E"/>
    <s v="SEC 30 ALL"/>
    <m/>
    <m/>
    <m/>
  </r>
  <r>
    <s v="MSES57740"/>
    <x v="2"/>
    <x v="0"/>
    <d v="2013-03-21T00:00:00"/>
    <d v="2014-06-01T00:00:00"/>
    <x v="70"/>
    <n v="610.91"/>
    <x v="27"/>
    <x v="4"/>
    <m/>
    <n v="0.1"/>
    <n v="0.09"/>
    <s v="ES-049-03/13"/>
    <n v="2288.5"/>
    <n v="0"/>
    <n v="2288.5"/>
    <n v="916.5"/>
    <m/>
    <m/>
    <m/>
    <x v="1"/>
    <x v="20"/>
    <m/>
    <m/>
    <s v="MERIDIAN CHOCTAW T6N R9E"/>
    <s v="SEC 7 W2NESE S2SE SEC 8 15 ACRES IN A UNIFORM STRIP ACROSS ENTIRE SOUTH SIDE OF SESW SEC 17 SEE LEASE FOR DETAILED DESCRIPTION (TOO LONG)"/>
    <m/>
    <m/>
    <m/>
  </r>
  <r>
    <s v="MSES57741"/>
    <x v="2"/>
    <x v="0"/>
    <d v="2013-03-21T00:00:00"/>
    <d v="2014-06-01T00:00:00"/>
    <x v="70"/>
    <n v="1465.81"/>
    <x v="27"/>
    <x v="4"/>
    <m/>
    <n v="0.1"/>
    <n v="0.09"/>
    <s v="ES-050-03/13"/>
    <n v="5281"/>
    <n v="0"/>
    <n v="5281"/>
    <n v="2199"/>
    <m/>
    <m/>
    <m/>
    <x v="1"/>
    <x v="20"/>
    <m/>
    <m/>
    <s v="MERIDIAN CHOCTAW T6N R9E"/>
    <s v="SEC 19 ALL SEC 20 &amp; SEC 21 - SEE LEASE FOR DETAILED DESCRIPTION (TOO LONG)"/>
    <m/>
    <m/>
    <m/>
  </r>
  <r>
    <s v="MSES57742"/>
    <x v="2"/>
    <x v="0"/>
    <d v="2013-03-21T00:00:00"/>
    <d v="2014-06-01T00:00:00"/>
    <x v="70"/>
    <n v="1680.49"/>
    <x v="27"/>
    <x v="4"/>
    <m/>
    <n v="0.1"/>
    <n v="0.09"/>
    <s v="ES-051-03/13"/>
    <n v="6033.5"/>
    <n v="0"/>
    <n v="6033.5"/>
    <n v="2521.5"/>
    <m/>
    <m/>
    <m/>
    <x v="1"/>
    <x v="20"/>
    <m/>
    <m/>
    <s v="MERIDIAN CHOCTAW T6N R9E"/>
    <s v="SEC 28 W2NW SENW SW W2SE SESE SEC 29 ALL SEC 30 ALL "/>
    <m/>
    <m/>
    <m/>
  </r>
  <r>
    <s v="MSES57744"/>
    <x v="2"/>
    <x v="0"/>
    <d v="2013-03-21T00:00:00"/>
    <d v="2014-06-01T00:00:00"/>
    <x v="70"/>
    <n v="718.26"/>
    <x v="27"/>
    <x v="4"/>
    <m/>
    <n v="0.1"/>
    <n v="0.09"/>
    <s v="ES-053-03/13"/>
    <n v="2666.5"/>
    <n v="0"/>
    <n v="2666.5"/>
    <n v="1078.5"/>
    <m/>
    <m/>
    <m/>
    <x v="1"/>
    <x v="20"/>
    <m/>
    <m/>
    <s v="MERIDIAN CHOCTAW T6N R9E"/>
    <s v="SEC 31 N2NE W2WNW 30 ACRES OFF NORTH END OF SENE N2SENW SEC 32 N2NE SENE W2NW SEC 33 SEE LEASE FOR DETAILED DESCRIPTION (TOO LONG)"/>
    <m/>
    <m/>
    <m/>
  </r>
  <r>
    <s v="MSES57745"/>
    <x v="2"/>
    <x v="0"/>
    <d v="2013-03-21T00:00:00"/>
    <d v="2014-06-01T00:00:00"/>
    <x v="70"/>
    <n v="52.1"/>
    <x v="38"/>
    <x v="4"/>
    <m/>
    <n v="0.1"/>
    <n v="0.09"/>
    <s v="ES-054-03/13"/>
    <n v="335.5"/>
    <n v="1060"/>
    <n v="1395.5"/>
    <n v="79.5"/>
    <m/>
    <m/>
    <m/>
    <x v="1"/>
    <x v="20"/>
    <m/>
    <m/>
    <s v="MERIDIAN WASHINGTON T4N R1E"/>
    <s v="SEC 1 TRACT H-1150 LOT 12"/>
    <m/>
    <m/>
    <m/>
  </r>
  <r>
    <s v="MSES57746"/>
    <x v="2"/>
    <x v="0"/>
    <d v="2013-03-21T00:00:00"/>
    <d v="2014-06-01T00:00:00"/>
    <x v="70"/>
    <n v="535.98"/>
    <x v="38"/>
    <x v="4"/>
    <m/>
    <n v="0.1"/>
    <n v="0.09"/>
    <s v="ES-055-03/13"/>
    <n v="2026"/>
    <n v="0"/>
    <n v="2026"/>
    <n v="804"/>
    <m/>
    <m/>
    <m/>
    <x v="1"/>
    <x v="20"/>
    <m/>
    <m/>
    <s v="MERIDIAN WASHINGTON T4N R1E"/>
    <s v="SEC 1 N2 LOT1 LOTS 2 &amp; 3 ALL PART OF LOTS 4 &amp; 5 LYING NORTH &amp; EAST OF FREEWOODS ROAD SW N2 OF LOT 6 (ALL BEING TRACT H-1) SEC 3 TRACT H-334"/>
    <m/>
    <m/>
    <m/>
  </r>
  <r>
    <s v="MSES57747"/>
    <x v="2"/>
    <x v="0"/>
    <d v="2013-03-21T00:00:00"/>
    <d v="2014-06-01T00:00:00"/>
    <x v="70"/>
    <n v="105.84"/>
    <x v="38"/>
    <x v="4"/>
    <m/>
    <n v="0.1"/>
    <n v="0.09"/>
    <s v="ES-056-03/13"/>
    <n v="521"/>
    <n v="1908"/>
    <n v="2429"/>
    <n v="159"/>
    <m/>
    <m/>
    <m/>
    <x v="1"/>
    <x v="20"/>
    <m/>
    <m/>
    <s v="MERIDIAN WASHINGTON T4N R1E"/>
    <s v="SEC 1 LOTS 10 &amp; 11 (BEING TRACT H-105) "/>
    <m/>
    <m/>
    <m/>
  </r>
  <r>
    <s v="MSES57748"/>
    <x v="2"/>
    <x v="0"/>
    <d v="2013-03-21T00:00:00"/>
    <d v="2014-06-01T00:00:00"/>
    <x v="70"/>
    <n v="329.28"/>
    <x v="33"/>
    <x v="4"/>
    <m/>
    <n v="0.1"/>
    <n v="0.09"/>
    <s v="ES-057-03/13"/>
    <n v="1305"/>
    <n v="0"/>
    <n v="1305"/>
    <n v="495"/>
    <m/>
    <m/>
    <m/>
    <x v="1"/>
    <x v="20"/>
    <m/>
    <m/>
    <s v="MERIDIAN WASHINGTON T4N R1E"/>
    <s v="SEC 17 TRACT H-141 (ALL)"/>
    <m/>
    <m/>
    <m/>
  </r>
  <r>
    <s v="MSES57749"/>
    <x v="2"/>
    <x v="0"/>
    <d v="2013-03-21T00:00:00"/>
    <d v="2014-06-01T00:00:00"/>
    <x v="70"/>
    <n v="454"/>
    <x v="162"/>
    <x v="4"/>
    <m/>
    <n v="0.1"/>
    <n v="0.09"/>
    <s v="ES-058-03/13"/>
    <n v="1739"/>
    <n v="0"/>
    <n v="1739"/>
    <n v="681"/>
    <m/>
    <m/>
    <m/>
    <x v="1"/>
    <x v="20"/>
    <m/>
    <m/>
    <s v="MERIDIAN WASHINGTON T4N R1E"/>
    <s v="SEC 24 SWNW SEC 26 A 14.00 ACRE STRIP IN WIDTH ACROSS ENTIRE N SIDE OF SESW SEC 34 N2NE SWNE W2SE SESE SEC 37 S2NE N2SE"/>
    <m/>
    <m/>
    <m/>
  </r>
  <r>
    <s v="MSES57750"/>
    <x v="2"/>
    <x v="0"/>
    <d v="2013-03-21T00:00:00"/>
    <d v="2014-06-01T00:00:00"/>
    <x v="70"/>
    <n v="22.78"/>
    <x v="162"/>
    <x v="4"/>
    <m/>
    <n v="0.1"/>
    <n v="0.09"/>
    <s v="ES-059-03/13"/>
    <n v="230.5"/>
    <n v="0"/>
    <n v="230.5"/>
    <n v="34.5"/>
    <m/>
    <m/>
    <m/>
    <x v="1"/>
    <x v="20"/>
    <m/>
    <m/>
    <s v="MERIDIAN WASHINGTON T4N R1E"/>
    <s v="SEC 39 NESW LESS 17.22 ACRES IN TRACT H-80"/>
    <m/>
    <m/>
    <m/>
  </r>
  <r>
    <s v="MSES57751"/>
    <x v="2"/>
    <x v="0"/>
    <d v="2013-03-21T00:00:00"/>
    <d v="2014-06-01T00:00:00"/>
    <x v="70"/>
    <n v="17.22"/>
    <x v="162"/>
    <x v="4"/>
    <m/>
    <n v="0.1"/>
    <n v="0.09"/>
    <s v="ES-060-03/13"/>
    <n v="213"/>
    <n v="0"/>
    <n v="213"/>
    <n v="27"/>
    <m/>
    <m/>
    <m/>
    <x v="1"/>
    <x v="20"/>
    <m/>
    <m/>
    <s v="MERIDIAN WASHINGTON T4N R1E"/>
    <s v="SEC 39 TRACT H-80 (BEING 17.22 AC. IN NESW) DESCRIBED AS BEGINNING AT THE NW/CORNER OF NESW OF SAID 39 THENCE S 0 DEGREES 24'E 14.00 CHAINS THENCE S 89 DEGREES 14'E 12.30 CHAINS THENCE N 0 DEGREES 24'W 14.00 CHAINS THENCE N 89 DEGREES 14'W 12.30 CHAINS TO THE POB"/>
    <m/>
    <m/>
    <m/>
  </r>
  <r>
    <s v="MSES57752"/>
    <x v="2"/>
    <x v="0"/>
    <d v="2013-03-21T00:00:00"/>
    <d v="2014-06-01T00:00:00"/>
    <x v="70"/>
    <n v="228.51"/>
    <x v="162"/>
    <x v="4"/>
    <m/>
    <n v="0.1"/>
    <n v="0.09"/>
    <s v="ES-061-03/13"/>
    <n v="951.5"/>
    <n v="0"/>
    <n v="951.5"/>
    <n v="343.5"/>
    <m/>
    <m/>
    <m/>
    <x v="1"/>
    <x v="20"/>
    <m/>
    <m/>
    <s v="MERIDIAN WASHINGTON T4N R1E"/>
    <s v="SEC 40 W2NE S2SE SESW NESW LESS A 2.06 AC STRIP ON NORTH &amp; WEST SIDE (TRACTS H-1083, H334a)"/>
    <m/>
    <m/>
    <m/>
  </r>
  <r>
    <s v="MSES57753"/>
    <x v="2"/>
    <x v="0"/>
    <d v="2013-03-21T00:00:00"/>
    <d v="2014-06-01T00:00:00"/>
    <x v="70"/>
    <n v="40"/>
    <x v="38"/>
    <x v="4"/>
    <m/>
    <n v="0.1"/>
    <n v="0.09"/>
    <s v="ES-062-03/13"/>
    <n v="290"/>
    <n v="0"/>
    <n v="290"/>
    <n v="60"/>
    <m/>
    <m/>
    <m/>
    <x v="1"/>
    <x v="20"/>
    <m/>
    <m/>
    <s v="MERIDIAN WASHINGTON T5N R4E"/>
    <s v="SEC 30 SESE"/>
    <m/>
    <m/>
    <m/>
  </r>
  <r>
    <s v="MSES57754"/>
    <x v="2"/>
    <x v="0"/>
    <d v="2013-03-21T00:00:00"/>
    <d v="2014-06-01T00:00:00"/>
    <x v="70"/>
    <n v="40"/>
    <x v="38"/>
    <x v="4"/>
    <m/>
    <n v="0.1"/>
    <n v="0.09"/>
    <s v="ES-063-03/13"/>
    <n v="290"/>
    <n v="960"/>
    <n v="1250"/>
    <n v="60"/>
    <m/>
    <m/>
    <m/>
    <x v="1"/>
    <x v="20"/>
    <m/>
    <m/>
    <s v="MERIDIAN WASHINGTON T6N R3E"/>
    <s v="SEC 37 NWNE"/>
    <m/>
    <m/>
    <m/>
  </r>
  <r>
    <m/>
    <x v="1"/>
    <x v="1"/>
    <m/>
    <m/>
    <x v="1"/>
    <m/>
    <x v="1"/>
    <x v="1"/>
    <m/>
    <m/>
    <m/>
    <m/>
    <n v="114810.5"/>
    <n v="153742"/>
    <n v="268552.5"/>
    <m/>
    <m/>
    <m/>
    <m/>
    <x v="1"/>
    <x v="1"/>
    <m/>
    <m/>
    <m/>
    <m/>
    <m/>
    <m/>
    <m/>
  </r>
  <r>
    <m/>
    <x v="1"/>
    <x v="1"/>
    <m/>
    <m/>
    <x v="1"/>
    <m/>
    <x v="1"/>
    <x v="1"/>
    <m/>
    <m/>
    <m/>
    <m/>
    <m/>
    <m/>
    <m/>
    <m/>
    <m/>
    <m/>
    <m/>
    <x v="1"/>
    <x v="1"/>
    <m/>
    <m/>
    <m/>
    <m/>
    <m/>
    <m/>
    <m/>
  </r>
  <r>
    <s v="MSES57822"/>
    <x v="2"/>
    <x v="0"/>
    <d v="2013-09-12T00:00:00"/>
    <d v="2013-12-01T00:00:00"/>
    <x v="71"/>
    <n v="403.34"/>
    <x v="33"/>
    <x v="4"/>
    <m/>
    <n v="0.1"/>
    <n v="0.09"/>
    <s v="ES-025-09/13"/>
    <n v="1564"/>
    <n v="4040"/>
    <n v="5604"/>
    <n v="606"/>
    <m/>
    <m/>
    <m/>
    <x v="1"/>
    <x v="17"/>
    <m/>
    <m/>
    <s v="MERIDIAN WASHINGTON, T1N R4E"/>
    <s v="SEC.26 E2NW SEC.39 ALL "/>
    <m/>
    <m/>
    <m/>
  </r>
  <r>
    <s v="MSES57823"/>
    <x v="2"/>
    <x v="0"/>
    <d v="2013-09-12T00:00:00"/>
    <d v="2013-12-01T00:00:00"/>
    <x v="71"/>
    <n v="80"/>
    <x v="165"/>
    <x v="4"/>
    <m/>
    <n v="0.1"/>
    <n v="0.09"/>
    <s v="ES-026-09/13"/>
    <n v="430"/>
    <n v="55840"/>
    <n v="56270"/>
    <n v="120"/>
    <m/>
    <m/>
    <m/>
    <x v="1"/>
    <x v="17"/>
    <m/>
    <m/>
    <s v="CHOCTAW T2N R13E"/>
    <s v="SEC.20 SESW SWSE"/>
    <m/>
    <m/>
    <m/>
  </r>
  <r>
    <s v="MIES57798"/>
    <x v="2"/>
    <x v="0"/>
    <d v="2013-09-12T00:00:00"/>
    <d v="2016-11-01T00:00:00"/>
    <x v="72"/>
    <n v="106.3"/>
    <x v="177"/>
    <x v="9"/>
    <m/>
    <n v="0.1"/>
    <n v="0.09"/>
    <s v="ES-001-09/13"/>
    <n v="524.5"/>
    <n v="214"/>
    <n v="738.5"/>
    <n v="160.5"/>
    <m/>
    <m/>
    <m/>
    <x v="1"/>
    <x v="19"/>
    <m/>
    <m/>
    <s v="MERIDIAN MI T1N R14W"/>
    <s v="SEC 1 N2NWNW SEC 3 E2NW"/>
    <m/>
    <m/>
    <m/>
  </r>
  <r>
    <s v="MIES57799"/>
    <x v="2"/>
    <x v="0"/>
    <d v="2013-09-12T00:00:00"/>
    <d v="2016-10-01T00:00:00"/>
    <x v="64"/>
    <n v="935"/>
    <x v="177"/>
    <x v="9"/>
    <m/>
    <n v="0.1"/>
    <n v="0.09"/>
    <s v="ES-002-09/13"/>
    <n v="3422.5"/>
    <n v="7480"/>
    <n v="10902.5"/>
    <n v="1402.5"/>
    <m/>
    <m/>
    <m/>
    <x v="1"/>
    <x v="19"/>
    <m/>
    <m/>
    <s v="MERIDIAN MI T1N R15W"/>
    <s v="SEC 2 S2NE EXC S 300 FT OF E 1452 FT E2SW E2SE; SEC 4 N 10 ACRES OF E2NE W2NE"/>
    <s v="E2SW SENW SEC 11 NE SENW E 45 ACRES OF THE N2SE S2SE SEC 12 NW"/>
    <m/>
    <m/>
  </r>
  <r>
    <s v="MIES57800"/>
    <x v="2"/>
    <x v="0"/>
    <d v="2013-09-12T00:00:00"/>
    <d v="2016-10-01T00:00:00"/>
    <x v="64"/>
    <n v="1578.34"/>
    <x v="177"/>
    <x v="9"/>
    <m/>
    <n v="0.1"/>
    <n v="0.09"/>
    <s v="ES-003-09/13"/>
    <n v="5676.5"/>
    <n v="50528"/>
    <n v="56204.5"/>
    <n v="2368.5"/>
    <m/>
    <m/>
    <m/>
    <x v="1"/>
    <x v="19"/>
    <m/>
    <m/>
    <s v="MERIDIAN MI T2N R14W"/>
    <s v="SEC 3 S 12 ACRES OF NENE NWNE S2NE NW N2SW W2SE SEC 4 NENE SWNE W2SENE"/>
    <s v="NW LOT 4 LOT 5 SWSW E2SE SEC 5 ALL"/>
    <m/>
    <m/>
  </r>
  <r>
    <s v="MIES57801"/>
    <x v="2"/>
    <x v="0"/>
    <d v="2013-09-12T00:00:00"/>
    <d v="2016-10-01T00:00:00"/>
    <x v="64"/>
    <n v="1850"/>
    <x v="177"/>
    <x v="9"/>
    <m/>
    <n v="0.1"/>
    <n v="0.09"/>
    <s v="ES-004-09/13"/>
    <n v="6625"/>
    <n v="59200"/>
    <n v="65825"/>
    <n v="2750"/>
    <m/>
    <m/>
    <m/>
    <x v="1"/>
    <x v="19"/>
    <m/>
    <m/>
    <s v="MERIDIAN MI T2N R14W"/>
    <s v="SEE DETAILED DESCRIPTION ON LEASE (TOO LONG)"/>
    <m/>
    <m/>
    <m/>
  </r>
  <r>
    <s v="MIES57802"/>
    <x v="2"/>
    <x v="0"/>
    <d v="2013-09-12T00:00:00"/>
    <d v="2016-10-01T00:00:00"/>
    <x v="64"/>
    <n v="79.849999999999994"/>
    <x v="177"/>
    <x v="9"/>
    <m/>
    <n v="0.1"/>
    <n v="0.09"/>
    <s v="ES-005-09/13"/>
    <n v="430"/>
    <n v="2560"/>
    <n v="2990"/>
    <n v="120"/>
    <m/>
    <m/>
    <m/>
    <x v="1"/>
    <x v="19"/>
    <m/>
    <m/>
    <s v="MERIDIAN MI T2N R14W"/>
    <s v="SEC 15 ALL THAT PART OF W2NE LYING N OF KALAMAZOO RIVER AND ABOVE "/>
    <s v="CONTOUR LINE AT ELEVATION 618 SIX ACCORDING TO USGS DATUM THAT PART OF LOT 1 LYING N OF HWY, THAT PART OF SW LYING ABOVE CONTOUR LINE AT ELEVATION 618 ACCORDING TO USGS"/>
    <m/>
    <m/>
  </r>
  <r>
    <s v="MIES57803"/>
    <x v="2"/>
    <x v="0"/>
    <d v="2013-09-12T00:00:00"/>
    <d v="2016-10-01T00:00:00"/>
    <x v="64"/>
    <n v="1715.53"/>
    <x v="177"/>
    <x v="9"/>
    <m/>
    <n v="0.1"/>
    <n v="0.09"/>
    <s v="ES-006-09/13"/>
    <n v="6156"/>
    <n v="61776"/>
    <n v="67932"/>
    <n v="2574"/>
    <m/>
    <m/>
    <m/>
    <x v="1"/>
    <x v="19"/>
    <m/>
    <m/>
    <s v="MERIDIAN MI T2N R14W"/>
    <s v="SEE DETAILED DESCRIPTION ON LEASE (TOO LONG)"/>
    <m/>
    <m/>
    <m/>
  </r>
  <r>
    <s v="MIES57804"/>
    <x v="2"/>
    <x v="0"/>
    <d v="2013-09-12T00:00:00"/>
    <d v="2016-10-01T00:00:00"/>
    <x v="64"/>
    <n v="1680"/>
    <x v="177"/>
    <x v="9"/>
    <m/>
    <n v="0.1"/>
    <n v="0.09"/>
    <s v="ES-007-09/13"/>
    <n v="6030"/>
    <n v="20160"/>
    <n v="26190"/>
    <n v="2520"/>
    <m/>
    <m/>
    <m/>
    <x v="1"/>
    <x v="19"/>
    <m/>
    <m/>
    <s v="MERIDIAN MI T2N R14W"/>
    <s v="DESCRIPTION NOT ON THE LEASE"/>
    <m/>
    <m/>
    <m/>
  </r>
  <r>
    <s v="MIES57805"/>
    <x v="2"/>
    <x v="0"/>
    <d v="2013-09-12T00:00:00"/>
    <d v="2016-10-01T00:00:00"/>
    <x v="64"/>
    <n v="1270"/>
    <x v="177"/>
    <x v="9"/>
    <m/>
    <n v="0.1"/>
    <n v="0.09"/>
    <s v="ES-008-09/13"/>
    <n v="4595"/>
    <n v="15240"/>
    <n v="19835"/>
    <n v="1905"/>
    <m/>
    <m/>
    <m/>
    <x v="1"/>
    <x v="19"/>
    <m/>
    <m/>
    <s v="MERIDIAN MI T2N R14W"/>
    <s v="SEE DETAILED DESCRIPTION ON LEASE (TOO LONG)"/>
    <m/>
    <m/>
    <m/>
  </r>
  <r>
    <s v="MIES57806"/>
    <x v="0"/>
    <x v="0"/>
    <d v="2013-09-12T00:00:00"/>
    <d v="2016-12-01T00:00:00"/>
    <x v="69"/>
    <n v="1675"/>
    <x v="177"/>
    <x v="9"/>
    <m/>
    <n v="0.1"/>
    <n v="0.09"/>
    <s v="ES-009-09/13"/>
    <n v="6012.5"/>
    <n v="20100"/>
    <n v="26112.5"/>
    <n v="2512.5"/>
    <m/>
    <m/>
    <m/>
    <x v="1"/>
    <x v="19"/>
    <m/>
    <m/>
    <s v="MERIDIAN MI T2N R14W"/>
    <s v="SEC 34 N2N2NE S2NE NENW W2SENW NWSW NWNW W2E2SE; SEC 36 N2 EXC "/>
    <s v="E2E2NE N 30 ACRES OF E2SW W2SW EXC. S 726 FT. OF E 699 FT., E2SE N 70 ACRES OF W2SE"/>
    <m/>
    <m/>
  </r>
  <r>
    <s v="MIES57808"/>
    <x v="2"/>
    <x v="0"/>
    <d v="2013-09-12T00:00:00"/>
    <d v="2016-10-01T00:00:00"/>
    <x v="64"/>
    <n v="1215.18"/>
    <x v="177"/>
    <x v="9"/>
    <m/>
    <n v="0.1"/>
    <n v="0.09"/>
    <s v="ES-010-09/13"/>
    <n v="4406"/>
    <n v="38912"/>
    <n v="43318"/>
    <n v="1824"/>
    <m/>
    <m/>
    <m/>
    <x v="1"/>
    <x v="19"/>
    <m/>
    <m/>
    <s v="MERIDIAN MI T2N R15W"/>
    <s v="SEC 12 NENE W2NE S2NW NWNW SW NWSE S2SE SEC 13 E 100 ACRES OF NE "/>
    <s v="W2E2NW W2NW N2NWSW SE SEC 14 W2E2NE NWNW S2NW E2SE NWNE SEC NE"/>
    <m/>
    <m/>
  </r>
  <r>
    <s v="MIES57811"/>
    <x v="2"/>
    <x v="0"/>
    <d v="2013-09-12T00:00:00"/>
    <d v="2016-10-01T00:00:00"/>
    <x v="64"/>
    <n v="889.33"/>
    <x v="177"/>
    <x v="9"/>
    <m/>
    <n v="0.1"/>
    <n v="0.09"/>
    <s v="ES-014-09/13"/>
    <n v="3265"/>
    <n v="28480"/>
    <n v="31745"/>
    <n v="1335"/>
    <m/>
    <m/>
    <m/>
    <x v="1"/>
    <x v="19"/>
    <m/>
    <m/>
    <s v="MERIDIAN MI T3N R13W"/>
    <s v="SEC 7 ALL EXC. N 528 FT OF NWSW SEC 8 N2SW SEC 18 NE EXC SESENE E2NW SEC 20 N2NWSW"/>
    <m/>
    <m/>
    <m/>
  </r>
  <r>
    <s v="MIES57812"/>
    <x v="2"/>
    <x v="0"/>
    <d v="2013-09-12T00:00:00"/>
    <d v="2016-10-01T00:00:00"/>
    <x v="64"/>
    <n v="513.92999999999995"/>
    <x v="177"/>
    <x v="9"/>
    <m/>
    <n v="0.1"/>
    <n v="0.09"/>
    <s v="ES-015-09/13"/>
    <n v="1949"/>
    <n v="18504"/>
    <n v="20453"/>
    <n v="771"/>
    <m/>
    <m/>
    <m/>
    <x v="1"/>
    <x v="19"/>
    <m/>
    <m/>
    <s v="MERIDIAN MI T3N R14W"/>
    <s v="SEE DETAILED DESCRIPTION ON LEASE (TOO LONG)"/>
    <m/>
    <m/>
    <m/>
  </r>
  <r>
    <s v="MIES57813"/>
    <x v="2"/>
    <x v="0"/>
    <d v="2013-09-12T00:00:00"/>
    <d v="2016-10-01T00:00:00"/>
    <x v="64"/>
    <n v="2052.5"/>
    <x v="177"/>
    <x v="9"/>
    <m/>
    <n v="0.1"/>
    <n v="0.09"/>
    <s v="ES-016-09/13"/>
    <n v="7335.5"/>
    <n v="65696"/>
    <n v="73031.5"/>
    <n v="3079.5"/>
    <m/>
    <m/>
    <m/>
    <x v="1"/>
    <x v="19"/>
    <m/>
    <m/>
    <s v="MERIDIAN MI T3N R14W"/>
    <s v="SEC 11 NE E2NW SW SESE SEC 12 S2N2NE S2NE NW NESW S 32.5 ACRES OF NWSW "/>
    <s v="SESW SE SEC 14 NWNE SEC 15 E 3/4 OF N2NE N2S2NE W2 EXC SWSW AND NWNW SEC 16 S2SE SEC 17 W2SW 18 SEC 18 ENTIRE SEC EXC. E2NE "/>
    <m/>
    <m/>
  </r>
  <r>
    <s v="MIES57816"/>
    <x v="2"/>
    <x v="0"/>
    <d v="2013-09-12T00:00:00"/>
    <d v="2016-10-01T00:00:00"/>
    <x v="64"/>
    <n v="990"/>
    <x v="177"/>
    <x v="9"/>
    <m/>
    <n v="0.1"/>
    <n v="0.09"/>
    <s v="ES-019-09/13"/>
    <n v="3615"/>
    <n v="3960"/>
    <n v="7575"/>
    <n v="1485"/>
    <m/>
    <m/>
    <m/>
    <x v="1"/>
    <x v="19"/>
    <m/>
    <m/>
    <s v="MERIDIAN MI T3N R15W"/>
    <s v="SEC 13 NENE W2NE NENW NWNW EXC 1 ACRE IN SW COR. SWNW SW EXC. SESESW "/>
    <s v="NWSE S2SE SEC 14 E2 S2NW W2SW"/>
    <m/>
    <m/>
  </r>
  <r>
    <s v="MIES57817"/>
    <x v="2"/>
    <x v="0"/>
    <d v="2013-09-12T00:00:00"/>
    <d v="2016-10-01T00:00:00"/>
    <x v="64"/>
    <n v="2007.17"/>
    <x v="177"/>
    <x v="9"/>
    <m/>
    <n v="0.1"/>
    <n v="0.09"/>
    <s v="ES-020-09/13"/>
    <n v="7178"/>
    <n v="4016"/>
    <n v="11194"/>
    <n v="3012"/>
    <m/>
    <m/>
    <m/>
    <x v="1"/>
    <x v="19"/>
    <m/>
    <m/>
    <s v="MERIDIAN MI T3N R15W"/>
    <s v="SEE DETAILED DESCRIPTION ON LEASE (TOO LONG)"/>
    <m/>
    <m/>
    <m/>
  </r>
  <r>
    <s v="MIES57818"/>
    <x v="2"/>
    <x v="0"/>
    <d v="2013-09-12T00:00:00"/>
    <d v="2016-10-01T00:00:00"/>
    <x v="64"/>
    <n v="620"/>
    <x v="177"/>
    <x v="9"/>
    <m/>
    <n v="0.1"/>
    <n v="0.09"/>
    <s v="ES-021-09/13"/>
    <n v="2320"/>
    <n v="22320"/>
    <n v="24640"/>
    <n v="930"/>
    <m/>
    <m/>
    <m/>
    <x v="1"/>
    <x v="19"/>
    <m/>
    <m/>
    <s v="MERIDIAN MI T3N R15W"/>
    <s v="SEC 35 N2NE SWNE W 60 ACRES OF W2SW S 528 FT. OF N 1056 FT OF E2SE SWSE"/>
    <s v=" EXC. PARCEL COM AT SW COR OF SE TH N 31 RDS E 10 RDS 8 IN S 31 RDS W 10 RDS 8 IN TO PLACE OF BEG. SEC 36 E2NE SWNE E2NENW W2W2 SE"/>
    <m/>
    <m/>
  </r>
  <r>
    <s v="MIES57819"/>
    <x v="0"/>
    <x v="0"/>
    <d v="2013-09-12T00:00:00"/>
    <m/>
    <x v="1"/>
    <n v="40"/>
    <x v="1"/>
    <x v="1"/>
    <m/>
    <n v="0.1"/>
    <n v="0.09"/>
    <m/>
    <n v="290"/>
    <n v="259920"/>
    <n v="260210"/>
    <m/>
    <m/>
    <m/>
    <m/>
    <x v="105"/>
    <x v="1"/>
    <m/>
    <m/>
    <m/>
    <m/>
    <m/>
    <m/>
    <m/>
  </r>
  <r>
    <s v="MIES57820"/>
    <x v="0"/>
    <x v="0"/>
    <d v="2013-09-12T00:00:00"/>
    <m/>
    <x v="1"/>
    <n v="40"/>
    <x v="1"/>
    <x v="1"/>
    <m/>
    <n v="0.1"/>
    <n v="0.09"/>
    <m/>
    <n v="290"/>
    <n v="1199920"/>
    <n v="1200210"/>
    <m/>
    <m/>
    <m/>
    <m/>
    <x v="105"/>
    <x v="1"/>
    <m/>
    <m/>
    <m/>
    <m/>
    <m/>
    <m/>
    <m/>
  </r>
  <r>
    <s v="MIES57821"/>
    <x v="0"/>
    <x v="0"/>
    <d v="2013-09-12T00:00:00"/>
    <m/>
    <x v="1"/>
    <n v="40"/>
    <x v="1"/>
    <x v="1"/>
    <m/>
    <n v="0.1"/>
    <n v="0.09"/>
    <m/>
    <n v="290"/>
    <n v="639920"/>
    <n v="640210"/>
    <m/>
    <m/>
    <m/>
    <m/>
    <x v="105"/>
    <x v="1"/>
    <m/>
    <m/>
    <m/>
    <m/>
    <m/>
    <m/>
    <m/>
  </r>
  <r>
    <m/>
    <x v="1"/>
    <x v="1"/>
    <m/>
    <m/>
    <x v="1"/>
    <m/>
    <x v="1"/>
    <x v="1"/>
    <m/>
    <m/>
    <m/>
    <m/>
    <n v="71534.5"/>
    <n v="479026"/>
    <n v="550560.5"/>
    <m/>
    <m/>
    <m/>
    <m/>
    <x v="1"/>
    <x v="1"/>
    <m/>
    <m/>
    <m/>
    <m/>
    <m/>
    <m/>
    <m/>
  </r>
  <r>
    <m/>
    <x v="1"/>
    <x v="1"/>
    <m/>
    <m/>
    <x v="1"/>
    <m/>
    <x v="1"/>
    <x v="1"/>
    <m/>
    <m/>
    <m/>
    <m/>
    <m/>
    <m/>
    <m/>
    <m/>
    <m/>
    <m/>
    <m/>
    <x v="1"/>
    <x v="1"/>
    <m/>
    <m/>
    <m/>
    <m/>
    <m/>
    <m/>
    <m/>
  </r>
  <r>
    <s v="ALES57845"/>
    <x v="2"/>
    <x v="0"/>
    <d v="2013-12-12T00:00:00"/>
    <d v="2014-03-01T00:00:00"/>
    <x v="73"/>
    <n v="161.41999999999999"/>
    <x v="24"/>
    <x v="6"/>
    <m/>
    <n v="0.1"/>
    <n v="0.09"/>
    <s v="ES-001-12/2013"/>
    <n v="722"/>
    <n v="113076"/>
    <n v="113798"/>
    <n v="243"/>
    <m/>
    <m/>
    <m/>
    <x v="1"/>
    <x v="20"/>
    <m/>
    <m/>
    <s v="MERIDIAN ST.STEPHENS T3N R14E"/>
    <s v="SEC 6 SESW SEC 7 E2NW SWNE"/>
    <m/>
    <m/>
    <m/>
  </r>
  <r>
    <s v="LAES57846"/>
    <x v="2"/>
    <x v="0"/>
    <d v="2013-12-12T00:00:00"/>
    <d v="2014-03-01T00:00:00"/>
    <x v="73"/>
    <n v="1.84"/>
    <x v="178"/>
    <x v="3"/>
    <m/>
    <n v="0.1"/>
    <n v="0.09"/>
    <s v="ES-002-12/2013"/>
    <n v="162"/>
    <n v="116"/>
    <n v="278"/>
    <n v="3"/>
    <m/>
    <m/>
    <m/>
    <x v="1"/>
    <x v="20"/>
    <m/>
    <m/>
    <s v="MERIDIAN LOUISIANA T3N R3E"/>
    <s v="SEC 10 LOT 3 (FRACTIONAL SENE); SEC 14 LOT 3 (FRACTIONAL SENW)"/>
    <m/>
    <m/>
    <m/>
  </r>
  <r>
    <s v="LAES57847"/>
    <x v="2"/>
    <x v="0"/>
    <d v="2013-12-12T00:00:00"/>
    <d v="2014-03-01T00:00:00"/>
    <x v="73"/>
    <n v="7.08"/>
    <x v="178"/>
    <x v="3"/>
    <m/>
    <n v="0.1"/>
    <n v="0.09"/>
    <s v="ES-003-12/2013"/>
    <n v="183"/>
    <n v="624"/>
    <n v="807"/>
    <n v="12"/>
    <m/>
    <m/>
    <m/>
    <x v="1"/>
    <x v="20"/>
    <m/>
    <m/>
    <s v="MERIDIAN LOUISIANA T3N R3E"/>
    <s v="SEC 32 LOT 7 (FRACTIONAL SESW)"/>
    <m/>
    <m/>
    <m/>
  </r>
  <r>
    <s v="LAES57848"/>
    <x v="2"/>
    <x v="0"/>
    <d v="2013-12-12T00:00:00"/>
    <d v="2014-03-01T00:00:00"/>
    <x v="73"/>
    <n v="40"/>
    <x v="178"/>
    <x v="3"/>
    <m/>
    <n v="0.1"/>
    <n v="0.09"/>
    <s v="ES-004-12/2013"/>
    <n v="295"/>
    <n v="520"/>
    <n v="815"/>
    <n v="60"/>
    <m/>
    <m/>
    <m/>
    <x v="1"/>
    <x v="20"/>
    <m/>
    <m/>
    <s v="MERIDIAN LOUISIANA T1N R4E"/>
    <s v="SEC 12 NESE"/>
    <m/>
    <m/>
    <m/>
  </r>
  <r>
    <s v="LAES57849"/>
    <x v="2"/>
    <x v="0"/>
    <d v="2013-12-12T00:00:00"/>
    <d v="2014-03-01T00:00:00"/>
    <x v="73"/>
    <n v="79.84"/>
    <x v="178"/>
    <x v="3"/>
    <m/>
    <n v="0.1"/>
    <n v="0.09"/>
    <s v="ES-005-12/2013"/>
    <n v="435"/>
    <n v="1840"/>
    <n v="2275"/>
    <n v="120"/>
    <m/>
    <m/>
    <m/>
    <x v="1"/>
    <x v="20"/>
    <m/>
    <m/>
    <s v="MERIDIAN LOUISIANA T2N R3E"/>
    <s v="SEC.28 S2SW"/>
    <m/>
    <m/>
    <m/>
  </r>
  <r>
    <s v="LAES57850"/>
    <x v="2"/>
    <x v="0"/>
    <d v="2013-12-12T00:00:00"/>
    <d v="2014-03-01T00:00:00"/>
    <x v="73"/>
    <n v="3.8"/>
    <x v="178"/>
    <x v="3"/>
    <m/>
    <n v="0.1"/>
    <n v="0.09"/>
    <s v="ES-006-12/2013"/>
    <n v="169"/>
    <n v="192"/>
    <n v="361"/>
    <n v="6"/>
    <m/>
    <m/>
    <m/>
    <x v="1"/>
    <x v="20"/>
    <m/>
    <m/>
    <s v="MERIDIAN LOUISIANA T3N R3E"/>
    <s v="SEC 62 ALL (FRACTIONAL NORTH OF THEE RED RIVER) SEC 64 ALL (FRACTIONAL) "/>
    <m/>
    <m/>
    <m/>
  </r>
  <r>
    <s v="MIES57852"/>
    <x v="2"/>
    <x v="0"/>
    <d v="2013-12-12T00:00:00"/>
    <d v="2014-03-01T00:00:00"/>
    <x v="73"/>
    <n v="70.680000000000007"/>
    <x v="108"/>
    <x v="9"/>
    <m/>
    <n v="0.1"/>
    <n v="0.09"/>
    <s v="ES-008-12/2013"/>
    <n v="403.5"/>
    <n v="0"/>
    <n v="403.5"/>
    <n v="106.5"/>
    <m/>
    <m/>
    <m/>
    <x v="1"/>
    <x v="20"/>
    <m/>
    <m/>
    <s v="MERIDIAN MICHIGAN T22N R14W"/>
    <s v="SEC 3 A 1.28 ACRE PORTION OF THE SENE DESCRIBED AS BEGINNING AT THE NE CORNER OF THE NESE OF SAID SECTION, THENCE S 1 DEGREE 56' 54&quot; E 139.96' , THENCE N 89 DEGREES 05' 26&quot; W 400',THENCE N 1 DEGREE 56' 54&quot; W 139.36', THENCE N 89 DEGREES 05' 26&quot; W 400' TO THE POINT OF BEGINNING; SEC 16, NENW N2SENW PART OF NWNW LYING EAST OF THE EAST LINE OF THE PERE MARQUETTE RR COMPANY RIGHT OF WAY"/>
    <m/>
    <m/>
    <m/>
  </r>
  <r>
    <s v="MIES57853"/>
    <x v="2"/>
    <x v="0"/>
    <d v="2013-12-12T00:00:00"/>
    <d v="2014-03-01T00:00:00"/>
    <x v="73"/>
    <n v="80"/>
    <x v="108"/>
    <x v="9"/>
    <m/>
    <n v="0.1"/>
    <n v="0.09"/>
    <s v="ES-009-12/2013"/>
    <n v="435"/>
    <n v="5040"/>
    <n v="5475"/>
    <n v="120"/>
    <m/>
    <m/>
    <m/>
    <x v="1"/>
    <x v="20"/>
    <m/>
    <m/>
    <s v="MERIDIAN MICHIGAN T22N R14W"/>
    <s v="SEC 23 S2SW"/>
    <m/>
    <m/>
    <m/>
  </r>
  <r>
    <s v="MIES57854"/>
    <x v="2"/>
    <x v="0"/>
    <d v="2013-12-12T00:00:00"/>
    <d v="2014-03-01T00:00:00"/>
    <x v="73"/>
    <n v="60"/>
    <x v="108"/>
    <x v="9"/>
    <m/>
    <n v="0.1"/>
    <n v="0.09"/>
    <s v="ES-010-12/2013"/>
    <n v="365"/>
    <n v="2880"/>
    <n v="3245"/>
    <n v="90"/>
    <m/>
    <m/>
    <m/>
    <x v="1"/>
    <x v="20"/>
    <m/>
    <m/>
    <s v="MERIDIAN MICHIGAN T22N R15W"/>
    <s v="SEC 24 S2SESE SEC 25 NENW"/>
    <m/>
    <m/>
    <m/>
  </r>
  <r>
    <s v="MIES57855"/>
    <x v="2"/>
    <x v="0"/>
    <d v="2013-12-12T00:00:00"/>
    <d v="2014-03-01T00:00:00"/>
    <x v="73"/>
    <n v="80"/>
    <x v="179"/>
    <x v="9"/>
    <m/>
    <n v="0.1"/>
    <n v="0.09"/>
    <s v="ES-011-12/2013"/>
    <n v="435"/>
    <n v="43840"/>
    <n v="44275"/>
    <n v="120"/>
    <m/>
    <m/>
    <m/>
    <x v="1"/>
    <x v="20"/>
    <m/>
    <m/>
    <s v="MERIDIAN MICHIGAN T25N R11W"/>
    <s v="SEC 18 E2NE"/>
    <m/>
    <m/>
    <m/>
  </r>
  <r>
    <s v="MIES57856"/>
    <x v="2"/>
    <x v="0"/>
    <d v="2013-12-12T00:00:00"/>
    <d v="2014-03-01T00:00:00"/>
    <x v="73"/>
    <n v="234.7"/>
    <x v="122"/>
    <x v="9"/>
    <m/>
    <n v="0.1"/>
    <n v="0.09"/>
    <s v="ES-012-12/2013"/>
    <n v="977.5"/>
    <n v="11280"/>
    <n v="12257.5"/>
    <n v="352.5"/>
    <m/>
    <m/>
    <m/>
    <x v="1"/>
    <x v="20"/>
    <m/>
    <m/>
    <s v="MERIDIAN MICHIGAN T25N R8E"/>
    <s v="SEC 4 NENW SEC 21 SW SEC 26 PART NWNW (34.7 ACRES)"/>
    <m/>
    <m/>
    <m/>
  </r>
  <r>
    <s v="MIES57857"/>
    <x v="2"/>
    <x v="0"/>
    <d v="2013-12-12T00:00:00"/>
    <d v="2014-03-01T00:00:00"/>
    <x v="73"/>
    <n v="20"/>
    <x v="122"/>
    <x v="9"/>
    <m/>
    <n v="0.1"/>
    <n v="0.09"/>
    <s v="ES-013-12/2013"/>
    <n v="225"/>
    <n v="1460"/>
    <n v="1685"/>
    <n v="30"/>
    <m/>
    <m/>
    <m/>
    <x v="1"/>
    <x v="20"/>
    <m/>
    <m/>
    <s v="MERIDIAN MICHIGAN T26N R7E"/>
    <s v="SEC.4 N 993.4' OF THE E 933.4' OF THE SENE"/>
    <m/>
    <m/>
    <m/>
  </r>
  <r>
    <s v="MIES57858"/>
    <x v="2"/>
    <x v="0"/>
    <d v="2013-12-12T00:00:00"/>
    <d v="2014-03-01T00:00:00"/>
    <x v="73"/>
    <n v="80"/>
    <x v="122"/>
    <x v="9"/>
    <m/>
    <n v="0.1"/>
    <n v="0.09"/>
    <s v="ES-014-12/2013"/>
    <n v="435"/>
    <n v="5440"/>
    <n v="5875"/>
    <n v="120"/>
    <m/>
    <m/>
    <m/>
    <x v="1"/>
    <x v="20"/>
    <m/>
    <m/>
    <s v="MERIDIAN MICHIGAN T27N R6E"/>
    <s v="SEC.23 W2NW"/>
    <m/>
    <m/>
    <m/>
  </r>
  <r>
    <s v="MIES57859"/>
    <x v="2"/>
    <x v="0"/>
    <d v="2013-12-12T00:00:00"/>
    <d v="2014-03-01T00:00:00"/>
    <x v="73"/>
    <n v="80"/>
    <x v="122"/>
    <x v="9"/>
    <m/>
    <n v="0.1"/>
    <n v="0.09"/>
    <s v="ES-015-12/2013"/>
    <n v="435"/>
    <n v="5040"/>
    <n v="5475"/>
    <n v="120"/>
    <m/>
    <m/>
    <m/>
    <x v="1"/>
    <x v="20"/>
    <m/>
    <m/>
    <s v="MERIDIAN MICHIGAN T27N R7E"/>
    <s v="SEC.27 N2SE"/>
    <m/>
    <m/>
    <m/>
  </r>
  <r>
    <s v="MIES57860"/>
    <x v="2"/>
    <x v="0"/>
    <d v="2013-12-12T00:00:00"/>
    <d v="2014-03-01T00:00:00"/>
    <x v="73"/>
    <n v="40"/>
    <x v="122"/>
    <x v="9"/>
    <m/>
    <n v="0.1"/>
    <n v="0.09"/>
    <s v="ES-016-12/2013"/>
    <n v="295"/>
    <n v="2320"/>
    <n v="2615"/>
    <n v="60"/>
    <m/>
    <m/>
    <m/>
    <x v="1"/>
    <x v="20"/>
    <m/>
    <m/>
    <s v="MERIDIAN MICHIGAN T27N R8E"/>
    <s v="SEC.13 NWNE"/>
    <m/>
    <m/>
    <m/>
  </r>
  <r>
    <m/>
    <x v="1"/>
    <x v="1"/>
    <m/>
    <m/>
    <x v="1"/>
    <m/>
    <x v="1"/>
    <x v="1"/>
    <m/>
    <m/>
    <m/>
    <m/>
    <n v="5972"/>
    <n v="193668"/>
    <n v="199640"/>
    <m/>
    <m/>
    <m/>
    <m/>
    <x v="1"/>
    <x v="1"/>
    <m/>
    <m/>
    <m/>
    <m/>
    <m/>
    <m/>
    <m/>
  </r>
  <r>
    <m/>
    <x v="1"/>
    <x v="1"/>
    <m/>
    <m/>
    <x v="1"/>
    <m/>
    <x v="1"/>
    <x v="1"/>
    <m/>
    <m/>
    <m/>
    <m/>
    <m/>
    <m/>
    <m/>
    <m/>
    <m/>
    <m/>
    <m/>
    <x v="1"/>
    <x v="1"/>
    <m/>
    <m/>
    <m/>
    <m/>
    <m/>
    <m/>
    <m/>
  </r>
  <r>
    <s v="ALES57887"/>
    <x v="2"/>
    <x v="0"/>
    <d v="2014-03-20T00:00:00"/>
    <d v="2014-05-01T00:00:00"/>
    <x v="74"/>
    <n v="80"/>
    <x v="105"/>
    <x v="6"/>
    <m/>
    <n v="0.1"/>
    <n v="0.09"/>
    <s v="ES-001-03/2014"/>
    <n v="435"/>
    <n v="319840"/>
    <n v="320275"/>
    <n v="120"/>
    <m/>
    <m/>
    <m/>
    <x v="1"/>
    <x v="20"/>
    <m/>
    <m/>
    <s v="MERIDIAN ST.STEPHENS T3N R7E"/>
    <s v="SEC.2 SENW NESW"/>
    <m/>
    <m/>
    <m/>
  </r>
  <r>
    <s v="ALES57888"/>
    <x v="2"/>
    <x v="0"/>
    <d v="2014-03-20T00:00:00"/>
    <d v="2014-04-01T00:00:00"/>
    <x v="75"/>
    <n v="150"/>
    <x v="105"/>
    <x v="6"/>
    <m/>
    <n v="0.05"/>
    <n v="4.4999999999999998E-2"/>
    <s v="ES-002-03/2014"/>
    <n v="680"/>
    <n v="0"/>
    <n v="680"/>
    <n v="225"/>
    <m/>
    <m/>
    <m/>
    <x v="106"/>
    <x v="20"/>
    <m/>
    <m/>
    <s v="MERIDIAN ST.STEPHENS T3N R11E"/>
    <s v="SEC.4 NW LESS &amp; EXCEPT A 10 ACRE PARCEL DESCRIBED AS BEGINNING AT THE NORTHWEST CORNER OF SAID SEC 4 &amp; RUN SOUTH ALONG WEST BOUNDARY LINES OF SAID SEC 178 YARDS, THENCE EASTERLY 218 YARDS, THENCE NORTH 258 YARDS TO THE NORTH BOUNDARY LINE OF SAID SECTION, THENCE WEST ALONG SAID NORTH BOUNDARY LINE TO CORNER AT THE POINT OF BEGINNING"/>
    <m/>
    <m/>
    <m/>
  </r>
  <r>
    <s v="ARES57890"/>
    <x v="2"/>
    <x v="0"/>
    <d v="2014-03-20T00:00:00"/>
    <d v="2014-05-01T00:00:00"/>
    <x v="74"/>
    <n v="145"/>
    <x v="72"/>
    <x v="2"/>
    <m/>
    <n v="0.1"/>
    <n v="0.09"/>
    <s v="ES-004-03/2014"/>
    <n v="662.5"/>
    <n v="1015"/>
    <n v="1677.5"/>
    <n v="217.5"/>
    <m/>
    <m/>
    <m/>
    <x v="107"/>
    <x v="20"/>
    <m/>
    <m/>
    <s v="MERIDIAN 5TH PRINCIPAL T9N R12W"/>
    <s v="SEE ATTACHED PAGE ON ACTUAL LEASE."/>
    <m/>
    <m/>
    <m/>
  </r>
  <r>
    <s v="ARES57893"/>
    <x v="2"/>
    <x v="0"/>
    <d v="2014-03-20T00:00:00"/>
    <d v="2014-05-01T00:00:00"/>
    <x v="74"/>
    <n v="170"/>
    <x v="72"/>
    <x v="2"/>
    <m/>
    <n v="0.1"/>
    <n v="0.09"/>
    <s v="ES-007-03/2014"/>
    <n v="750"/>
    <n v="510"/>
    <n v="1260"/>
    <n v="255"/>
    <m/>
    <m/>
    <m/>
    <x v="1"/>
    <x v="20"/>
    <m/>
    <m/>
    <s v="MERIDIAN 5TH PRINCIPAL T12N R13W"/>
    <s v="SEE ATTACHED PAGE ON ACTUAL LEASE. "/>
    <m/>
    <m/>
    <m/>
  </r>
  <r>
    <s v="ARES57894"/>
    <x v="2"/>
    <x v="0"/>
    <d v="2014-03-20T00:00:00"/>
    <d v="2014-05-01T00:00:00"/>
    <x v="74"/>
    <n v="200"/>
    <x v="72"/>
    <x v="2"/>
    <m/>
    <n v="0.1"/>
    <n v="0.09"/>
    <s v="ES-008-03/2014"/>
    <n v="855"/>
    <n v="1600"/>
    <n v="2455"/>
    <n v="300"/>
    <m/>
    <m/>
    <m/>
    <x v="1"/>
    <x v="20"/>
    <m/>
    <m/>
    <s v="MERIDIAN 5TH PRINCIPAL T12N R14W"/>
    <s v="SEC 8 SESE W2SE SEC 9 SWSW SEC 35 NESW"/>
    <m/>
    <m/>
    <m/>
  </r>
  <r>
    <s v="ARES57895"/>
    <x v="2"/>
    <x v="0"/>
    <d v="2014-03-20T00:00:00"/>
    <d v="2014-05-01T00:00:00"/>
    <x v="74"/>
    <n v="145"/>
    <x v="72"/>
    <x v="2"/>
    <m/>
    <n v="0.1"/>
    <n v="0.09"/>
    <s v="ES-009-03/2014"/>
    <n v="662.5"/>
    <n v="0"/>
    <n v="662.5"/>
    <n v="217.5"/>
    <m/>
    <m/>
    <m/>
    <x v="1"/>
    <x v="20"/>
    <m/>
    <m/>
    <s v="MERIDIAN 5TH PRINCIPAL T12N R16W"/>
    <s v="SEC 11 NWNE NENW SENW E2NENWNW S2NWNW"/>
    <m/>
    <m/>
    <m/>
  </r>
  <r>
    <s v="LAES57896"/>
    <x v="2"/>
    <x v="0"/>
    <d v="2014-03-20T00:00:00"/>
    <d v="2014-05-01T00:00:00"/>
    <x v="74"/>
    <n v="2.86"/>
    <x v="180"/>
    <x v="3"/>
    <m/>
    <n v="0.1"/>
    <n v="0.09"/>
    <s v="ES-010-03/2014"/>
    <n v="165.5"/>
    <n v="30"/>
    <n v="195.5"/>
    <n v="4.5"/>
    <m/>
    <m/>
    <m/>
    <x v="1"/>
    <x v="20"/>
    <m/>
    <m/>
    <s v="MERIDIAN LOUSIANA T8N R12W"/>
    <s v="SEC 12 LOT 4"/>
    <m/>
    <m/>
    <m/>
  </r>
  <r>
    <s v="LAES57897"/>
    <x v="2"/>
    <x v="0"/>
    <d v="2014-03-20T00:00:00"/>
    <d v="2014-05-01T00:00:00"/>
    <x v="74"/>
    <n v="199.88"/>
    <x v="90"/>
    <x v="3"/>
    <m/>
    <n v="0.1"/>
    <n v="0.09"/>
    <s v="ES-011-03/2014"/>
    <n v="855"/>
    <n v="3200"/>
    <n v="4055"/>
    <n v="300"/>
    <m/>
    <m/>
    <m/>
    <x v="1"/>
    <x v="20"/>
    <m/>
    <m/>
    <s v="MERIDIAN LOUSIANA T18N R10W"/>
    <s v="SEC 4 N2NE E2NW SEC 6 NWNW"/>
    <m/>
    <m/>
    <m/>
  </r>
  <r>
    <s v="LAES57898"/>
    <x v="2"/>
    <x v="0"/>
    <d v="2014-03-20T00:00:00"/>
    <d v="2014-05-01T00:00:00"/>
    <x v="74"/>
    <n v="409.22"/>
    <x v="86"/>
    <x v="3"/>
    <m/>
    <n v="0.1"/>
    <n v="0.09"/>
    <s v="ES-012-03/2014"/>
    <n v="1590"/>
    <n v="5330"/>
    <n v="6920"/>
    <n v="615"/>
    <m/>
    <m/>
    <m/>
    <x v="1"/>
    <x v="20"/>
    <m/>
    <m/>
    <s v="MERIDIAN LOUSIANA T18N R15W"/>
    <s v="SEC 13 LOTS 1 &amp;2 SEC 14 LOTS 1-5 SEC 22 LOTS 1-3 SEC 24 LOTS 7-12 SEC 26 LOTS 1-4 SEC 36 LOTS 1-3"/>
    <m/>
    <m/>
    <m/>
  </r>
  <r>
    <s v="LAES57899"/>
    <x v="2"/>
    <x v="0"/>
    <d v="2014-03-20T00:00:00"/>
    <d v="2014-05-01T00:00:00"/>
    <x v="74"/>
    <n v="2193"/>
    <x v="90"/>
    <x v="3"/>
    <m/>
    <n v="0.1"/>
    <n v="0.09"/>
    <s v="ES-013-03/2014"/>
    <n v="7830.5"/>
    <n v="0"/>
    <n v="7830.5"/>
    <n v="3289.5"/>
    <m/>
    <m/>
    <m/>
    <x v="1"/>
    <x v="20"/>
    <m/>
    <m/>
    <s v="MERIDIAN LOUSIANA T18N R9W T19N R9W"/>
    <s v="T18N R10W T19N R10W. SEE ATTACHED PAGE ON ACTUAL LEASE FOR SECTIONS. "/>
    <m/>
    <m/>
    <m/>
  </r>
  <r>
    <s v="LAES57900"/>
    <x v="2"/>
    <x v="0"/>
    <d v="2014-03-20T00:00:00"/>
    <d v="2014-04-01T00:00:00"/>
    <x v="75"/>
    <n v="2040"/>
    <x v="90"/>
    <x v="3"/>
    <m/>
    <n v="0.1"/>
    <n v="0.09"/>
    <s v="ES-014-03/2014"/>
    <n v="7295"/>
    <n v="0"/>
    <n v="7295"/>
    <n v="3060"/>
    <m/>
    <m/>
    <m/>
    <x v="1"/>
    <x v="20"/>
    <m/>
    <m/>
    <s v="MERIDIAN LOUSIANA T18N R10W"/>
    <s v="SEC 1 ALL SEC 12 ALL SEC 13 ALL SEC 24 N2 LYING NORTH OF THE ILLINOIS CENTRAL RAILROAD RIGHT OF WAY "/>
    <m/>
    <m/>
    <m/>
  </r>
  <r>
    <s v="LAES57901"/>
    <x v="2"/>
    <x v="0"/>
    <d v="2014-03-20T00:00:00"/>
    <d v="2014-04-01T00:00:00"/>
    <x v="75"/>
    <n v="1860"/>
    <x v="90"/>
    <x v="3"/>
    <m/>
    <n v="0.1"/>
    <n v="0.09"/>
    <s v="ES-015-03/2014"/>
    <n v="6665"/>
    <n v="0"/>
    <n v="6665"/>
    <n v="2790"/>
    <m/>
    <m/>
    <m/>
    <x v="1"/>
    <x v="20"/>
    <m/>
    <m/>
    <s v="MERIDIAN LOUSIANA T18N R10W"/>
    <s v="SEC 2 S2N2 S2 SEC 11 ALL SEC 14 ALL SEC 23 N2 LYING NORTH OF THE ILLINOIS CENTRAIL RAILROAD RIGHT OF WAY "/>
    <m/>
    <m/>
    <m/>
  </r>
  <r>
    <s v="LAES57902"/>
    <x v="2"/>
    <x v="0"/>
    <d v="2014-03-20T00:00:00"/>
    <d v="2014-04-01T00:00:00"/>
    <x v="75"/>
    <n v="2461"/>
    <x v="90"/>
    <x v="3"/>
    <m/>
    <n v="0.1"/>
    <n v="0.09"/>
    <s v="ES-016-03/2014"/>
    <n v="8768.5"/>
    <n v="0"/>
    <n v="8768.5"/>
    <n v="3691.5"/>
    <m/>
    <m/>
    <m/>
    <x v="1"/>
    <x v="20"/>
    <m/>
    <m/>
    <s v="MERIDIAN LOUSIANA T18N R10W"/>
    <s v="SEC 3 S2NE SENW S2 SEC 10 N2 SW N2SE SWSE SEC 15 ALL SEC 16 ALL SEC 22 N2 LYING NORTH OF THE ILLINOIS CENTRAL RAILROAD"/>
    <m/>
    <m/>
    <m/>
  </r>
  <r>
    <s v="LAES57903"/>
    <x v="2"/>
    <x v="0"/>
    <d v="2014-03-20T00:00:00"/>
    <d v="2014-04-01T00:00:00"/>
    <x v="75"/>
    <n v="2325"/>
    <x v="90"/>
    <x v="3"/>
    <m/>
    <n v="0.1"/>
    <n v="0.09"/>
    <s v="ES-017-03/2014"/>
    <n v="8292.5"/>
    <n v="0"/>
    <n v="8292.5"/>
    <n v="3487.5"/>
    <m/>
    <m/>
    <m/>
    <x v="1"/>
    <x v="20"/>
    <m/>
    <m/>
    <s v="MERIDIAN LOUSIANA T18N R10W"/>
    <s v="SEC 4 S2 LYING SOUTH OF US HIGHWAY 80 SEC 5 S2 LYING SOUTH OF US HIGHWAY 80 SEC 8 E2NE W2 SE SEC 9 ALL SEC 17 ALL"/>
    <m/>
    <m/>
    <m/>
  </r>
  <r>
    <s v="LAES57904"/>
    <x v="2"/>
    <x v="0"/>
    <d v="2014-03-20T00:00:00"/>
    <d v="2014-05-01T00:00:00"/>
    <x v="74"/>
    <n v="1304.98"/>
    <x v="90"/>
    <x v="3"/>
    <m/>
    <n v="0.1"/>
    <n v="0.09"/>
    <s v="ES-018-03/2014"/>
    <n v="4722.5"/>
    <n v="0"/>
    <n v="4722.5"/>
    <n v="1957.5"/>
    <m/>
    <m/>
    <m/>
    <x v="1"/>
    <x v="20"/>
    <m/>
    <m/>
    <s v="MERIDIAN LOUSIANA T18N R10W"/>
    <s v="SEC 6 ALL THAT PART LYING SOUTH OF US HIGHWAY 80 SEC 7 ALL SEC 18 ALL"/>
    <m/>
    <m/>
    <m/>
  </r>
  <r>
    <s v="LAES57905"/>
    <x v="2"/>
    <x v="0"/>
    <d v="2014-03-20T00:00:00"/>
    <d v="2014-04-01T00:00:00"/>
    <x v="75"/>
    <n v="119.36"/>
    <x v="90"/>
    <x v="3"/>
    <m/>
    <n v="0.1"/>
    <n v="0.09"/>
    <s v="ES-019-03/2014"/>
    <n v="575"/>
    <n v="0"/>
    <n v="575"/>
    <n v="180"/>
    <m/>
    <m/>
    <m/>
    <x v="1"/>
    <x v="20"/>
    <m/>
    <m/>
    <s v="MERIDIAN LOUSIANA T18N R10W"/>
    <s v="SEC 8 W2NE SEC 10 SESE"/>
    <m/>
    <m/>
    <m/>
  </r>
  <r>
    <s v="LAES57906"/>
    <x v="2"/>
    <x v="0"/>
    <d v="2014-03-20T00:00:00"/>
    <d v="2014-05-01T00:00:00"/>
    <x v="74"/>
    <n v="1740"/>
    <x v="181"/>
    <x v="3"/>
    <m/>
    <n v="0.1"/>
    <n v="0.09"/>
    <s v="ES-020-03/2014"/>
    <n v="6245"/>
    <n v="0"/>
    <n v="6245"/>
    <n v="2610"/>
    <m/>
    <m/>
    <m/>
    <x v="1"/>
    <x v="20"/>
    <m/>
    <m/>
    <s v="MERIDIAN LOUSIANA T18N R10W T18N R11W"/>
    <s v="SEE ATTACHED PAGE ON ACTUAL LEASE FOR SECTIONS."/>
    <m/>
    <m/>
    <m/>
  </r>
  <r>
    <s v="LAES57907"/>
    <x v="2"/>
    <x v="0"/>
    <d v="2014-03-20T00:00:00"/>
    <d v="2014-04-01T00:00:00"/>
    <x v="75"/>
    <n v="1332"/>
    <x v="182"/>
    <x v="3"/>
    <m/>
    <n v="0.1"/>
    <n v="0.09"/>
    <s v="ES-021-03/2014"/>
    <n v="4817"/>
    <n v="0"/>
    <n v="4817"/>
    <n v="1998"/>
    <m/>
    <m/>
    <m/>
    <x v="1"/>
    <x v="20"/>
    <m/>
    <m/>
    <s v="MERIDIAN LOUSIANA T18N R11W "/>
    <s v="SEC 1 ALL THAT PART LYING SOUTH OF US HIGHWAY 80 SEC 12 ALL THAT PART LYING SOUTH OF US HIGHWAY 80 SEC 13 ALL"/>
    <m/>
    <m/>
    <m/>
  </r>
  <r>
    <s v="MSES57909"/>
    <x v="2"/>
    <x v="0"/>
    <d v="2014-03-20T00:00:00"/>
    <d v="2014-04-01T00:00:00"/>
    <x v="75"/>
    <n v="1040"/>
    <x v="13"/>
    <x v="4"/>
    <m/>
    <n v="0.1"/>
    <n v="0.09"/>
    <s v="ES-023-03/2014"/>
    <n v="3795"/>
    <n v="0"/>
    <n v="3795"/>
    <n v="1560"/>
    <m/>
    <m/>
    <m/>
    <x v="1"/>
    <x v="20"/>
    <m/>
    <m/>
    <s v="MERIDIAN ST.STEPHENS T6N R8W"/>
    <s v="SEC 11 NE NENW S2NW S2 SEC 15 SWNE W2 W2SE"/>
    <m/>
    <m/>
    <m/>
  </r>
  <r>
    <m/>
    <x v="1"/>
    <x v="1"/>
    <m/>
    <m/>
    <x v="1"/>
    <m/>
    <x v="1"/>
    <x v="1"/>
    <m/>
    <m/>
    <m/>
    <m/>
    <n v="65321.5"/>
    <n v="331525"/>
    <n v="396846.5"/>
    <m/>
    <m/>
    <m/>
    <m/>
    <x v="1"/>
    <x v="1"/>
    <m/>
    <m/>
    <m/>
    <m/>
    <m/>
    <m/>
    <m/>
  </r>
  <r>
    <m/>
    <x v="1"/>
    <x v="1"/>
    <m/>
    <m/>
    <x v="1"/>
    <m/>
    <x v="1"/>
    <x v="1"/>
    <m/>
    <m/>
    <m/>
    <m/>
    <m/>
    <m/>
    <m/>
    <m/>
    <m/>
    <m/>
    <m/>
    <x v="1"/>
    <x v="1"/>
    <m/>
    <m/>
    <m/>
    <m/>
    <m/>
    <m/>
    <m/>
  </r>
  <r>
    <s v="OKNM132418"/>
    <x v="2"/>
    <x v="0"/>
    <d v="2014-04-16T00:00:00"/>
    <d v="2014-06-01T00:00:00"/>
    <x v="70"/>
    <n v="27.66"/>
    <x v="183"/>
    <x v="5"/>
    <m/>
    <n v="0.1"/>
    <n v="0.09"/>
    <s v="201404-001"/>
    <n v="253"/>
    <n v="81144"/>
    <n v="81397"/>
    <n v="42"/>
    <m/>
    <m/>
    <m/>
    <x v="1"/>
    <x v="20"/>
    <m/>
    <m/>
    <s v="MERIDIAN IM T16N R24W "/>
    <s v="SEC 5 REMAINDER OF LOT 4 SEC 5 ACCR &amp; RIP TO LOT 4 SEE ATTACHED EXHIBIT ON LEASE FOR METES AND BOUNDS WITH MAP"/>
    <m/>
    <m/>
    <m/>
  </r>
  <r>
    <s v="TXNM132419"/>
    <x v="0"/>
    <x v="0"/>
    <d v="2014-04-16T00:00:00"/>
    <d v="2014-06-01T00:00:00"/>
    <x v="70"/>
    <n v="1273.76"/>
    <x v="18"/>
    <x v="0"/>
    <m/>
    <n v="0.1"/>
    <n v="0.09"/>
    <s v="201404-002"/>
    <n v="4614"/>
    <n v="284102"/>
    <n v="288716"/>
    <n v="1911"/>
    <m/>
    <m/>
    <m/>
    <x v="1"/>
    <x v="20"/>
    <m/>
    <m/>
    <s v="MERIDIAN TX "/>
    <s v="ACQUIRED LANDS WITH VARIED INTERESTS - PLEASE ACTUAL LEASE FOR DETAILED TRACTS &amp; INTEREST"/>
    <m/>
    <m/>
    <m/>
  </r>
  <r>
    <s v="TXNM132420"/>
    <x v="0"/>
    <x v="0"/>
    <d v="2014-04-16T00:00:00"/>
    <d v="2014-06-01T00:00:00"/>
    <x v="70"/>
    <n v="122"/>
    <x v="58"/>
    <x v="0"/>
    <m/>
    <n v="0.1"/>
    <n v="0.09"/>
    <s v="201404-003"/>
    <n v="582"/>
    <n v="3416"/>
    <n v="3998"/>
    <n v="183"/>
    <m/>
    <m/>
    <m/>
    <x v="1"/>
    <x v="20"/>
    <m/>
    <m/>
    <s v="MERIDIAN TX TRACTS S-38c S-1381"/>
    <s v="SEE ATTACHED EXHIBIT ON LEASE FOR METES AND BOUNDS WITH MAP"/>
    <m/>
    <m/>
    <m/>
  </r>
  <r>
    <s v="TXNM132423"/>
    <x v="0"/>
    <x v="0"/>
    <d v="2014-04-16T00:00:00"/>
    <d v="2014-06-01T00:00:00"/>
    <x v="70"/>
    <n v="237"/>
    <x v="58"/>
    <x v="0"/>
    <m/>
    <n v="0.1"/>
    <n v="0.09"/>
    <s v="201404-006"/>
    <n v="984.5"/>
    <n v="23700"/>
    <n v="24684.5"/>
    <n v="355.5"/>
    <m/>
    <m/>
    <m/>
    <x v="1"/>
    <x v="20"/>
    <m/>
    <m/>
    <s v="MERIDIAN TX TRACT S-1AL"/>
    <s v="SEE ATTACHED EXHIBIT ON LEASE FOR METES AND BOUNDS WITH MAP"/>
    <m/>
    <m/>
    <m/>
  </r>
  <r>
    <s v="TXNM132425"/>
    <x v="0"/>
    <x v="0"/>
    <d v="2014-04-16T00:00:00"/>
    <d v="2014-06-01T00:00:00"/>
    <x v="70"/>
    <n v="305"/>
    <x v="58"/>
    <x v="0"/>
    <m/>
    <n v="0.1"/>
    <n v="0.09"/>
    <s v="201404-008"/>
    <n v="1222.5"/>
    <n v="30500"/>
    <n v="31722.5"/>
    <n v="457.5"/>
    <m/>
    <m/>
    <m/>
    <x v="1"/>
    <x v="20"/>
    <m/>
    <m/>
    <s v="MERIDIAN TX TRACT S-14A"/>
    <s v="SEE ATTACHED EXHIBIT ON LEASE FOR METES AND BOUNDS WITH MAP"/>
    <m/>
    <m/>
    <m/>
  </r>
  <r>
    <m/>
    <x v="1"/>
    <x v="1"/>
    <m/>
    <m/>
    <x v="1"/>
    <m/>
    <x v="1"/>
    <x v="1"/>
    <m/>
    <m/>
    <m/>
    <m/>
    <n v="7656"/>
    <n v="422862"/>
    <n v="430518"/>
    <m/>
    <m/>
    <m/>
    <m/>
    <x v="1"/>
    <x v="1"/>
    <m/>
    <m/>
    <m/>
    <m/>
    <m/>
    <m/>
    <m/>
  </r>
  <r>
    <m/>
    <x v="1"/>
    <x v="1"/>
    <m/>
    <m/>
    <x v="1"/>
    <m/>
    <x v="1"/>
    <x v="1"/>
    <m/>
    <m/>
    <m/>
    <m/>
    <m/>
    <m/>
    <m/>
    <m/>
    <m/>
    <m/>
    <m/>
    <x v="1"/>
    <x v="1"/>
    <m/>
    <m/>
    <m/>
    <m/>
    <m/>
    <m/>
    <m/>
  </r>
  <r>
    <s v="ALES57928"/>
    <x v="2"/>
    <x v="0"/>
    <d v="2014-06-19T00:00:00"/>
    <d v="2014-09-01T00:00:00"/>
    <x v="76"/>
    <n v="80"/>
    <x v="105"/>
    <x v="6"/>
    <m/>
    <n v="0.1"/>
    <n v="0.09"/>
    <s v="ES-001-06/2014"/>
    <n v="435"/>
    <n v="16640"/>
    <n v="17075"/>
    <n v="120"/>
    <m/>
    <m/>
    <m/>
    <x v="1"/>
    <x v="20"/>
    <m/>
    <m/>
    <s v="MERIDIAN ST. STEPHENS T2N R7E"/>
    <s v="SEC 34 S2SW"/>
    <m/>
    <m/>
    <m/>
  </r>
  <r>
    <m/>
    <x v="1"/>
    <x v="1"/>
    <m/>
    <m/>
    <x v="1"/>
    <m/>
    <x v="1"/>
    <x v="1"/>
    <m/>
    <m/>
    <m/>
    <m/>
    <m/>
    <m/>
    <m/>
    <m/>
    <m/>
    <m/>
    <m/>
    <x v="1"/>
    <x v="1"/>
    <m/>
    <m/>
    <m/>
    <m/>
    <m/>
    <m/>
    <m/>
  </r>
  <r>
    <s v="ALES57966"/>
    <x v="2"/>
    <x v="0"/>
    <d v="2014-09-18T00:00:00"/>
    <d v="2014-11-01T00:00:00"/>
    <x v="77"/>
    <n v="40.049999999999997"/>
    <x v="24"/>
    <x v="6"/>
    <m/>
    <n v="0.05"/>
    <n v="4.4999999999999998E-2"/>
    <s v="ES-001-09/2014"/>
    <n v="43266.5"/>
    <n v="0"/>
    <n v="43266.5"/>
    <n v="61.5"/>
    <m/>
    <m/>
    <m/>
    <x v="108"/>
    <x v="20"/>
    <m/>
    <m/>
    <s v="MERIDIAN ST.STEPHENS T3N R14E"/>
    <s v="SEC 7 NWNE"/>
    <m/>
    <m/>
    <m/>
  </r>
  <r>
    <s v="ALES57967"/>
    <x v="2"/>
    <x v="0"/>
    <d v="2014-09-18T00:00:00"/>
    <d v="2014-11-01T00:00:00"/>
    <x v="77"/>
    <n v="40.200000000000003"/>
    <x v="184"/>
    <x v="6"/>
    <m/>
    <n v="0.05"/>
    <n v="4.4999999999999998E-2"/>
    <s v="ES-002-09/2014"/>
    <n v="6366.5"/>
    <n v="0"/>
    <n v="6366.5"/>
    <n v="61.5"/>
    <m/>
    <m/>
    <m/>
    <x v="108"/>
    <x v="20"/>
    <m/>
    <m/>
    <s v="MERIDIAN ST.STEPHENS T10N R3E"/>
    <s v="SEC 18 NENW"/>
    <m/>
    <m/>
    <m/>
  </r>
  <r>
    <m/>
    <x v="1"/>
    <x v="1"/>
    <m/>
    <m/>
    <x v="1"/>
    <m/>
    <x v="1"/>
    <x v="1"/>
    <m/>
    <m/>
    <m/>
    <m/>
    <n v="24816.5"/>
    <n v="0"/>
    <n v="24816.5"/>
    <m/>
    <m/>
    <m/>
    <m/>
    <x v="1"/>
    <x v="1"/>
    <m/>
    <m/>
    <m/>
    <m/>
    <m/>
    <m/>
    <m/>
  </r>
  <r>
    <m/>
    <x v="1"/>
    <x v="1"/>
    <m/>
    <m/>
    <x v="1"/>
    <m/>
    <x v="1"/>
    <x v="1"/>
    <m/>
    <m/>
    <m/>
    <m/>
    <m/>
    <m/>
    <m/>
    <m/>
    <m/>
    <m/>
    <m/>
    <x v="1"/>
    <x v="1"/>
    <m/>
    <m/>
    <m/>
    <m/>
    <m/>
    <m/>
    <m/>
  </r>
  <r>
    <s v="NMNM133492"/>
    <x v="2"/>
    <x v="0"/>
    <d v="2014-10-22T00:00:00"/>
    <d v="2015-11-01T00:00:00"/>
    <x v="78"/>
    <n v="1035"/>
    <x v="64"/>
    <x v="7"/>
    <m/>
    <n v="0.1"/>
    <n v="0.09"/>
    <s v="201410-001"/>
    <n v="3777.5"/>
    <n v="8280"/>
    <n v="12057.5"/>
    <n v="1552.5"/>
    <m/>
    <m/>
    <m/>
    <x v="1"/>
    <x v="18"/>
    <m/>
    <m/>
    <s v="MERIDIAN NMPM T0250N R0010E "/>
    <s v="SEC 16 ALL SEC 21 NWNE E2W2 SWSW N2NENE N2SWNE SWSWNE"/>
    <s v="W2SWNENE W2SESWNE S2NWSW W2W2SE SESWSE S2N2SESE SWSESE S2NESWSE"/>
    <m/>
    <m/>
  </r>
  <r>
    <s v="NMNM133493"/>
    <x v="2"/>
    <x v="0"/>
    <d v="2014-10-22T00:00:00"/>
    <d v="2015-11-01T00:00:00"/>
    <x v="78"/>
    <n v="676.28"/>
    <x v="64"/>
    <x v="7"/>
    <m/>
    <n v="0.1"/>
    <n v="0.09"/>
    <s v="201410-002"/>
    <n v="2524.5"/>
    <n v="52806"/>
    <n v="55330.5"/>
    <n v="1015.5"/>
    <m/>
    <m/>
    <m/>
    <x v="1"/>
    <x v="18"/>
    <m/>
    <m/>
    <s v="MERIDIAN NMPM T0260N R0010E "/>
    <s v="SEC 4 LOTS 3,4 SWNE SENW NWSE S2SE N2SWNW N2SWSWNW SESWSENW "/>
    <s v="SESWNW W2W2NESE SESWNESE S2SENESE SEC 9 LOTS 4 NE SEC 17 NE"/>
    <m/>
    <m/>
  </r>
  <r>
    <s v="NMNM133494"/>
    <x v="2"/>
    <x v="0"/>
    <d v="2014-10-22T00:00:00"/>
    <d v="2015-11-01T00:00:00"/>
    <x v="78"/>
    <n v="320"/>
    <x v="64"/>
    <x v="7"/>
    <m/>
    <n v="0.1"/>
    <n v="0.09"/>
    <s v="201410-003"/>
    <n v="1275"/>
    <n v="28160"/>
    <n v="29435"/>
    <n v="480"/>
    <m/>
    <m/>
    <m/>
    <x v="1"/>
    <x v="18"/>
    <m/>
    <m/>
    <s v="MERIDIAN NMPM T0260N R0010E "/>
    <s v="SEC 21 S2NE SEC 22 E2NW W2W2"/>
    <m/>
    <m/>
    <m/>
  </r>
  <r>
    <s v="NMNM133499"/>
    <x v="2"/>
    <x v="0"/>
    <d v="2014-10-22T00:00:00"/>
    <d v="2015-11-01T00:00:00"/>
    <x v="78"/>
    <n v="2081.62"/>
    <x v="46"/>
    <x v="7"/>
    <m/>
    <n v="0.1"/>
    <n v="0.09"/>
    <s v="201410-008"/>
    <n v="7442"/>
    <n v="16656"/>
    <n v="24098"/>
    <n v="3123"/>
    <m/>
    <m/>
    <m/>
    <x v="1"/>
    <x v="18"/>
    <m/>
    <m/>
    <s v="MERIDIAN NMPM T0220N R0010W "/>
    <s v="SEC 11 N2 SESW SE E2NESW E2W2NESW NWNWNESW SWSWNESW N2N2NWSW"/>
    <s v="SESENWSW NESWSW SENWSWSW S2SWSW SEC 12 LOTS 1-4 W2E2 W2 SEC 14 E2 N2NW S2SW NESWNW NWNWSENW E2NWSENW NESENW NESWSENW N2SESENW E2NWSW NENWNWSW S2NWNWSW SWNWSW S2NENESW W2NWNESW SENWNESW S2NESW SEC 15 N2N2 SWNE N2S2NW W2SENE N2SWSWNW SWSWSWNW NWSESWNW NWNWNWSW"/>
    <m/>
    <m/>
  </r>
  <r>
    <s v="NMNM133501"/>
    <x v="2"/>
    <x v="0"/>
    <d v="2014-10-22T00:00:00"/>
    <d v="2015-11-01T00:00:00"/>
    <x v="78"/>
    <n v="1572.7"/>
    <x v="64"/>
    <x v="7"/>
    <m/>
    <n v="0.1"/>
    <n v="0.09"/>
    <s v="201410-010"/>
    <n v="5660.5"/>
    <n v="154154"/>
    <n v="159814.5"/>
    <n v="2359.5"/>
    <m/>
    <m/>
    <m/>
    <x v="1"/>
    <x v="18"/>
    <m/>
    <m/>
    <s v="MERIDIAN NMPM T0230N R0010W "/>
    <s v="SEC 13 S2S2 NWSW NESE S2S2NESW NENWSE NWSWNESW NESENESW SENWNWSE"/>
    <s v="S2NWSE SEC 23 LOTS 1-4 E2 E2W2 SEC 24 ALL"/>
    <m/>
    <m/>
  </r>
  <r>
    <s v="NMNM133502"/>
    <x v="2"/>
    <x v="0"/>
    <d v="2014-10-22T00:00:00"/>
    <d v="2015-11-01T00:00:00"/>
    <x v="78"/>
    <n v="2242.62"/>
    <x v="46"/>
    <x v="7"/>
    <m/>
    <n v="0.1"/>
    <n v="0.09"/>
    <s v="201410-011"/>
    <n v="7925"/>
    <n v="128760"/>
    <n v="136685"/>
    <n v="3330"/>
    <m/>
    <m/>
    <m/>
    <x v="109"/>
    <x v="18"/>
    <m/>
    <m/>
    <s v="MERIDIAN NMPM T0230N R0010W "/>
    <s v="SEC 25 ALL SEC 26 LOTS 5,8 E2 E2NW NESW E2NWSW NENWNW E2NWNWNW "/>
    <s v="E2SENWNW PT OF LOT 1 E2NESWNW NWSWSWNW NESESWNW S2S2SWNW PT OF LOT 2 SEC 35 LOTS 1-8 E2NE SE SEC 36 ALL"/>
    <m/>
    <m/>
  </r>
  <r>
    <m/>
    <x v="1"/>
    <x v="1"/>
    <m/>
    <m/>
    <x v="1"/>
    <m/>
    <x v="1"/>
    <x v="1"/>
    <m/>
    <m/>
    <m/>
    <m/>
    <n v="28604.5"/>
    <n v="388816"/>
    <n v="417420.5"/>
    <m/>
    <m/>
    <m/>
    <m/>
    <x v="1"/>
    <x v="1"/>
    <m/>
    <m/>
    <m/>
    <m/>
    <m/>
    <m/>
    <m/>
  </r>
  <r>
    <m/>
    <x v="1"/>
    <x v="1"/>
    <m/>
    <m/>
    <x v="1"/>
    <m/>
    <x v="1"/>
    <x v="1"/>
    <m/>
    <m/>
    <m/>
    <m/>
    <m/>
    <m/>
    <m/>
    <m/>
    <m/>
    <m/>
    <m/>
    <x v="1"/>
    <x v="1"/>
    <m/>
    <m/>
    <m/>
    <m/>
    <m/>
    <m/>
    <m/>
  </r>
  <r>
    <s v="ARES58000"/>
    <x v="2"/>
    <x v="0"/>
    <d v="2015-03-19T00:00:00"/>
    <d v="2015-06-01T00:00:00"/>
    <x v="79"/>
    <n v="80"/>
    <x v="185"/>
    <x v="2"/>
    <m/>
    <n v="0.1"/>
    <n v="0.09"/>
    <s v="ES-001-03/2015"/>
    <n v="435"/>
    <n v="800"/>
    <n v="1235"/>
    <n v="120"/>
    <m/>
    <m/>
    <m/>
    <x v="1"/>
    <x v="18"/>
    <m/>
    <m/>
    <s v="MERIDIAN 5TH PM T7N R12W"/>
    <s v="SEC 29 S2NW"/>
    <m/>
    <m/>
    <m/>
  </r>
  <r>
    <s v="ARES58001"/>
    <x v="0"/>
    <x v="0"/>
    <d v="2015-03-19T00:00:00"/>
    <m/>
    <x v="1"/>
    <n v="39.57"/>
    <x v="186"/>
    <x v="2"/>
    <m/>
    <n v="0.1"/>
    <n v="0.09"/>
    <s v="ES-002-03/2015"/>
    <n v="295"/>
    <n v="54320"/>
    <n v="54615"/>
    <n v="60"/>
    <m/>
    <m/>
    <m/>
    <x v="110"/>
    <x v="1"/>
    <m/>
    <m/>
    <m/>
    <m/>
    <m/>
    <m/>
    <m/>
  </r>
  <r>
    <s v="LAES58002"/>
    <x v="2"/>
    <x v="0"/>
    <d v="2015-03-19T00:00:00"/>
    <d v="2015-06-01T00:00:00"/>
    <x v="79"/>
    <n v="28.38"/>
    <x v="86"/>
    <x v="3"/>
    <m/>
    <n v="0.1"/>
    <n v="0.09"/>
    <s v="ES-003-03/2015"/>
    <n v="256.5"/>
    <n v="1827"/>
    <n v="2083.5"/>
    <n v="43.5"/>
    <m/>
    <m/>
    <m/>
    <x v="1"/>
    <x v="18"/>
    <m/>
    <m/>
    <s v="MERIDIAN LOUISIANA T18N R15W"/>
    <s v="SEC 17 LOTS 1 AND 2 "/>
    <m/>
    <m/>
    <m/>
  </r>
  <r>
    <s v="LAES58003"/>
    <x v="2"/>
    <x v="0"/>
    <d v="2015-03-19T00:00:00"/>
    <d v="2015-06-01T00:00:00"/>
    <x v="79"/>
    <n v="171.41"/>
    <x v="86"/>
    <x v="3"/>
    <m/>
    <n v="0.1"/>
    <n v="0.09"/>
    <s v="ES-004-03/2015"/>
    <n v="757"/>
    <n v="2064"/>
    <n v="2821"/>
    <n v="258"/>
    <m/>
    <m/>
    <m/>
    <x v="1"/>
    <x v="18"/>
    <m/>
    <m/>
    <s v="MERIDIAN LOUISIANA T23N R15W"/>
    <s v="SEC 4 SWSW SEC 5 NWSE SEC 6 W2SW SESW SWSE"/>
    <m/>
    <m/>
    <m/>
  </r>
  <r>
    <s v="LAES58004"/>
    <x v="2"/>
    <x v="0"/>
    <d v="2015-03-19T00:00:00"/>
    <d v="2015-06-01T00:00:00"/>
    <x v="79"/>
    <n v="50.44"/>
    <x v="187"/>
    <x v="3"/>
    <m/>
    <n v="0.1"/>
    <n v="0.09"/>
    <s v="ES-005-03/2015"/>
    <n v="333.5"/>
    <n v="16473"/>
    <n v="16806.5"/>
    <n v="76.5"/>
    <m/>
    <m/>
    <m/>
    <x v="111"/>
    <x v="18"/>
    <m/>
    <m/>
    <s v="MERIDIAN LOUISIANA PM T6S R10E"/>
    <s v="SEC 59 ALL SEC 60 ALL"/>
    <m/>
    <m/>
    <m/>
  </r>
  <r>
    <s v="PAES58006"/>
    <x v="2"/>
    <x v="0"/>
    <d v="2015-03-19T00:00:00"/>
    <d v="2015-06-01T00:00:00"/>
    <x v="79"/>
    <n v="1134.8499999999999"/>
    <x v="188"/>
    <x v="15"/>
    <m/>
    <n v="0.1"/>
    <n v="0.09"/>
    <s v="ES-007-03/2015"/>
    <n v="4127.5"/>
    <n v="26105"/>
    <n v="30232.5"/>
    <n v="1702.5"/>
    <m/>
    <m/>
    <m/>
    <x v="112"/>
    <x v="18"/>
    <m/>
    <m/>
    <s v="MERIDIAN WARREN TOWNSHIP "/>
    <s v="TRCT 110 - 133.20 ACRS IN ST GAME LANDS 219, TRCT 111 - 188.50 ACRS IN ST GAME LANDS 219, TRCT 112 - 285.00 ACRS IN ST GAME LANDS 219, TRCT 113 - 111.15 ACRS IN ST GAME LANDS 219, TRCT 114 - 120.00 ACRS IN ST GAME LANDS 219, TRCT 115 - 180.00 ACRS IN ST GAME LANDS 219, TRCT 116 - 117.00 ACRS IN ST GAME LANDS 219"/>
    <m/>
    <m/>
    <m/>
  </r>
  <r>
    <s v="PAES58007"/>
    <x v="2"/>
    <x v="0"/>
    <d v="2015-03-19T00:00:00"/>
    <d v="2015-06-01T00:00:00"/>
    <x v="79"/>
    <n v="1112.06"/>
    <x v="188"/>
    <x v="15"/>
    <m/>
    <n v="0.1"/>
    <n v="0.09"/>
    <s v="ES-008-03/2015"/>
    <n v="4050.5"/>
    <n v="31164"/>
    <n v="35214.5"/>
    <n v="1669.5"/>
    <m/>
    <m/>
    <m/>
    <x v="112"/>
    <x v="18"/>
    <m/>
    <m/>
    <s v="MERIDIAN WARREN TOWNSHIP "/>
    <s v="TRCT 117 - 168.39 ACRS IN ST GAME LANDS 219, TRCT 118 - 110.00 ACRS IN ST GAME LANDS 219, TRCT 119 - 155.00 ACRS IN ST GAME LANDS 219, TRCT 120 - 90.00 ACRS IN ST GAME LANDS 219, TRCT 121 - 134.19 ACRS IN ST GAME LANDS 219, TRCT 122 - 174.50 ACRS IN ST GAME LANDS 219, TRCT 128 - 130.36 ACRS IN ST GAME LANDS 219, TRCT 129 - 149.62 ACRS IN ST GAME LANDS 219"/>
    <m/>
    <m/>
    <m/>
  </r>
  <r>
    <s v="PAES58008"/>
    <x v="2"/>
    <x v="0"/>
    <d v="2015-03-19T00:00:00"/>
    <d v="2015-06-01T00:00:00"/>
    <x v="79"/>
    <n v="931.76"/>
    <x v="188"/>
    <x v="15"/>
    <m/>
    <n v="0.1"/>
    <n v="0.09"/>
    <s v="ES-009-03/2015"/>
    <n v="3417"/>
    <n v="16776"/>
    <n v="20193"/>
    <n v="1398"/>
    <m/>
    <m/>
    <m/>
    <x v="112"/>
    <x v="18"/>
    <m/>
    <m/>
    <s v="MERIDIAN WARREN TOWNSHIP "/>
    <s v="TRCT 1200 - 179.56 ACRS IN ST GAME LANDS 219, TRCT 1204 - 78.00 ACRS IN ST GAME LANDS 219, TRCT 1205 - 123.00 ACRS IN ST GAME LANDS 219, TRCT 1207 - 137.00 ACRS IN ST GAME LANDS 219, TRCT 1208 - 191.00 ACRS IN ST GAME LANDS 219, TRCT 1209 - 223.20 ACRS IN ST GAME LANDS 219"/>
    <m/>
    <m/>
    <m/>
  </r>
  <r>
    <s v="PAES58009"/>
    <x v="2"/>
    <x v="0"/>
    <d v="2015-03-19T00:00:00"/>
    <d v="2015-06-01T00:00:00"/>
    <x v="79"/>
    <n v="617.19000000000005"/>
    <x v="188"/>
    <x v="15"/>
    <m/>
    <n v="0.1"/>
    <n v="0.09"/>
    <s v="ES-010-03/2015"/>
    <n v="2318"/>
    <n v="11124"/>
    <n v="13442"/>
    <n v="927"/>
    <m/>
    <m/>
    <m/>
    <x v="112"/>
    <x v="18"/>
    <m/>
    <m/>
    <s v="MERIDIAN WARREN TOWNSHIP "/>
    <s v="TRCT 1211 - 52.25 ACRS IN ST GAME LANDS 219, TRCT 1212 - 161.14 ACRS IN ST GAME LANDS 219, TRCT 1213 - 78.80 ACRS IN ST GAME LANDS 219, TRCT 1214 - 79.00 ACRS IN ST GAME LANDS 219, TRCT 1215 - 154.00 ACRS IN ST GAME LANDS 219, TRCT 1216 - 92.00 ACRS IN ST GAME LANDS 219"/>
    <m/>
    <m/>
    <m/>
  </r>
  <r>
    <s v="PAES58010"/>
    <x v="2"/>
    <x v="0"/>
    <d v="2015-03-19T00:00:00"/>
    <d v="2015-06-01T00:00:00"/>
    <x v="79"/>
    <n v="691.27"/>
    <x v="188"/>
    <x v="15"/>
    <m/>
    <n v="0.1"/>
    <n v="0.09"/>
    <s v="ES-011-03/2015"/>
    <n v="2577"/>
    <n v="15916"/>
    <n v="18493"/>
    <n v="1038"/>
    <m/>
    <m/>
    <m/>
    <x v="112"/>
    <x v="18"/>
    <m/>
    <m/>
    <s v="MERIDIAN WARREN TOWNSHIP "/>
    <s v="TRCT 1219 &amp; 1219A - 244.00 ACRS IN ST GAME LANDS 219, TRCT 1225 - 91.00 ACRS IN ST GAME LANDS 219, TRCT 1300 - 356.27 ACRS IN ST GAME LANDS 219"/>
    <m/>
    <m/>
    <m/>
  </r>
  <r>
    <m/>
    <x v="1"/>
    <x v="1"/>
    <m/>
    <m/>
    <x v="1"/>
    <m/>
    <x v="1"/>
    <x v="1"/>
    <m/>
    <m/>
    <m/>
    <m/>
    <n v="18567"/>
    <n v="176569"/>
    <n v="195136"/>
    <m/>
    <m/>
    <m/>
    <m/>
    <x v="1"/>
    <x v="1"/>
    <m/>
    <m/>
    <m/>
    <m/>
    <m/>
    <m/>
    <m/>
  </r>
  <r>
    <m/>
    <x v="1"/>
    <x v="1"/>
    <m/>
    <m/>
    <x v="1"/>
    <m/>
    <x v="1"/>
    <x v="1"/>
    <m/>
    <m/>
    <m/>
    <m/>
    <m/>
    <m/>
    <m/>
    <m/>
    <m/>
    <m/>
    <m/>
    <x v="1"/>
    <x v="1"/>
    <m/>
    <m/>
    <m/>
    <m/>
    <m/>
    <m/>
    <m/>
  </r>
  <r>
    <s v="NMNM134889"/>
    <x v="2"/>
    <x v="0"/>
    <d v="2015-07-22T00:00:00"/>
    <d v="2015-10-01T00:00:00"/>
    <x v="63"/>
    <n v="320"/>
    <x v="63"/>
    <x v="7"/>
    <m/>
    <n v="0.1"/>
    <n v="0.1"/>
    <s v="NM-201507-043"/>
    <n v="1275"/>
    <n v="95360"/>
    <n v="96635"/>
    <n v="480"/>
    <m/>
    <m/>
    <m/>
    <x v="1"/>
    <x v="18"/>
    <m/>
    <m/>
    <s v="MERIDIAN NMPM T0200S R0360E"/>
    <s v="SEC 017 S2"/>
    <m/>
    <m/>
    <m/>
  </r>
  <r>
    <s v="NMNM134892"/>
    <x v="2"/>
    <x v="0"/>
    <d v="2015-07-22T00:00:00"/>
    <d v="2015-10-01T00:00:00"/>
    <x v="63"/>
    <n v="159.86000000000001"/>
    <x v="63"/>
    <x v="7"/>
    <m/>
    <n v="0.1"/>
    <n v="0.1"/>
    <s v="NM-201507-046"/>
    <n v="715"/>
    <n v="31680"/>
    <n v="32395"/>
    <n v="240"/>
    <m/>
    <m/>
    <m/>
    <x v="1"/>
    <x v="18"/>
    <m/>
    <m/>
    <s v="MERIDIAN NMPM T0250S R0370E"/>
    <s v="SEC 031 LOTS 3,4; E2SW"/>
    <m/>
    <m/>
    <m/>
  </r>
  <r>
    <s v="OKNM134915"/>
    <x v="2"/>
    <x v="0"/>
    <d v="2015-07-22T00:00:00"/>
    <d v="2015-09-01T00:00:00"/>
    <x v="80"/>
    <n v="610"/>
    <x v="71"/>
    <x v="5"/>
    <m/>
    <n v="0.1"/>
    <n v="0.1"/>
    <s v="NM-201504-070"/>
    <n v="2290"/>
    <n v="65880"/>
    <n v="68170"/>
    <n v="915"/>
    <m/>
    <m/>
    <m/>
    <x v="1"/>
    <x v="18"/>
    <m/>
    <m/>
    <s v="MERIDIAN IM T0240N R0220W"/>
    <s v="SEC 029 NE, E2NW, S2; E2SWNW;  SEC 030 SENESE, E2SESE"/>
    <m/>
    <m/>
    <m/>
  </r>
  <r>
    <m/>
    <x v="1"/>
    <x v="1"/>
    <m/>
    <m/>
    <x v="1"/>
    <m/>
    <x v="1"/>
    <x v="1"/>
    <m/>
    <m/>
    <m/>
    <m/>
    <n v="4280"/>
    <n v="192920"/>
    <n v="197200"/>
    <m/>
    <m/>
    <m/>
    <m/>
    <x v="1"/>
    <x v="1"/>
    <m/>
    <m/>
    <m/>
    <m/>
    <m/>
    <m/>
    <m/>
  </r>
  <r>
    <m/>
    <x v="1"/>
    <x v="1"/>
    <m/>
    <m/>
    <x v="1"/>
    <m/>
    <x v="1"/>
    <x v="1"/>
    <m/>
    <m/>
    <m/>
    <m/>
    <m/>
    <m/>
    <m/>
    <m/>
    <m/>
    <m/>
    <m/>
    <x v="1"/>
    <x v="1"/>
    <m/>
    <m/>
    <m/>
    <m/>
    <m/>
    <m/>
    <m/>
  </r>
  <r>
    <s v="ARES58034"/>
    <x v="0"/>
    <x v="0"/>
    <d v="2015-07-28T00:00:00"/>
    <d v="2016-12-01T00:00:00"/>
    <x v="69"/>
    <n v="20"/>
    <x v="189"/>
    <x v="2"/>
    <m/>
    <n v="0.1"/>
    <n v="0.1"/>
    <s v="ES-001-07/15"/>
    <n v="225"/>
    <n v="0"/>
    <n v="225"/>
    <n v="30"/>
    <m/>
    <m/>
    <m/>
    <x v="1"/>
    <x v="19"/>
    <m/>
    <m/>
    <s v="MERIDIAN 5TH T11S R20W"/>
    <s v="SEC 13 S1/2 S1/2 SE1/4 SE1/4; SEC 21 N1/2 N1/2 SE1/4 SE 1/4"/>
    <m/>
    <m/>
    <m/>
  </r>
  <r>
    <s v="ARES58035"/>
    <x v="2"/>
    <x v="0"/>
    <d v="2015-07-28T00:00:00"/>
    <d v="2016-12-01T00:00:00"/>
    <x v="69"/>
    <n v="160"/>
    <x v="189"/>
    <x v="2"/>
    <m/>
    <n v="0.1"/>
    <n v="0.1"/>
    <s v="ES-002-07/15"/>
    <n v="715"/>
    <n v="0"/>
    <n v="715"/>
    <n v="240"/>
    <m/>
    <m/>
    <m/>
    <x v="1"/>
    <x v="19"/>
    <m/>
    <m/>
    <s v="MERIDIAN 5TH T13S R20W"/>
    <s v="SEC 14 W1/2 NW1/4 NE1/4; SEC 24 N1/2 SW1/4 NW1/4 SE1/4 S1/2 SW1/4 NE1/4"/>
    <m/>
    <m/>
    <m/>
  </r>
  <r>
    <s v="LAES58037"/>
    <x v="2"/>
    <x v="0"/>
    <d v="2015-07-28T00:00:00"/>
    <d v="2015-10-01T00:00:00"/>
    <x v="63"/>
    <n v="39.979999999999997"/>
    <x v="190"/>
    <x v="3"/>
    <m/>
    <n v="0.1"/>
    <n v="0.1"/>
    <s v="ES-004-07/15"/>
    <n v="295"/>
    <n v="47920"/>
    <n v="48215"/>
    <n v="61.5"/>
    <m/>
    <m/>
    <m/>
    <x v="1"/>
    <x v="18"/>
    <m/>
    <m/>
    <s v="MERIDIAN LOUISIANA T22N R15W"/>
    <s v="SEC 28 SESE"/>
    <m/>
    <m/>
    <m/>
  </r>
  <r>
    <s v="LAES58038"/>
    <x v="2"/>
    <x v="0"/>
    <d v="2015-07-28T00:00:00"/>
    <d v="2015-11-01T00:00:00"/>
    <x v="78"/>
    <n v="19.88"/>
    <x v="191"/>
    <x v="3"/>
    <m/>
    <n v="0.1"/>
    <n v="0.1"/>
    <s v="ES-005-07/15"/>
    <n v="225"/>
    <n v="4760"/>
    <n v="4985"/>
    <n v="30"/>
    <m/>
    <m/>
    <m/>
    <x v="1"/>
    <x v="18"/>
    <m/>
    <m/>
    <s v="MERIDIAN LOUISIANA T16S R13E"/>
    <s v="SEC 23 LOTS 7 AND 8 "/>
    <m/>
    <m/>
    <m/>
  </r>
  <r>
    <s v="MIES58039"/>
    <x v="2"/>
    <x v="0"/>
    <d v="2015-07-28T00:00:00"/>
    <d v="2015-10-01T00:00:00"/>
    <x v="63"/>
    <n v="39.299999999999997"/>
    <x v="123"/>
    <x v="9"/>
    <m/>
    <n v="0.1"/>
    <n v="0.1"/>
    <s v="ES-006-07/15"/>
    <n v="295"/>
    <n v="0"/>
    <n v="295"/>
    <n v="60"/>
    <m/>
    <m/>
    <m/>
    <x v="1"/>
    <x v="18"/>
    <m/>
    <m/>
    <s v="MERIDIAN MICHIGAN T14N R13W"/>
    <s v="SEC 6 NWNW"/>
    <m/>
    <m/>
    <m/>
  </r>
  <r>
    <s v="MIES58040"/>
    <x v="2"/>
    <x v="0"/>
    <d v="2015-07-28T00:00:00"/>
    <d v="2015-10-01T00:00:00"/>
    <x v="63"/>
    <n v="35.31"/>
    <x v="123"/>
    <x v="9"/>
    <m/>
    <n v="0.1"/>
    <n v="0.1"/>
    <s v="ES-007-07/15"/>
    <n v="281"/>
    <n v="0"/>
    <n v="281"/>
    <n v="54"/>
    <m/>
    <m/>
    <m/>
    <x v="1"/>
    <x v="18"/>
    <m/>
    <m/>
    <s v="MERIDIAN MICHIGAN T16N R14W"/>
    <s v="SEC 10 SENE"/>
    <m/>
    <m/>
    <m/>
  </r>
  <r>
    <s v="MIES58041"/>
    <x v="2"/>
    <x v="0"/>
    <d v="2015-07-28T00:00:00"/>
    <d v="2015-10-01T00:00:00"/>
    <x v="63"/>
    <n v="160"/>
    <x v="123"/>
    <x v="9"/>
    <m/>
    <n v="0.1"/>
    <n v="0.1"/>
    <s v="ES-008-07/15"/>
    <n v="715"/>
    <n v="0"/>
    <n v="715"/>
    <n v="240"/>
    <m/>
    <m/>
    <m/>
    <x v="1"/>
    <x v="18"/>
    <m/>
    <m/>
    <s v="MERIDIAN MICHIGAN T14N R11W"/>
    <s v="SEC 20 E2SW SEC 21 E2SE"/>
    <m/>
    <m/>
    <m/>
  </r>
  <r>
    <s v="MIES58042"/>
    <x v="2"/>
    <x v="0"/>
    <d v="2015-07-28T00:00:00"/>
    <d v="2015-10-01T00:00:00"/>
    <x v="63"/>
    <n v="480"/>
    <x v="74"/>
    <x v="9"/>
    <m/>
    <n v="0.1"/>
    <n v="0.1"/>
    <s v="ES-009-07/15"/>
    <n v="1835"/>
    <n v="0"/>
    <n v="1835"/>
    <n v="720"/>
    <m/>
    <m/>
    <m/>
    <x v="1"/>
    <x v="18"/>
    <m/>
    <m/>
    <s v="MERIDIAN MICHIGAN T20N R11W"/>
    <s v="SEC 8 E2SW SEC 16 N2NW N2NE SENE E2SE SWSE SEC 23 S2NE"/>
    <m/>
    <m/>
    <m/>
  </r>
  <r>
    <s v="MIES58043"/>
    <x v="2"/>
    <x v="0"/>
    <d v="2015-07-28T00:00:00"/>
    <d v="2015-10-01T00:00:00"/>
    <x v="63"/>
    <n v="760"/>
    <x v="123"/>
    <x v="9"/>
    <m/>
    <n v="0.1"/>
    <n v="0.1"/>
    <s v="ES-010-07/15"/>
    <n v="2815"/>
    <n v="3040"/>
    <n v="5855"/>
    <n v="1140"/>
    <m/>
    <m/>
    <m/>
    <x v="1"/>
    <x v="18"/>
    <m/>
    <m/>
    <s v="MERIDIAN MICHIGAN T14N R12W"/>
    <s v="SEC 6 NWNE SEC 7 ALL SEC 18 NWNE NENW"/>
    <m/>
    <m/>
    <m/>
  </r>
  <r>
    <s v="MIES58044"/>
    <x v="2"/>
    <x v="0"/>
    <d v="2015-07-28T00:00:00"/>
    <d v="2015-10-01T00:00:00"/>
    <x v="63"/>
    <n v="710"/>
    <x v="123"/>
    <x v="9"/>
    <m/>
    <n v="0.1"/>
    <n v="0.1"/>
    <s v="ES-011-07/15"/>
    <n v="2640"/>
    <n v="0"/>
    <n v="2640"/>
    <n v="1065"/>
    <m/>
    <m/>
    <m/>
    <x v="1"/>
    <x v="18"/>
    <m/>
    <m/>
    <s v="MERIDIAN MICHIGAN T15N R12W"/>
    <s v="SEC 4 S2SW SEC 8 S2NE SEC 16 N2NW E3/4SENW E2SW SESE"/>
    <s v="SEC 17 E2SW SEC 20 SENE NESE SEC 21 NWSW SWNW NENW SWNE"/>
    <m/>
    <m/>
  </r>
  <r>
    <s v="MIES58045"/>
    <x v="2"/>
    <x v="0"/>
    <d v="2015-07-28T00:00:00"/>
    <d v="2015-10-01T00:00:00"/>
    <x v="63"/>
    <n v="490"/>
    <x v="123"/>
    <x v="9"/>
    <m/>
    <n v="0.1"/>
    <n v="0.1"/>
    <s v="ES-012-07/15"/>
    <n v="1870"/>
    <n v="1960"/>
    <n v="3830"/>
    <n v="735"/>
    <m/>
    <m/>
    <m/>
    <x v="1"/>
    <x v="18"/>
    <m/>
    <m/>
    <s v="MERIDIAN MICHIGAN T15N R12W"/>
    <s v="SEC 30 E2NE SEC 31 NE SEC 32 N2NW EXC. NWNENW SW S2SESE"/>
    <m/>
    <m/>
    <m/>
  </r>
  <r>
    <s v="MIES58046"/>
    <x v="2"/>
    <x v="0"/>
    <d v="2015-07-28T00:00:00"/>
    <d v="2015-10-01T00:00:00"/>
    <x v="63"/>
    <n v="1131.8800000000001"/>
    <x v="123"/>
    <x v="9"/>
    <m/>
    <n v="0.1"/>
    <n v="0.1"/>
    <s v="ES-013-07/15"/>
    <n v="4117"/>
    <n v="0"/>
    <n v="4117"/>
    <n v="1698"/>
    <m/>
    <m/>
    <m/>
    <x v="1"/>
    <x v="18"/>
    <m/>
    <m/>
    <s v="MERIDIAN MICHIGAN T14N R13W"/>
    <s v="SEC 1 PART OF ENTIRE SECTION EXC. 100' WIDE PERE MARQUETTE "/>
    <s v="RR R/W CONTAINING 9.4 ACRES; SEC 2 PART OF NE EXC. 4.6875 AC. IN NW CORNER OF SWNE. ALSO EXC. 100' WIDE PERE MARQUETTE RR R/W PT. SE LYING E OF PMRR, W3/4NW"/>
    <m/>
    <m/>
  </r>
  <r>
    <s v="MIES58047"/>
    <x v="2"/>
    <x v="0"/>
    <d v="2015-07-28T00:00:00"/>
    <d v="2015-10-01T00:00:00"/>
    <x v="63"/>
    <n v="80"/>
    <x v="123"/>
    <x v="9"/>
    <m/>
    <n v="0.1"/>
    <n v="0.1"/>
    <s v="ES-014-07/15"/>
    <n v="435"/>
    <n v="0"/>
    <n v="435"/>
    <n v="120"/>
    <m/>
    <m/>
    <m/>
    <x v="1"/>
    <x v="18"/>
    <m/>
    <m/>
    <s v="MERIDIAN MICHIGAN T14N R13W"/>
    <s v="SEC 6 SESW SEC 7 NWNE"/>
    <m/>
    <m/>
    <m/>
  </r>
  <r>
    <s v="MIES58048"/>
    <x v="2"/>
    <x v="0"/>
    <d v="2015-07-28T00:00:00"/>
    <d v="2015-10-01T00:00:00"/>
    <x v="63"/>
    <n v="249.73"/>
    <x v="123"/>
    <x v="9"/>
    <m/>
    <n v="0.1"/>
    <n v="0.1"/>
    <s v="ES-015-07/15"/>
    <n v="1030"/>
    <n v="5750"/>
    <n v="6780"/>
    <n v="375"/>
    <m/>
    <m/>
    <m/>
    <x v="1"/>
    <x v="18"/>
    <m/>
    <m/>
    <s v="MERIDIAN MICHIGAN T15N R13W"/>
    <s v="SEC 25 N2NE SEC 26 NWNE E2NW N 30 AC. SE N2S2S2SE"/>
    <m/>
    <m/>
    <m/>
  </r>
  <r>
    <s v="MIES58049"/>
    <x v="2"/>
    <x v="0"/>
    <d v="2015-07-28T00:00:00"/>
    <d v="2015-10-01T00:00:00"/>
    <x v="63"/>
    <n v="72.28"/>
    <x v="123"/>
    <x v="9"/>
    <m/>
    <n v="0.1"/>
    <n v="0.1"/>
    <s v="ES-016-07/15"/>
    <n v="410.5"/>
    <n v="2044"/>
    <n v="2454.5"/>
    <n v="109.5"/>
    <m/>
    <m/>
    <m/>
    <x v="1"/>
    <x v="18"/>
    <m/>
    <m/>
    <s v="MERIDIAN MICHIGAN T15N R13W"/>
    <s v="SEC 30 W2NW"/>
    <m/>
    <m/>
    <m/>
  </r>
  <r>
    <s v="MIES58050"/>
    <x v="2"/>
    <x v="0"/>
    <d v="2015-07-28T00:00:00"/>
    <d v="2015-10-01T00:00:00"/>
    <x v="63"/>
    <n v="1059.92"/>
    <x v="123"/>
    <x v="9"/>
    <m/>
    <n v="0.1"/>
    <n v="0.1"/>
    <s v="ES-017-07/15"/>
    <n v="3865"/>
    <n v="0"/>
    <n v="3865"/>
    <n v="1590"/>
    <m/>
    <m/>
    <m/>
    <x v="1"/>
    <x v="18"/>
    <m/>
    <m/>
    <s v="MERIDIAN MICHIGAN T16N R13W"/>
    <s v="SEC 24 SESWNENW S2SENENW W2NWNENW NWSWNENW"/>
    <s v="NWNW N2S2NW S2SW SE SEC 25 ALL SEC 36 NWSW SESE"/>
    <m/>
    <m/>
  </r>
  <r>
    <s v="MIES58051"/>
    <x v="2"/>
    <x v="0"/>
    <d v="2015-07-28T00:00:00"/>
    <d v="2015-10-01T00:00:00"/>
    <x v="63"/>
    <n v="392.65"/>
    <x v="123"/>
    <x v="9"/>
    <m/>
    <n v="0.1"/>
    <n v="0.1"/>
    <s v="ES-018-07/15"/>
    <n v="1530.5"/>
    <n v="0"/>
    <n v="1530.5"/>
    <n v="589.5"/>
    <m/>
    <m/>
    <m/>
    <x v="1"/>
    <x v="18"/>
    <m/>
    <m/>
    <s v="MERIDIAN MICHIGAN T16N R13W"/>
    <s v="SEC 27 PT E2SWSW SEC 34 SWNE NENW NESW N2SE PT S2NW"/>
    <s v="EXC. 2.98 ACRS IN PMRR PT. NWNW LYING E OF E LINE OF PMRR R/W SESW SWSE"/>
    <m/>
    <m/>
  </r>
  <r>
    <s v="MIES58052"/>
    <x v="2"/>
    <x v="0"/>
    <d v="2015-07-28T00:00:00"/>
    <d v="2015-10-01T00:00:00"/>
    <x v="63"/>
    <n v="962.32"/>
    <x v="123"/>
    <x v="9"/>
    <m/>
    <n v="0.1"/>
    <n v="0.1"/>
    <s v="ES-019-07/15"/>
    <n v="3525.5"/>
    <n v="0"/>
    <n v="3525.5"/>
    <n v="1444.5"/>
    <m/>
    <m/>
    <m/>
    <x v="1"/>
    <x v="18"/>
    <m/>
    <m/>
    <s v="MERIDIAN MICHIGAN T16N R13W"/>
    <s v="SEC 15 E2SE W2NW SEC 16 S2 SEC 17 SESW S2SE SEC 19 NESE"/>
    <s v="SEC 20 N2 W2SW"/>
    <m/>
    <m/>
  </r>
  <r>
    <s v="MIES58053"/>
    <x v="2"/>
    <x v="0"/>
    <d v="2015-07-28T00:00:00"/>
    <d v="2015-10-01T00:00:00"/>
    <x v="63"/>
    <n v="884.68"/>
    <x v="123"/>
    <x v="9"/>
    <m/>
    <n v="0.1"/>
    <n v="0.1"/>
    <s v="ES-020-07/15"/>
    <n v="3252.5"/>
    <n v="0"/>
    <n v="3252.5"/>
    <n v="1327.5"/>
    <m/>
    <m/>
    <m/>
    <x v="1"/>
    <x v="18"/>
    <m/>
    <m/>
    <s v="MERIDIAN MICHIGAN T16N R13W"/>
    <s v="SEC 29 NWNW SW SESE SEC 30 NWSW E2SE "/>
    <s v="SEC 31 PT OF ENTIRE SECTION EXC. A STRIP 66' WIDE CONTAINING 9.52 AC. RUNNING ACROSS NWNW S2NW NESW S2SE &amp; SESE"/>
    <m/>
    <m/>
  </r>
  <r>
    <s v="MIES58054"/>
    <x v="2"/>
    <x v="0"/>
    <d v="2015-07-28T00:00:00"/>
    <d v="2015-09-01T00:00:00"/>
    <x v="80"/>
    <n v="110.64"/>
    <x v="123"/>
    <x v="9"/>
    <m/>
    <n v="0.1"/>
    <n v="0.1"/>
    <s v="ES-021-07/15"/>
    <n v="543.5"/>
    <n v="0"/>
    <n v="543.5"/>
    <n v="166.5"/>
    <m/>
    <m/>
    <m/>
    <x v="1"/>
    <x v="18"/>
    <m/>
    <m/>
    <s v="MERIDIAN MICHIGAN T19N R13W"/>
    <s v="SEC 17 W2NENWNW, PT N2SWNW N. OF RR PT. N2SWNW "/>
    <s v="S. OF RR EXC. STRIP 2 RODS WIDE ON W BOUNDARY AND STRIP 30' WIDE ON E BOUNDARY, SWSENW"/>
    <m/>
    <m/>
  </r>
  <r>
    <s v="MIES58055"/>
    <x v="2"/>
    <x v="0"/>
    <d v="2015-07-28T00:00:00"/>
    <d v="2015-09-01T00:00:00"/>
    <x v="80"/>
    <n v="936.81"/>
    <x v="123"/>
    <x v="9"/>
    <m/>
    <n v="0.1"/>
    <n v="0.1"/>
    <s v="ES-022-07/15"/>
    <n v="3434.5"/>
    <n v="0"/>
    <n v="3434.5"/>
    <n v="1405.5"/>
    <m/>
    <m/>
    <m/>
    <x v="1"/>
    <x v="18"/>
    <m/>
    <m/>
    <s v="MERIDIAN MICHIGAN T14N R14W"/>
    <s v="SEC 1 S2SENE NESE S2SE SEC 3 PART LOT 5 EXC. N 79 RODS OF W "/>
    <s v="60 RODS SEC 10 SENW SEC 11 PT. OF N2SENE EXC. 1 AC., S2SE NESW SESW EXC. 5 AC. OFF W SIDE 80 RODS N&amp;S AND 10 RODS WIDE SEC 12 SENW W2NW S2SW NE NENW N2SW W2SE"/>
    <m/>
    <m/>
  </r>
  <r>
    <s v="MIES58056"/>
    <x v="2"/>
    <x v="0"/>
    <d v="2015-07-28T00:00:00"/>
    <d v="2015-09-01T00:00:00"/>
    <x v="80"/>
    <n v="737.11"/>
    <x v="123"/>
    <x v="9"/>
    <m/>
    <n v="0.1"/>
    <n v="0.1"/>
    <s v="ES-023-07/15"/>
    <n v="2738"/>
    <n v="16974"/>
    <n v="19712"/>
    <n v="1107"/>
    <m/>
    <m/>
    <m/>
    <x v="1"/>
    <x v="18"/>
    <m/>
    <m/>
    <s v="MERIDIAN MICHIGAN T15N R14W"/>
    <s v="SEC 2 NWNW S2NW N2SW PT. N2S2SW LYING W OF SO. BRANCH"/>
    <s v="OF PERE MARQUETTE RIVER SEC 3 N2NE W2 SEC 11 S2NE SEC 12 SWNE "/>
    <m/>
    <m/>
  </r>
  <r>
    <s v="MIES58057"/>
    <x v="2"/>
    <x v="0"/>
    <d v="2015-07-28T00:00:00"/>
    <d v="2015-09-01T00:00:00"/>
    <x v="80"/>
    <n v="320"/>
    <x v="123"/>
    <x v="9"/>
    <m/>
    <n v="0.1"/>
    <n v="0.1"/>
    <s v="ES-024-07/15"/>
    <n v="1275"/>
    <n v="8960"/>
    <n v="10235"/>
    <n v="480"/>
    <m/>
    <m/>
    <m/>
    <x v="1"/>
    <x v="18"/>
    <m/>
    <m/>
    <s v="MERIDIAN MICHIGAN T15N R14W"/>
    <s v="SEC 13 NENE E2SW SEC 14 S2S2NE S2SE SEC 16 S2NE "/>
    <m/>
    <m/>
    <m/>
  </r>
  <r>
    <s v="MIES58058"/>
    <x v="2"/>
    <x v="0"/>
    <d v="2015-07-28T00:00:00"/>
    <d v="2015-09-01T00:00:00"/>
    <x v="80"/>
    <n v="484.85"/>
    <x v="123"/>
    <x v="9"/>
    <m/>
    <n v="0.1"/>
    <n v="0.1"/>
    <s v="ES-025-07/15"/>
    <n v="1852.5"/>
    <n v="11640"/>
    <n v="13492.5"/>
    <n v="727.5"/>
    <m/>
    <m/>
    <m/>
    <x v="1"/>
    <x v="18"/>
    <m/>
    <m/>
    <s v="MERIDIAN MICHIGAN T15N R14W"/>
    <s v="SEC 23 N2SE SESE W2NE E2NENW E2SENW E2SW SEC 24"/>
    <s v="W2SWSW N2NE PT E2SW ALL NORTH OF CENTERLINE OF COUNTY RD"/>
    <m/>
    <m/>
  </r>
  <r>
    <s v="MIES58059"/>
    <x v="2"/>
    <x v="0"/>
    <d v="2015-07-28T00:00:00"/>
    <d v="2015-09-01T00:00:00"/>
    <x v="80"/>
    <n v="1129.9100000000001"/>
    <x v="123"/>
    <x v="9"/>
    <m/>
    <n v="0.1"/>
    <n v="0.1"/>
    <s v="ES-026-07/15"/>
    <n v="4110"/>
    <n v="27120"/>
    <n v="31230"/>
    <n v="1695"/>
    <m/>
    <m/>
    <m/>
    <x v="1"/>
    <x v="18"/>
    <m/>
    <m/>
    <s v="MERIDIAN MICHIGAN T15N R14W"/>
    <s v="SEC 25 NWNE S2NE SENW SESW SE SEC 26 SENE NESE S2SE S2SW"/>
    <s v="NWSE SEC 34 NENE SEC 35 S2NW S2NE S2 OF LOT 1 SEC 36 NW N2SW"/>
    <m/>
    <m/>
  </r>
  <r>
    <s v="MIES58060"/>
    <x v="2"/>
    <x v="0"/>
    <d v="2015-07-28T00:00:00"/>
    <d v="2015-09-01T00:00:00"/>
    <x v="80"/>
    <n v="122.81"/>
    <x v="123"/>
    <x v="9"/>
    <m/>
    <n v="0.1"/>
    <n v="0.1"/>
    <s v="ES-027-07/15"/>
    <n v="585.5"/>
    <n v="0"/>
    <n v="585.5"/>
    <n v="184.5"/>
    <m/>
    <m/>
    <m/>
    <x v="1"/>
    <x v="18"/>
    <m/>
    <m/>
    <s v="MERIDIAN MICHIGAN T16N R14W"/>
    <s v="SEC 8 N2NE SENE"/>
    <m/>
    <m/>
    <m/>
  </r>
  <r>
    <s v="MIES58061"/>
    <x v="2"/>
    <x v="0"/>
    <d v="2015-07-28T00:00:00"/>
    <d v="2015-09-01T00:00:00"/>
    <x v="80"/>
    <n v="560"/>
    <x v="123"/>
    <x v="9"/>
    <m/>
    <n v="0.1"/>
    <n v="0.1"/>
    <s v="ES-028-07/15"/>
    <n v="2115"/>
    <n v="0"/>
    <n v="2115"/>
    <n v="840"/>
    <m/>
    <m/>
    <m/>
    <x v="1"/>
    <x v="18"/>
    <m/>
    <m/>
    <s v="MERIDIAN MICHIGAN T16N R14W"/>
    <s v="SEC 11 SE SEC 12 SWSW SEC 13 NENE S2NE S2SW SWSE N2SE"/>
    <s v="SEC 14 SESE"/>
    <m/>
    <m/>
  </r>
  <r>
    <s v="MIES58062"/>
    <x v="2"/>
    <x v="0"/>
    <d v="2015-07-28T00:00:00"/>
    <d v="2015-09-01T00:00:00"/>
    <x v="80"/>
    <n v="880"/>
    <x v="123"/>
    <x v="9"/>
    <m/>
    <n v="0.1"/>
    <n v="0.1"/>
    <s v="ES-029-07/15"/>
    <n v="3235"/>
    <n v="0"/>
    <n v="3235"/>
    <n v="1320"/>
    <m/>
    <m/>
    <m/>
    <x v="1"/>
    <x v="18"/>
    <m/>
    <m/>
    <s v="MERIDIAN MICHIGAN T16N R14W"/>
    <s v="SEC 23 E2NE SWNE S2NW SW SEC 24 NE W2NW SW W2SE SESE"/>
    <m/>
    <m/>
    <m/>
  </r>
  <r>
    <s v="MIES58063"/>
    <x v="2"/>
    <x v="0"/>
    <d v="2015-07-28T00:00:00"/>
    <d v="2015-09-01T00:00:00"/>
    <x v="80"/>
    <n v="1080"/>
    <x v="123"/>
    <x v="9"/>
    <m/>
    <n v="0.1"/>
    <n v="0.1"/>
    <s v="ES-030-07/15"/>
    <n v="3935"/>
    <n v="0"/>
    <n v="3935"/>
    <n v="1620"/>
    <m/>
    <m/>
    <m/>
    <x v="1"/>
    <x v="18"/>
    <m/>
    <m/>
    <s v="MERIDIAN MICHIGAN T16N R14W"/>
    <s v="SEC 25 NW NE NESW S2SW N2SE SEC 26 E2 NW N2SW"/>
    <m/>
    <m/>
    <m/>
  </r>
  <r>
    <s v="MIES58064"/>
    <x v="2"/>
    <x v="0"/>
    <d v="2015-07-28T00:00:00"/>
    <d v="2015-09-01T00:00:00"/>
    <x v="80"/>
    <n v="239"/>
    <x v="123"/>
    <x v="9"/>
    <m/>
    <n v="0.1"/>
    <n v="0.1"/>
    <s v="ES-031-07/15"/>
    <n v="991.5"/>
    <n v="0"/>
    <n v="991.5"/>
    <n v="358.5"/>
    <m/>
    <m/>
    <m/>
    <x v="1"/>
    <x v="18"/>
    <m/>
    <m/>
    <s v="MERIDIAN MICHIGAN T15N R12W"/>
    <s v="SEC 5 PT. N2 LYING W OF LITTLE S. BRANCH PM RIVER EXC. PARCEL"/>
    <s v="BEG. AT SE CORNER OF SWNE THENCE W 10 RODS; THENCE N TO SAID RIVER THEN SE'LY ALONG RIVER TO BEG., PT. N2 LYING E OF LITTLE S. BRANCH PM RIVER EXC. S 330' OF SWNE LYING E OF SAID RIVER, EXC. SENE &amp; NENE"/>
    <m/>
    <m/>
  </r>
  <r>
    <s v="MIES58065"/>
    <x v="2"/>
    <x v="0"/>
    <d v="2015-07-28T00:00:00"/>
    <d v="2015-09-01T00:00:00"/>
    <x v="80"/>
    <n v="45"/>
    <x v="123"/>
    <x v="9"/>
    <m/>
    <n v="0.1"/>
    <n v="0.1"/>
    <s v="ES-032-07/15"/>
    <n v="312.5"/>
    <n v="0"/>
    <n v="312.5"/>
    <n v="67.5"/>
    <m/>
    <m/>
    <m/>
    <x v="113"/>
    <x v="18"/>
    <m/>
    <m/>
    <s v="MERIDIAN MICHIGAN T15N R12W"/>
    <s v="SEC 32 E3/4N3/4S2NE"/>
    <m/>
    <m/>
    <m/>
  </r>
  <r>
    <s v="MIES58066"/>
    <x v="2"/>
    <x v="0"/>
    <d v="2015-07-28T00:00:00"/>
    <d v="2015-09-01T00:00:00"/>
    <x v="80"/>
    <n v="40"/>
    <x v="123"/>
    <x v="9"/>
    <m/>
    <n v="0.1"/>
    <n v="0.1"/>
    <s v="ES-033-07/15"/>
    <n v="295"/>
    <n v="0"/>
    <n v="295"/>
    <n v="60"/>
    <m/>
    <m/>
    <m/>
    <x v="114"/>
    <x v="18"/>
    <m/>
    <m/>
    <s v="MERIDIAN MICHIGAN T16N R12W"/>
    <s v="SEC 32 SWSW"/>
    <m/>
    <m/>
    <m/>
  </r>
  <r>
    <s v="MIES58067"/>
    <x v="2"/>
    <x v="0"/>
    <d v="2015-07-28T00:00:00"/>
    <d v="2015-09-01T00:00:00"/>
    <x v="80"/>
    <n v="1157.3"/>
    <x v="123"/>
    <x v="9"/>
    <m/>
    <n v="0.1"/>
    <n v="0.1"/>
    <s v="ES-034-07/15"/>
    <n v="4208"/>
    <n v="0"/>
    <n v="4208"/>
    <n v="1737"/>
    <m/>
    <m/>
    <m/>
    <x v="115"/>
    <x v="18"/>
    <m/>
    <m/>
    <s v="MERIDIAN MICHIGAN T16N R14W"/>
    <s v="SEC 18 N2 E2SW SE SEC 19 NWNW E2NW E2SW W2SE SESE"/>
    <s v="SEC 30 E2NE E2NW W2E2"/>
    <m/>
    <m/>
  </r>
  <r>
    <s v="MIES58068"/>
    <x v="2"/>
    <x v="0"/>
    <d v="2015-07-28T00:00:00"/>
    <d v="2015-09-01T00:00:00"/>
    <x v="80"/>
    <n v="720"/>
    <x v="123"/>
    <x v="9"/>
    <m/>
    <n v="0.1"/>
    <n v="0.1"/>
    <s v="ES-035-07/15"/>
    <n v="2675"/>
    <n v="0"/>
    <n v="2675"/>
    <n v="1080"/>
    <m/>
    <m/>
    <m/>
    <x v="115"/>
    <x v="18"/>
    <m/>
    <m/>
    <s v="MERIDIAN MICHIGAN T16N R13W"/>
    <s v="SEC 17 SENE NESE SEC 20 SE E2SW SEC 29 NENW S2NW NE W2SE"/>
    <s v="NESE"/>
    <m/>
    <m/>
  </r>
  <r>
    <s v="MIES58069"/>
    <x v="2"/>
    <x v="0"/>
    <d v="2015-07-28T00:00:00"/>
    <d v="2015-09-01T00:00:00"/>
    <x v="80"/>
    <n v="158.09"/>
    <x v="123"/>
    <x v="9"/>
    <m/>
    <n v="0.1"/>
    <n v="0.1"/>
    <s v="ES-036-07/15"/>
    <n v="711.5"/>
    <n v="0"/>
    <n v="711.5"/>
    <n v="238.5"/>
    <m/>
    <m/>
    <m/>
    <x v="116"/>
    <x v="18"/>
    <m/>
    <m/>
    <s v="MERIDIAN MICHIGAN T16N R13W"/>
    <s v="SEC 19 NE"/>
    <m/>
    <m/>
    <m/>
  </r>
  <r>
    <s v="MIES58070"/>
    <x v="2"/>
    <x v="0"/>
    <d v="2015-07-28T00:00:00"/>
    <d v="2015-09-01T00:00:00"/>
    <x v="80"/>
    <n v="120"/>
    <x v="123"/>
    <x v="9"/>
    <m/>
    <n v="0.1"/>
    <n v="0.1"/>
    <s v="ES-037-07/15"/>
    <n v="575"/>
    <n v="2880"/>
    <n v="3455"/>
    <n v="180"/>
    <m/>
    <m/>
    <m/>
    <x v="114"/>
    <x v="18"/>
    <m/>
    <m/>
    <s v="MERIDIAN MICHIGAN T15N R14W"/>
    <s v="SEC 23 W3/4NW"/>
    <m/>
    <m/>
    <m/>
  </r>
  <r>
    <s v="MIES58071"/>
    <x v="2"/>
    <x v="0"/>
    <d v="2015-07-28T00:00:00"/>
    <d v="2015-09-01T00:00:00"/>
    <x v="80"/>
    <n v="40"/>
    <x v="123"/>
    <x v="9"/>
    <m/>
    <n v="0.1"/>
    <n v="0.1"/>
    <s v="ES-038-07/15"/>
    <n v="295"/>
    <n v="960"/>
    <n v="1255"/>
    <n v="60"/>
    <m/>
    <m/>
    <m/>
    <x v="117"/>
    <x v="18"/>
    <m/>
    <m/>
    <s v="MERIDIAN MICHIGAN T15N R14W"/>
    <s v="SEC 35 NWNE"/>
    <m/>
    <m/>
    <m/>
  </r>
  <r>
    <s v="MIES58072"/>
    <x v="2"/>
    <x v="0"/>
    <d v="2015-07-28T00:00:00"/>
    <d v="2015-09-01T00:00:00"/>
    <x v="80"/>
    <n v="160"/>
    <x v="123"/>
    <x v="9"/>
    <m/>
    <n v="0.1"/>
    <n v="0.1"/>
    <s v="ES-039-07/15"/>
    <n v="715"/>
    <n v="0"/>
    <n v="715"/>
    <n v="240"/>
    <m/>
    <m/>
    <m/>
    <x v="118"/>
    <x v="18"/>
    <m/>
    <m/>
    <s v="MERIDIAN MICHIGAN T16N R14W"/>
    <s v="SEC 13 SESE SEC 24 NENW NESE SEC 25 NWSW"/>
    <m/>
    <m/>
    <m/>
  </r>
  <r>
    <m/>
    <x v="1"/>
    <x v="1"/>
    <m/>
    <m/>
    <x v="1"/>
    <m/>
    <x v="1"/>
    <x v="1"/>
    <m/>
    <m/>
    <m/>
    <m/>
    <n v="64679.5"/>
    <n v="134008"/>
    <n v="198687.5"/>
    <m/>
    <m/>
    <m/>
    <m/>
    <x v="1"/>
    <x v="1"/>
    <m/>
    <m/>
    <m/>
    <m/>
    <m/>
    <m/>
    <m/>
  </r>
  <r>
    <m/>
    <x v="1"/>
    <x v="1"/>
    <m/>
    <m/>
    <x v="1"/>
    <m/>
    <x v="1"/>
    <x v="1"/>
    <m/>
    <m/>
    <m/>
    <m/>
    <m/>
    <m/>
    <m/>
    <m/>
    <m/>
    <m/>
    <m/>
    <x v="1"/>
    <x v="1"/>
    <m/>
    <m/>
    <m/>
    <m/>
    <m/>
    <m/>
    <m/>
  </r>
  <r>
    <s v="NDM110663"/>
    <x v="2"/>
    <x v="0"/>
    <d v="2018-09-11T00:00:00"/>
    <d v="2018-11-01T00:00:00"/>
    <x v="81"/>
    <n v="40.1"/>
    <x v="192"/>
    <x v="16"/>
    <m/>
    <n v="0.1"/>
    <n v="0.1"/>
    <s v="NDM97300-LW"/>
    <n v="303.5"/>
    <n v="1066"/>
    <n v="1369.5"/>
    <n v="61.5"/>
    <m/>
    <m/>
    <m/>
    <x v="1"/>
    <x v="21"/>
    <m/>
    <m/>
    <s v="MERIDIAN 5TH PM T130N R104W"/>
    <s v="SEC 6 LOT 1"/>
    <m/>
    <m/>
    <m/>
  </r>
  <r>
    <s v="NDM110665"/>
    <x v="2"/>
    <x v="0"/>
    <d v="2018-09-11T00:00:00"/>
    <d v="2018-11-01T00:00:00"/>
    <x v="81"/>
    <n v="960.32"/>
    <x v="192"/>
    <x v="16"/>
    <m/>
    <n v="0.1"/>
    <n v="0.1"/>
    <s v="NDM97300-ET"/>
    <n v="3523.5"/>
    <n v="3844"/>
    <n v="7367.5"/>
    <n v="1441.5"/>
    <m/>
    <m/>
    <m/>
    <x v="1"/>
    <x v="21"/>
    <m/>
    <m/>
    <s v="MERIDIAN 5TH PM T129N R105W"/>
    <s v="SEC 2 LOTS 1-4 SEC 2 S2NE E2SE; SEC 8 NWNE N2NW SENW; SEC 15 N2NW"/>
    <s v="SEC 20 E2NE; SEC 28 W2NE N2NW; SEC 32 SESW SWSE; SEC 35 S2SE "/>
    <m/>
    <m/>
  </r>
  <r>
    <s v="NDM110666"/>
    <x v="2"/>
    <x v="0"/>
    <d v="2018-09-11T00:00:00"/>
    <d v="2018-11-01T00:00:00"/>
    <x v="81"/>
    <n v="800"/>
    <x v="192"/>
    <x v="16"/>
    <m/>
    <n v="0.1"/>
    <n v="0.1"/>
    <s v="NDM97300-EU"/>
    <n v="2960"/>
    <n v="800"/>
    <n v="3760"/>
    <n v="1200"/>
    <m/>
    <m/>
    <m/>
    <x v="1"/>
    <x v="21"/>
    <m/>
    <m/>
    <s v="MERIDIAN 5TH PM T129N R105W"/>
    <s v="SEC 5 S2NE SENW SWSW N2SE SESE ;SEC 9 NESE; SEC 14 NENW S2NW NESW"/>
    <s v="SEC 17 NESE; SEC 19 E2SW NWSE S2SE; SEC 23 SESE; SEC 31 NENE"/>
    <m/>
    <m/>
  </r>
  <r>
    <s v="NDM110667"/>
    <x v="2"/>
    <x v="0"/>
    <d v="2018-09-11T00:00:00"/>
    <d v="2018-11-01T00:00:00"/>
    <x v="81"/>
    <n v="638.49"/>
    <x v="192"/>
    <x v="16"/>
    <m/>
    <n v="0.1"/>
    <n v="0.1"/>
    <s v="NDM97300-EW"/>
    <n v="2396.5"/>
    <n v="639"/>
    <n v="3035.5"/>
    <n v="958.5"/>
    <m/>
    <m/>
    <m/>
    <x v="1"/>
    <x v="21"/>
    <m/>
    <m/>
    <s v="MERIDIAN 5TH PM T129N R105W"/>
    <s v="SEC 6 LOTS 4,5,7; SEC 10 SWNW, NWSW, S2SW, SWSE; SEC 18 SESE;  "/>
    <s v="SEC 29 NENW SE; SEC 30 N2NE"/>
    <m/>
    <m/>
  </r>
  <r>
    <s v="NDM110668"/>
    <x v="2"/>
    <x v="0"/>
    <d v="2018-09-11T00:00:00"/>
    <d v="2018-11-01T00:00:00"/>
    <x v="81"/>
    <n v="560"/>
    <x v="192"/>
    <x v="16"/>
    <m/>
    <n v="0.1"/>
    <n v="0.1"/>
    <s v="NDM97300-EV"/>
    <n v="2120"/>
    <n v="560"/>
    <n v="2680"/>
    <n v="840"/>
    <m/>
    <m/>
    <m/>
    <x v="1"/>
    <x v="21"/>
    <m/>
    <m/>
    <s v="MERIDIAN 5TH PM T129N R105W"/>
    <s v="SEC 10 S2NE SENW NESW N2SE SESE; SEC 11 S2NW SW; SEC 14 NWNW"/>
    <m/>
    <m/>
    <m/>
  </r>
  <r>
    <s v="NDM110669"/>
    <x v="2"/>
    <x v="0"/>
    <d v="2018-09-11T00:00:00"/>
    <d v="2018-11-01T00:00:00"/>
    <x v="81"/>
    <n v="40"/>
    <x v="192"/>
    <x v="16"/>
    <m/>
    <n v="0.1"/>
    <n v="0.1"/>
    <s v="NDM12757-BB"/>
    <n v="300"/>
    <n v="360"/>
    <n v="660"/>
    <n v="60"/>
    <m/>
    <m/>
    <m/>
    <x v="1"/>
    <x v="21"/>
    <m/>
    <m/>
    <s v="MERIDIAN 5TH PM T129N R105W"/>
    <s v="SEC 15 NENE"/>
    <m/>
    <m/>
    <m/>
  </r>
  <r>
    <s v="NDM110670"/>
    <x v="2"/>
    <x v="0"/>
    <d v="2018-09-11T00:00:00"/>
    <d v="2018-11-01T00:00:00"/>
    <x v="81"/>
    <n v="440"/>
    <x v="192"/>
    <x v="16"/>
    <m/>
    <n v="0.1"/>
    <n v="0.1"/>
    <s v="NDM12757-WA"/>
    <n v="1700"/>
    <n v="5280"/>
    <n v="6980"/>
    <n v="660"/>
    <m/>
    <m/>
    <m/>
    <x v="1"/>
    <x v="21"/>
    <m/>
    <m/>
    <s v="MERIDIAN 5TH PM T130N R105W"/>
    <s v="SEC 11 SENW E2SW; SEC 26 S2NW SW S2SE"/>
    <m/>
    <m/>
    <m/>
  </r>
  <r>
    <s v="NDM110671"/>
    <x v="2"/>
    <x v="0"/>
    <d v="2018-09-11T00:00:00"/>
    <d v="2018-11-01T00:00:00"/>
    <x v="81"/>
    <n v="834.84"/>
    <x v="192"/>
    <x v="16"/>
    <m/>
    <n v="0.1"/>
    <n v="0.1"/>
    <s v="NDM97300-EO"/>
    <n v="3082.5"/>
    <n v="7515"/>
    <n v="10597.5"/>
    <n v="1252.5"/>
    <m/>
    <m/>
    <m/>
    <x v="1"/>
    <x v="21"/>
    <m/>
    <m/>
    <s v="MERIDIAN 5TH PM T130N R105W"/>
    <s v="SEC 19 LOTS 1,4; SEC 19 NENW SESW; SEC22 SWSW; SEC 31"/>
    <m/>
    <m/>
    <m/>
  </r>
  <r>
    <s v="NDM110672"/>
    <x v="2"/>
    <x v="0"/>
    <d v="2018-09-11T00:00:00"/>
    <d v="2018-11-01T00:00:00"/>
    <x v="81"/>
    <n v="1076.32"/>
    <x v="192"/>
    <x v="16"/>
    <m/>
    <n v="0.1"/>
    <n v="0.1"/>
    <s v="NDM97300-EP"/>
    <n v="3929.5"/>
    <n v="1077"/>
    <n v="5006.5"/>
    <n v="1615.5"/>
    <m/>
    <m/>
    <m/>
    <x v="1"/>
    <x v="21"/>
    <m/>
    <m/>
    <s v="MERIDIAN 5TH PM T130N R105W"/>
    <s v="SEC 30 LOTS 1-4; SEC 30 NWNE S2NE E2NW E2SW; SEC 35"/>
    <m/>
    <m/>
    <m/>
  </r>
  <r>
    <s v="NDM110673"/>
    <x v="2"/>
    <x v="0"/>
    <d v="2018-09-11T00:00:00"/>
    <d v="2018-11-01T00:00:00"/>
    <x v="81"/>
    <n v="520"/>
    <x v="192"/>
    <x v="16"/>
    <m/>
    <n v="0.1"/>
    <n v="0.1"/>
    <s v="NDM97300-EQ"/>
    <n v="1980"/>
    <n v="520"/>
    <n v="2500"/>
    <n v="780"/>
    <m/>
    <m/>
    <m/>
    <x v="1"/>
    <x v="21"/>
    <m/>
    <m/>
    <s v="MERIDIAN 5TH PM T130N R105W"/>
    <s v="SEC 32 W2NW N2SW SWSW SESE; SEC 33 NE W2SE; SEC 34 NESE "/>
    <m/>
    <m/>
    <m/>
  </r>
  <r>
    <s v="NDM110675"/>
    <x v="2"/>
    <x v="0"/>
    <d v="2018-09-11T00:00:00"/>
    <d v="2018-11-01T00:00:00"/>
    <x v="81"/>
    <n v="880.16"/>
    <x v="192"/>
    <x v="16"/>
    <m/>
    <n v="0.1"/>
    <n v="0.1"/>
    <s v="NDM97300-EM"/>
    <n v="3243.5"/>
    <n v="1762"/>
    <n v="5005.5"/>
    <n v="1321.5"/>
    <m/>
    <m/>
    <m/>
    <x v="1"/>
    <x v="21"/>
    <m/>
    <m/>
    <s v="MERIDIAN 5TH PM T132 N R105W"/>
    <s v="SEC 6 LOTS 1-4; SEC 18 LOT 1; SEC 18 E2NE NENW; SEC 20"/>
    <m/>
    <m/>
    <m/>
  </r>
  <r>
    <s v="NDM110676"/>
    <x v="2"/>
    <x v="0"/>
    <d v="2018-09-11T00:00:00"/>
    <d v="2018-11-01T00:00:00"/>
    <x v="81"/>
    <n v="440"/>
    <x v="192"/>
    <x v="16"/>
    <m/>
    <n v="0.1"/>
    <n v="0.1"/>
    <s v="NDM97300-ER"/>
    <n v="1700"/>
    <n v="1320"/>
    <n v="3020"/>
    <n v="660"/>
    <m/>
    <m/>
    <m/>
    <x v="1"/>
    <x v="21"/>
    <m/>
    <m/>
    <s v="MERIDIAN 5TH PM T129N R106W"/>
    <s v="SEC 11 N2 N2SE; SEC 18 NENE"/>
    <m/>
    <m/>
    <m/>
  </r>
  <r>
    <s v="NDM110677"/>
    <x v="2"/>
    <x v="0"/>
    <d v="2018-09-11T00:00:00"/>
    <d v="2018-11-01T00:00:00"/>
    <x v="81"/>
    <n v="720"/>
    <x v="192"/>
    <x v="16"/>
    <m/>
    <n v="0.1"/>
    <n v="0.1"/>
    <s v="NDM97300-ES"/>
    <n v="2680"/>
    <n v="720"/>
    <n v="3400"/>
    <n v="1080"/>
    <m/>
    <m/>
    <m/>
    <x v="1"/>
    <x v="21"/>
    <m/>
    <m/>
    <s v="MERIDIAN 5TH PM T129N R106W"/>
    <s v="SEC 12; SEC 20 S2NW"/>
    <m/>
    <m/>
    <m/>
  </r>
  <r>
    <s v="NDM110679"/>
    <x v="2"/>
    <x v="0"/>
    <d v="2018-09-11T00:00:00"/>
    <d v="2018-11-01T00:00:00"/>
    <x v="81"/>
    <n v="160"/>
    <x v="192"/>
    <x v="16"/>
    <m/>
    <n v="0.1"/>
    <n v="0.1"/>
    <s v="NDM97300-EL"/>
    <n v="720"/>
    <n v="640"/>
    <n v="1360"/>
    <n v="240"/>
    <m/>
    <m/>
    <m/>
    <x v="1"/>
    <x v="21"/>
    <m/>
    <m/>
    <s v="MERIDIAN 5TH PM T132N R106W"/>
    <s v="SEC 12 N2NE N2NW"/>
    <m/>
    <m/>
    <m/>
  </r>
  <r>
    <s v="NDM110683"/>
    <x v="2"/>
    <x v="0"/>
    <d v="2018-09-11T00:00:00"/>
    <d v="2018-11-01T00:00:00"/>
    <x v="81"/>
    <n v="320"/>
    <x v="192"/>
    <x v="16"/>
    <m/>
    <n v="0.1"/>
    <n v="0.1"/>
    <s v="NDM97300-4B"/>
    <n v="1280"/>
    <n v="27840"/>
    <n v="29120"/>
    <n v="480"/>
    <m/>
    <m/>
    <m/>
    <x v="1"/>
    <x v="21"/>
    <m/>
    <m/>
    <s v="MERIDIAN 5TH PM T131N R107W"/>
    <s v="SEC 11 S2NW SW W2SE"/>
    <m/>
    <m/>
    <m/>
  </r>
  <r>
    <s v="SDM110685"/>
    <x v="2"/>
    <x v="0"/>
    <d v="2018-09-11T00:00:00"/>
    <d v="2018-11-01T00:00:00"/>
    <x v="81"/>
    <n v="880"/>
    <x v="193"/>
    <x v="17"/>
    <m/>
    <n v="0.1"/>
    <n v="0.1"/>
    <s v="SDM97300-TQ"/>
    <n v="3240"/>
    <n v="1760"/>
    <n v="5000"/>
    <n v="1320"/>
    <m/>
    <m/>
    <m/>
    <x v="1"/>
    <x v="21"/>
    <m/>
    <m/>
    <s v="MERIDIAN BHM T11S R1E"/>
    <s v="SEC 27 SW S2SE; SEC 34"/>
    <m/>
    <m/>
    <m/>
  </r>
  <r>
    <s v="SDM110686"/>
    <x v="2"/>
    <x v="0"/>
    <d v="2018-09-11T00:00:00"/>
    <d v="2018-11-01T00:00:00"/>
    <x v="81"/>
    <n v="720"/>
    <x v="193"/>
    <x v="17"/>
    <m/>
    <n v="0.1"/>
    <n v="0.1"/>
    <s v="SDM97300-TL"/>
    <n v="2680"/>
    <n v="1440"/>
    <n v="4120"/>
    <n v="1080"/>
    <m/>
    <m/>
    <m/>
    <x v="1"/>
    <x v="21"/>
    <m/>
    <m/>
    <s v="MERIDIAN BHM T12S R2E"/>
    <s v="SEC 11 NW NESW NWSE S2SE; SEC 12 NE E2NW E2SW; SEC 14 N2NE"/>
    <m/>
    <m/>
    <m/>
  </r>
  <r>
    <s v="SDM110687"/>
    <x v="2"/>
    <x v="0"/>
    <d v="2018-09-11T00:00:00"/>
    <d v="2018-11-01T00:00:00"/>
    <x v="81"/>
    <n v="200"/>
    <x v="193"/>
    <x v="17"/>
    <m/>
    <n v="0.1"/>
    <n v="0.1"/>
    <s v="SDM97300-TM"/>
    <n v="860"/>
    <n v="1800"/>
    <n v="2660"/>
    <n v="300"/>
    <m/>
    <m/>
    <m/>
    <x v="1"/>
    <x v="21"/>
    <m/>
    <m/>
    <s v="MERIDIAN BHM T12S R2E"/>
    <s v="SEC 11 NWSW; SEC 12 SE"/>
    <m/>
    <m/>
    <m/>
  </r>
  <r>
    <m/>
    <x v="1"/>
    <x v="1"/>
    <m/>
    <m/>
    <x v="1"/>
    <m/>
    <x v="1"/>
    <x v="1"/>
    <m/>
    <m/>
    <m/>
    <m/>
    <n v="38699"/>
    <n v="58943"/>
    <n v="97642"/>
    <m/>
    <m/>
    <m/>
    <m/>
    <x v="1"/>
    <x v="1"/>
    <m/>
    <m/>
    <m/>
    <m/>
    <m/>
    <m/>
    <m/>
  </r>
  <r>
    <m/>
    <x v="1"/>
    <x v="1"/>
    <m/>
    <m/>
    <x v="1"/>
    <m/>
    <x v="1"/>
    <x v="1"/>
    <m/>
    <m/>
    <m/>
    <m/>
    <m/>
    <m/>
    <m/>
    <m/>
    <m/>
    <m/>
    <m/>
    <x v="1"/>
    <x v="1"/>
    <m/>
    <m/>
    <m/>
    <m/>
    <m/>
    <m/>
    <m/>
  </r>
  <r>
    <s v="ARES059333"/>
    <x v="2"/>
    <x v="0"/>
    <d v="2018-09-20T00:00:00"/>
    <d v="2018-10-01T00:00:00"/>
    <x v="82"/>
    <n v="80"/>
    <x v="34"/>
    <x v="2"/>
    <m/>
    <n v="0.1"/>
    <n v="0.1"/>
    <s v="ES-001-09/2018"/>
    <n v="440"/>
    <n v="0"/>
    <n v="440"/>
    <n v="120"/>
    <m/>
    <m/>
    <m/>
    <x v="1"/>
    <x v="21"/>
    <m/>
    <m/>
    <s v="MERIDIAN 5TH T13N R12W"/>
    <s v="SEC 36 S2SE"/>
    <m/>
    <m/>
    <m/>
  </r>
  <r>
    <s v="ARES059334"/>
    <x v="2"/>
    <x v="0"/>
    <d v="2018-09-20T00:00:00"/>
    <d v="2018-10-01T00:00:00"/>
    <x v="82"/>
    <n v="40"/>
    <x v="194"/>
    <x v="2"/>
    <m/>
    <n v="0.1"/>
    <n v="0.1"/>
    <s v="ES-002-09/2018"/>
    <n v="300"/>
    <n v="0"/>
    <n v="300"/>
    <n v="60"/>
    <m/>
    <m/>
    <m/>
    <x v="1"/>
    <x v="21"/>
    <m/>
    <m/>
    <s v="MERIDIAN 5TH T12N R11W"/>
    <s v="SEC 36 SESE"/>
    <m/>
    <m/>
    <m/>
  </r>
  <r>
    <s v="ARES059335"/>
    <x v="2"/>
    <x v="0"/>
    <d v="2018-09-20T00:00:00"/>
    <d v="2018-10-01T00:00:00"/>
    <x v="82"/>
    <n v="40"/>
    <x v="194"/>
    <x v="2"/>
    <m/>
    <n v="0.1"/>
    <n v="0.1"/>
    <s v="ES-003-09/2018"/>
    <n v="300"/>
    <n v="0"/>
    <n v="300"/>
    <n v="60"/>
    <m/>
    <m/>
    <m/>
    <x v="1"/>
    <x v="21"/>
    <m/>
    <m/>
    <s v="MERIDIAN 5TH T12N R11W"/>
    <s v="SEC 24 SWSW"/>
    <m/>
    <m/>
    <m/>
  </r>
  <r>
    <s v="ARES059336"/>
    <x v="2"/>
    <x v="0"/>
    <d v="2018-09-20T00:00:00"/>
    <d v="2018-10-01T00:00:00"/>
    <x v="82"/>
    <n v="40"/>
    <x v="194"/>
    <x v="2"/>
    <m/>
    <n v="0.1"/>
    <n v="0.1"/>
    <s v="ES-004-09/2018"/>
    <n v="300"/>
    <n v="0"/>
    <n v="300"/>
    <n v="60"/>
    <m/>
    <m/>
    <m/>
    <x v="1"/>
    <x v="21"/>
    <m/>
    <m/>
    <s v="MERIDIAN 5TH T12N R11W"/>
    <s v="SEC 4 SESW"/>
    <m/>
    <m/>
    <m/>
  </r>
  <r>
    <s v="ARES059337"/>
    <x v="2"/>
    <x v="0"/>
    <d v="2018-09-20T00:00:00"/>
    <d v="2018-10-01T00:00:00"/>
    <x v="82"/>
    <n v="40"/>
    <x v="194"/>
    <x v="2"/>
    <m/>
    <n v="0.1"/>
    <n v="0.1"/>
    <s v="ES-005-09/2018"/>
    <n v="300"/>
    <n v="0"/>
    <n v="300"/>
    <n v="60"/>
    <m/>
    <m/>
    <m/>
    <x v="1"/>
    <x v="21"/>
    <m/>
    <m/>
    <s v="MERIDIAN 5TH T12N R11W"/>
    <s v="SEC 23 SESE"/>
    <m/>
    <m/>
    <m/>
  </r>
  <r>
    <s v="ARES059346"/>
    <x v="2"/>
    <x v="0"/>
    <d v="2018-09-20T00:00:00"/>
    <d v="2018-10-01T00:00:00"/>
    <x v="82"/>
    <n v="20"/>
    <x v="194"/>
    <x v="2"/>
    <m/>
    <n v="0.1"/>
    <n v="0.1"/>
    <s v="ES-006-09/2018"/>
    <n v="230"/>
    <n v="0"/>
    <n v="230"/>
    <n v="30"/>
    <m/>
    <m/>
    <m/>
    <x v="1"/>
    <x v="21"/>
    <m/>
    <m/>
    <s v="MERIDIAN 5TH T11N R12W"/>
    <s v="SEC 1 W2NWNE"/>
    <m/>
    <m/>
    <m/>
  </r>
  <r>
    <s v="ARES059347"/>
    <x v="2"/>
    <x v="0"/>
    <d v="2018-09-20T00:00:00"/>
    <d v="2018-10-01T00:00:00"/>
    <x v="82"/>
    <n v="13.2"/>
    <x v="194"/>
    <x v="2"/>
    <m/>
    <n v="0.1"/>
    <n v="0.1"/>
    <s v="ES-007-09/2018"/>
    <n v="209"/>
    <n v="0"/>
    <n v="209"/>
    <n v="21"/>
    <m/>
    <m/>
    <m/>
    <x v="1"/>
    <x v="21"/>
    <m/>
    <m/>
    <s v="MERIDIAN 5TH T12N R8W"/>
    <s v="SEC 2 Fractional NW"/>
    <m/>
    <m/>
    <m/>
  </r>
  <r>
    <s v="ARES059348"/>
    <x v="2"/>
    <x v="0"/>
    <d v="2018-09-20T00:00:00"/>
    <d v="2018-10-01T00:00:00"/>
    <x v="82"/>
    <n v="80"/>
    <x v="194"/>
    <x v="2"/>
    <m/>
    <n v="0.1"/>
    <n v="0.1"/>
    <s v="ES-008-09/2018"/>
    <n v="440"/>
    <n v="0"/>
    <n v="440"/>
    <n v="120"/>
    <m/>
    <m/>
    <m/>
    <x v="1"/>
    <x v="21"/>
    <m/>
    <m/>
    <s v="MERIDIAN 5TH T12N R8W"/>
    <s v="SEC 8 NENE NWSE"/>
    <m/>
    <m/>
    <m/>
  </r>
  <r>
    <s v="MIES059338"/>
    <x v="2"/>
    <x v="0"/>
    <d v="2018-09-20T00:00:00"/>
    <d v="2018-10-01T00:00:00"/>
    <x v="82"/>
    <n v="120"/>
    <x v="107"/>
    <x v="9"/>
    <m/>
    <n v="0.1"/>
    <n v="0.1"/>
    <s v="ES-009-09/2018"/>
    <n v="580"/>
    <n v="0"/>
    <n v="580"/>
    <n v="180"/>
    <m/>
    <m/>
    <m/>
    <x v="1"/>
    <x v="21"/>
    <m/>
    <m/>
    <s v="MERIDIAN 5TH T11N R15W"/>
    <s v="SEC 3 SWNE S2NW"/>
    <m/>
    <m/>
    <m/>
  </r>
  <r>
    <s v="MIES059339"/>
    <x v="2"/>
    <x v="0"/>
    <d v="2018-09-20T00:00:00"/>
    <d v="2018-10-01T00:00:00"/>
    <x v="82"/>
    <n v="1006.86"/>
    <x v="107"/>
    <x v="9"/>
    <m/>
    <n v="0.1"/>
    <n v="0.1"/>
    <s v="ES-010-09/2018"/>
    <n v="3684.5"/>
    <n v="0"/>
    <n v="3684.5"/>
    <n v="1510.5"/>
    <m/>
    <m/>
    <m/>
    <x v="1"/>
    <x v="21"/>
    <m/>
    <m/>
    <s v="MERIDIAN 5TH T11N R15W"/>
    <s v="SEC 4 E2NW W2NW SW NESE; SEC 5 E2 E2NW; SEC 9 NE N2NW"/>
    <m/>
    <m/>
    <m/>
  </r>
  <r>
    <s v="MIES059340"/>
    <x v="2"/>
    <x v="0"/>
    <d v="2018-09-20T00:00:00"/>
    <d v="2018-10-01T00:00:00"/>
    <x v="82"/>
    <n v="100"/>
    <x v="107"/>
    <x v="9"/>
    <m/>
    <n v="0.1"/>
    <n v="0.1"/>
    <s v="ES-011-09/2018"/>
    <n v="510"/>
    <n v="0"/>
    <n v="510"/>
    <n v="150"/>
    <m/>
    <m/>
    <m/>
    <x v="1"/>
    <x v="21"/>
    <m/>
    <m/>
    <s v="MERIDIAN 5TH T11N R15W"/>
    <s v="SEC 7 E2SE E2SWSE"/>
    <m/>
    <m/>
    <m/>
  </r>
  <r>
    <s v="MIES059341"/>
    <x v="2"/>
    <x v="0"/>
    <d v="2018-09-20T00:00:00"/>
    <d v="2018-10-01T00:00:00"/>
    <x v="82"/>
    <n v="1040"/>
    <x v="107"/>
    <x v="9"/>
    <m/>
    <n v="0.1"/>
    <n v="0.1"/>
    <s v="ES-012-09/2018"/>
    <n v="3800"/>
    <n v="0"/>
    <n v="3800"/>
    <n v="1560"/>
    <m/>
    <m/>
    <m/>
    <x v="1"/>
    <x v="21"/>
    <m/>
    <m/>
    <s v="MERIDIAN 5TH T11N R15W"/>
    <s v="SEC 8 NWNE SENE NESW W2SW N2SE SWSE; SEC 16 N2NW; SEC 17 ALL"/>
    <m/>
    <m/>
    <m/>
  </r>
  <r>
    <s v="MIES059349"/>
    <x v="2"/>
    <x v="0"/>
    <d v="2018-09-20T00:00:00"/>
    <d v="2018-10-01T00:00:00"/>
    <x v="82"/>
    <n v="340"/>
    <x v="107"/>
    <x v="9"/>
    <m/>
    <n v="0.1"/>
    <n v="0.1"/>
    <s v="ES-013-09/2018"/>
    <n v="1350"/>
    <n v="0"/>
    <n v="1350"/>
    <n v="510"/>
    <m/>
    <m/>
    <m/>
    <x v="1"/>
    <x v="21"/>
    <m/>
    <m/>
    <s v="MERIDIAN 5TH T11N R15W"/>
    <s v="SEC 18 E2NE SENW E2SW N2SE E2SWSE SESE"/>
    <m/>
    <m/>
    <m/>
  </r>
  <r>
    <s v="MIES059351"/>
    <x v="2"/>
    <x v="0"/>
    <d v="2018-09-20T00:00:00"/>
    <d v="2018-10-01T00:00:00"/>
    <x v="82"/>
    <n v="80"/>
    <x v="107"/>
    <x v="9"/>
    <m/>
    <n v="0.1"/>
    <n v="0.1"/>
    <s v="ES-014-09/2018"/>
    <n v="440"/>
    <n v="0"/>
    <n v="440"/>
    <n v="120"/>
    <m/>
    <m/>
    <m/>
    <x v="1"/>
    <x v="21"/>
    <m/>
    <m/>
    <s v="MERIDIAN 5TH T11N R15W"/>
    <s v="SEC 15 W2SE"/>
    <m/>
    <m/>
    <m/>
  </r>
  <r>
    <s v="MIES059352"/>
    <x v="2"/>
    <x v="0"/>
    <d v="2018-09-20T00:00:00"/>
    <d v="2018-10-01T00:00:00"/>
    <x v="82"/>
    <n v="40"/>
    <x v="107"/>
    <x v="9"/>
    <m/>
    <n v="0.1"/>
    <n v="0.1"/>
    <s v="ES-015-09/2018"/>
    <n v="300"/>
    <n v="0"/>
    <n v="300"/>
    <n v="60"/>
    <m/>
    <m/>
    <m/>
    <x v="1"/>
    <x v="21"/>
    <m/>
    <m/>
    <s v="MERIDIAN 5TH T12N R16W"/>
    <s v="SEC 34 NWSE"/>
    <m/>
    <m/>
    <m/>
  </r>
  <r>
    <s v="MIES059353"/>
    <x v="2"/>
    <x v="0"/>
    <d v="2018-09-20T00:00:00"/>
    <d v="2018-10-01T00:00:00"/>
    <x v="82"/>
    <n v="40"/>
    <x v="107"/>
    <x v="9"/>
    <m/>
    <n v="0.1"/>
    <n v="0.1"/>
    <s v="ES-016-09/2018"/>
    <n v="300"/>
    <n v="0"/>
    <n v="300"/>
    <n v="60"/>
    <m/>
    <m/>
    <m/>
    <x v="1"/>
    <x v="21"/>
    <m/>
    <m/>
    <s v="MERIDIAN 5TH T11N R15W"/>
    <s v="SEC 11 NESW"/>
    <m/>
    <m/>
    <m/>
  </r>
  <r>
    <m/>
    <x v="1"/>
    <x v="1"/>
    <m/>
    <m/>
    <x v="1"/>
    <m/>
    <x v="1"/>
    <x v="1"/>
    <m/>
    <m/>
    <m/>
    <m/>
    <n v="13483.5"/>
    <n v="0"/>
    <n v="13483.5"/>
    <m/>
    <m/>
    <m/>
    <m/>
    <x v="1"/>
    <x v="1"/>
    <m/>
    <m/>
    <m/>
    <m/>
    <m/>
    <m/>
    <m/>
  </r>
  <r>
    <m/>
    <x v="1"/>
    <x v="1"/>
    <m/>
    <m/>
    <x v="1"/>
    <m/>
    <x v="1"/>
    <x v="1"/>
    <m/>
    <m/>
    <m/>
    <m/>
    <m/>
    <m/>
    <m/>
    <m/>
    <m/>
    <m/>
    <m/>
    <x v="1"/>
    <x v="1"/>
    <m/>
    <m/>
    <m/>
    <m/>
    <m/>
    <m/>
    <m/>
  </r>
  <r>
    <s v="UTU93534"/>
    <x v="2"/>
    <x v="0"/>
    <d v="2018-09-11T00:00:00"/>
    <d v="2018-11-01T00:00:00"/>
    <x v="81"/>
    <n v="896.97"/>
    <x v="195"/>
    <x v="18"/>
    <m/>
    <n v="0.1"/>
    <n v="0.1"/>
    <s v="UT0918-106"/>
    <n v="4196.5"/>
    <n v="0"/>
    <n v="4196.5"/>
    <n v="1345.5"/>
    <m/>
    <m/>
    <m/>
    <x v="1"/>
    <x v="21"/>
    <m/>
    <m/>
    <s v="MERIDIAN SLM T23S R16E"/>
    <s v="SEC 11 LOTS 3, 9-11, 14, NWNW, W2SW; SEC 14 ALL"/>
    <m/>
    <m/>
    <m/>
  </r>
  <r>
    <m/>
    <x v="1"/>
    <x v="1"/>
    <m/>
    <m/>
    <x v="1"/>
    <m/>
    <x v="1"/>
    <x v="1"/>
    <m/>
    <m/>
    <m/>
    <m/>
    <m/>
    <m/>
    <m/>
    <m/>
    <m/>
    <m/>
    <m/>
    <x v="1"/>
    <x v="1"/>
    <m/>
    <m/>
    <m/>
    <m/>
    <m/>
    <m/>
    <m/>
  </r>
  <r>
    <m/>
    <x v="1"/>
    <x v="1"/>
    <m/>
    <m/>
    <x v="1"/>
    <m/>
    <x v="1"/>
    <x v="1"/>
    <m/>
    <m/>
    <m/>
    <m/>
    <n v="4196.5"/>
    <n v="0"/>
    <n v="4196.5"/>
    <m/>
    <m/>
    <m/>
    <m/>
    <x v="1"/>
    <x v="1"/>
    <m/>
    <m/>
    <m/>
    <m/>
    <m/>
    <m/>
    <m/>
  </r>
  <r>
    <m/>
    <x v="1"/>
    <x v="1"/>
    <m/>
    <m/>
    <x v="1"/>
    <m/>
    <x v="1"/>
    <x v="1"/>
    <m/>
    <m/>
    <m/>
    <m/>
    <m/>
    <m/>
    <m/>
    <m/>
    <m/>
    <m/>
    <m/>
    <x v="1"/>
    <x v="1"/>
    <m/>
    <m/>
    <m/>
    <m/>
    <m/>
    <m/>
    <m/>
  </r>
  <r>
    <s v="NMNM138869"/>
    <x v="2"/>
    <x v="0"/>
    <d v="2018-09-05T00:00:00"/>
    <d v="2018-11-01T00:00:00"/>
    <x v="81"/>
    <n v="320"/>
    <x v="63"/>
    <x v="7"/>
    <m/>
    <n v="0.1"/>
    <n v="0.1"/>
    <s v="NM-201809-075"/>
    <n v="24320"/>
    <n v="0"/>
    <n v="24320"/>
    <n v="480"/>
    <m/>
    <m/>
    <m/>
    <x v="1"/>
    <x v="21"/>
    <m/>
    <m/>
    <s v="MERIDIAN NMPM T110S R320E"/>
    <s v="SEC 08 N2"/>
    <m/>
    <m/>
    <m/>
  </r>
  <r>
    <s v="NMNM138870"/>
    <x v="2"/>
    <x v="0"/>
    <d v="2018-09-05T00:00:00"/>
    <d v="2018-11-01T00:00:00"/>
    <x v="81"/>
    <n v="320"/>
    <x v="63"/>
    <x v="7"/>
    <m/>
    <n v="0.1"/>
    <n v="0.1"/>
    <s v="NM-201809-076"/>
    <n v="24320"/>
    <n v="0"/>
    <n v="24320"/>
    <n v="480"/>
    <m/>
    <m/>
    <m/>
    <x v="1"/>
    <x v="21"/>
    <m/>
    <m/>
    <s v="MERIDIAN NMPM T110S R320E"/>
    <s v="SEC 17 E2"/>
    <m/>
    <m/>
    <m/>
  </r>
  <r>
    <s v="NMNM138882"/>
    <x v="2"/>
    <x v="0"/>
    <d v="2018-09-05T00:00:00"/>
    <d v="2018-11-01T00:00:00"/>
    <x v="81"/>
    <n v="321.01"/>
    <x v="63"/>
    <x v="7"/>
    <m/>
    <n v="0.1"/>
    <n v="0.1"/>
    <s v="NM-201809-088"/>
    <n v="64078"/>
    <n v="0"/>
    <n v="64078"/>
    <n v="483"/>
    <m/>
    <m/>
    <m/>
    <x v="1"/>
    <x v="21"/>
    <m/>
    <m/>
    <s v="MERIDIAN NMPM T140S R350E"/>
    <s v="SEC 31 LOTS 1, 2; SEC 31 NE, E2NW;"/>
    <m/>
    <m/>
    <m/>
  </r>
  <r>
    <s v="NMNM138883"/>
    <x v="2"/>
    <x v="0"/>
    <d v="2018-09-05T00:00:00"/>
    <d v="2018-11-01T00:00:00"/>
    <x v="81"/>
    <n v="320"/>
    <x v="63"/>
    <x v="7"/>
    <m/>
    <n v="0.1"/>
    <n v="0.1"/>
    <s v="NM-201809-089"/>
    <n v="95680"/>
    <n v="0"/>
    <n v="95680"/>
    <n v="480"/>
    <m/>
    <m/>
    <m/>
    <x v="1"/>
    <x v="21"/>
    <m/>
    <m/>
    <s v="MERIDIAN NMPM T140S R350E"/>
    <s v="SEC 33 N2"/>
    <m/>
    <m/>
    <m/>
  </r>
  <r>
    <s v="NMNM138906"/>
    <x v="2"/>
    <x v="0"/>
    <d v="2018-09-05T00:00:00"/>
    <d v="2018-11-01T00:00:00"/>
    <x v="81"/>
    <n v="40"/>
    <x v="63"/>
    <x v="7"/>
    <m/>
    <n v="0.1"/>
    <n v="0.1"/>
    <s v="NM-201809-112"/>
    <n v="13040"/>
    <n v="0"/>
    <n v="13040"/>
    <n v="60"/>
    <m/>
    <m/>
    <m/>
    <x v="1"/>
    <x v="21"/>
    <m/>
    <m/>
    <s v="MERIDIAN NMPM T240S R360E"/>
    <s v="SEC 22 SWSW"/>
    <m/>
    <m/>
    <m/>
  </r>
  <r>
    <s v="NMNM138907"/>
    <x v="2"/>
    <x v="0"/>
    <d v="2018-09-05T00:00:00"/>
    <d v="2018-11-01T00:00:00"/>
    <x v="81"/>
    <n v="40"/>
    <x v="63"/>
    <x v="7"/>
    <m/>
    <n v="0.1"/>
    <n v="0.1"/>
    <s v="NM-201089-113"/>
    <n v="10160"/>
    <n v="0"/>
    <n v="10160"/>
    <n v="60"/>
    <m/>
    <m/>
    <m/>
    <x v="1"/>
    <x v="21"/>
    <m/>
    <m/>
    <s v="MERIDIAN NMPM T240S R360E"/>
    <s v="SEC 26 NWNE"/>
    <m/>
    <m/>
    <m/>
  </r>
  <r>
    <s v="NMNM138921"/>
    <x v="2"/>
    <x v="0"/>
    <d v="2018-09-05T00:00:00"/>
    <d v="2018-11-01T00:00:00"/>
    <x v="81"/>
    <n v="40"/>
    <x v="63"/>
    <x v="7"/>
    <m/>
    <n v="0.1"/>
    <n v="0.1"/>
    <s v="NM-201809-127"/>
    <n v="17040"/>
    <n v="0"/>
    <n v="17040"/>
    <n v="60"/>
    <m/>
    <m/>
    <m/>
    <x v="1"/>
    <x v="21"/>
    <m/>
    <m/>
    <s v="MERIDIAN NMPM T160S R370E"/>
    <s v="SEC 01 LOTS 13"/>
    <m/>
    <m/>
    <m/>
  </r>
  <r>
    <s v="NMNM138928"/>
    <x v="2"/>
    <x v="0"/>
    <d v="2018-09-05T00:00:00"/>
    <d v="2018-11-01T00:00:00"/>
    <x v="81"/>
    <n v="47.2"/>
    <x v="63"/>
    <x v="7"/>
    <m/>
    <n v="0.1"/>
    <n v="0.1"/>
    <s v="NM-201809-134"/>
    <n v="4752"/>
    <n v="0"/>
    <n v="4752"/>
    <n v="72"/>
    <m/>
    <m/>
    <m/>
    <x v="1"/>
    <x v="21"/>
    <m/>
    <m/>
    <s v="MERIDIAN NMPM T110S R380E"/>
    <s v="SEC 25 LOTS 1, 2, 3, 4"/>
    <m/>
    <m/>
    <m/>
  </r>
  <r>
    <m/>
    <x v="1"/>
    <x v="1"/>
    <m/>
    <m/>
    <x v="1"/>
    <m/>
    <x v="1"/>
    <x v="1"/>
    <m/>
    <m/>
    <m/>
    <m/>
    <n v="253390"/>
    <n v="0"/>
    <n v="253390"/>
    <m/>
    <m/>
    <m/>
    <m/>
    <x v="1"/>
    <x v="1"/>
    <m/>
    <m/>
    <m/>
    <m/>
    <m/>
    <m/>
    <m/>
  </r>
  <r>
    <s v="LAES53363"/>
    <x v="2"/>
    <x v="2"/>
    <d v="2005-03-24T00:00:00"/>
    <d v="2010-11-01T00:00:00"/>
    <x v="83"/>
    <n v="142.41"/>
    <x v="121"/>
    <x v="3"/>
    <m/>
    <n v="0.1"/>
    <n v="0.09"/>
    <m/>
    <n v="575.5"/>
    <n v="0"/>
    <n v="575.5"/>
    <n v="214.5"/>
    <m/>
    <m/>
    <m/>
    <x v="119"/>
    <x v="13"/>
    <s v="12N"/>
    <s v="4W"/>
    <s v="T12N R4W MERIDIAN LOUISIANA SEC 21 SWNW NWSW THAT PART OF  TRACT C-2293A IN E2NE CONTAINING 62.34 ACRES   "/>
    <m/>
    <m/>
    <m/>
    <m/>
  </r>
  <r>
    <m/>
    <x v="1"/>
    <x v="1"/>
    <m/>
    <m/>
    <x v="1"/>
    <m/>
    <x v="1"/>
    <x v="1"/>
    <m/>
    <m/>
    <m/>
    <m/>
    <m/>
    <m/>
    <m/>
    <m/>
    <m/>
    <m/>
    <m/>
    <x v="1"/>
    <x v="1"/>
    <m/>
    <s v="                                   "/>
    <s v="     "/>
    <m/>
    <m/>
    <m/>
    <m/>
  </r>
  <r>
    <s v="OKNM115440"/>
    <x v="0"/>
    <x v="2"/>
    <d v="2006-01-18T00:00:00"/>
    <d v="2006-03-01T00:00:00"/>
    <x v="84"/>
    <n v="479.46"/>
    <x v="101"/>
    <x v="5"/>
    <m/>
    <n v="0.1"/>
    <n v="0.09"/>
    <m/>
    <n v="0"/>
    <n v="0"/>
    <n v="0"/>
    <n v="960"/>
    <m/>
    <m/>
    <m/>
    <x v="120"/>
    <x v="10"/>
    <s v="5N"/>
    <s v="24E"/>
    <s v="T5N R24E SEC 31 LOTS 3,4 E2SW  SEC 33 S2     "/>
    <m/>
    <m/>
    <m/>
    <m/>
  </r>
  <r>
    <m/>
    <x v="1"/>
    <x v="1"/>
    <m/>
    <m/>
    <x v="1"/>
    <m/>
    <x v="1"/>
    <x v="1"/>
    <m/>
    <m/>
    <m/>
    <m/>
    <m/>
    <m/>
    <m/>
    <m/>
    <m/>
    <m/>
    <m/>
    <x v="1"/>
    <x v="1"/>
    <m/>
    <m/>
    <s v="     "/>
    <m/>
    <m/>
    <m/>
    <m/>
  </r>
  <r>
    <s v="OKNM117594"/>
    <x v="0"/>
    <x v="2"/>
    <d v="2007-01-17T00:00:00"/>
    <d v="2007-03-01T00:00:00"/>
    <x v="26"/>
    <n v="1200"/>
    <x v="101"/>
    <x v="5"/>
    <m/>
    <n v="0.1"/>
    <n v="0.09"/>
    <m/>
    <n v="0"/>
    <n v="0"/>
    <n v="0"/>
    <n v="2400"/>
    <m/>
    <m/>
    <m/>
    <x v="121"/>
    <x v="11"/>
    <s v="4N"/>
    <s v="24E"/>
    <s v="T4N R24E SEC 1 W2SW SESW SEC 2 S2NE S2 SEC 11 N2SW SESW SEC 12 N2 NESW SWSW SE   "/>
    <m/>
    <m/>
    <m/>
    <m/>
  </r>
  <r>
    <s v="OKNM117595"/>
    <x v="0"/>
    <x v="2"/>
    <d v="2007-01-17T00:00:00"/>
    <d v="2007-03-01T00:00:00"/>
    <x v="26"/>
    <n v="922.76"/>
    <x v="101"/>
    <x v="5"/>
    <m/>
    <n v="0.1"/>
    <n v="0.09"/>
    <m/>
    <n v="0"/>
    <n v="0"/>
    <n v="0"/>
    <n v="1846"/>
    <m/>
    <m/>
    <m/>
    <x v="121"/>
    <x v="11"/>
    <s v="4N"/>
    <s v="24E"/>
    <s v="T4N R24E SEC 3 S2 SEC 4 S2N2 E2SW  SWSW SE LOTS 1-4    "/>
    <m/>
    <m/>
    <m/>
    <m/>
  </r>
  <r>
    <s v="OKNM117596"/>
    <x v="0"/>
    <x v="2"/>
    <d v="2007-01-17T00:00:00"/>
    <d v="2007-03-01T00:00:00"/>
    <x v="26"/>
    <n v="2183.3000000000002"/>
    <x v="101"/>
    <x v="5"/>
    <m/>
    <n v="0.1"/>
    <n v="0.09"/>
    <m/>
    <n v="0"/>
    <n v="0"/>
    <n v="0"/>
    <n v="4368"/>
    <m/>
    <m/>
    <m/>
    <x v="121"/>
    <x v="11"/>
    <s v="4N"/>
    <s v="24E"/>
    <s v="T4N R24E SEC 5 LOTS 1-4 S2N2 E2SW N2NWSW SENWSW SWSW SE SEC 6 LOT 1 PART OF LOT 3(LESS 17.25 AC.) LOT 6 LOT 7 SENW E2SW SWSE SWSESE SEC 7 LOTS 1-4 E2 E2W2 SEC 8 ALL  "/>
    <m/>
    <m/>
    <m/>
    <m/>
  </r>
  <r>
    <s v="OKNM117597"/>
    <x v="0"/>
    <x v="2"/>
    <d v="2007-01-17T00:00:00"/>
    <d v="2007-03-01T00:00:00"/>
    <x v="26"/>
    <n v="1920"/>
    <x v="101"/>
    <x v="5"/>
    <m/>
    <n v="0.1"/>
    <n v="0.09"/>
    <m/>
    <n v="0"/>
    <n v="0"/>
    <n v="0"/>
    <n v="3840"/>
    <m/>
    <m/>
    <m/>
    <x v="121"/>
    <x v="11"/>
    <s v="4N"/>
    <s v="24E"/>
    <s v="T4N R24E SEC 13 NE S2 SEC 14 ALL  SEC 23 N2N2 S2NE SWNW NESE SEC 24 W2 SE    "/>
    <m/>
    <m/>
    <m/>
    <m/>
  </r>
  <r>
    <s v="OKNM117598"/>
    <x v="0"/>
    <x v="2"/>
    <d v="2007-01-17T00:00:00"/>
    <d v="2007-03-01T00:00:00"/>
    <x v="26"/>
    <n v="1800"/>
    <x v="101"/>
    <x v="5"/>
    <m/>
    <n v="0.1"/>
    <n v="0.09"/>
    <m/>
    <n v="0"/>
    <n v="0"/>
    <n v="0"/>
    <n v="3600"/>
    <m/>
    <m/>
    <m/>
    <x v="121"/>
    <x v="11"/>
    <s v="4N"/>
    <s v="24E"/>
    <s v="T4N R24E SEC 15 N2 N2S2 S2SW SESE SEC 16 SENE S2 SEC 21 ALL SEC 22 E2NW SWNW W2SW   "/>
    <m/>
    <m/>
    <m/>
    <m/>
  </r>
  <r>
    <s v="OKNM117599"/>
    <x v="0"/>
    <x v="2"/>
    <d v="2007-01-17T00:00:00"/>
    <d v="2007-03-01T00:00:00"/>
    <x v="26"/>
    <n v="1714.52"/>
    <x v="101"/>
    <x v="5"/>
    <m/>
    <n v="0.1"/>
    <n v="0.09"/>
    <m/>
    <n v="0"/>
    <n v="0"/>
    <n v="0"/>
    <n v="3430"/>
    <m/>
    <m/>
    <m/>
    <x v="121"/>
    <x v="11"/>
    <s v="4N"/>
    <s v="24E"/>
    <s v="T4N R24E SEC 17 E2 NENW W2NW  SW N2SENW SESENW SEC 18 LOTS 1 2 E2 E2NW  SESW SEC 19 E2NWSE SEC 20 N2 N2S2 S2SW   "/>
    <m/>
    <m/>
    <m/>
    <m/>
  </r>
  <r>
    <s v="OKNM117600"/>
    <x v="0"/>
    <x v="2"/>
    <d v="2007-01-17T00:00:00"/>
    <d v="2007-03-01T00:00:00"/>
    <x v="26"/>
    <n v="2440"/>
    <x v="101"/>
    <x v="5"/>
    <m/>
    <n v="0.1"/>
    <n v="0.09"/>
    <m/>
    <n v="0"/>
    <n v="0"/>
    <n v="0"/>
    <n v="4880"/>
    <m/>
    <m/>
    <m/>
    <x v="121"/>
    <x v="11"/>
    <s v="4N"/>
    <s v="24E"/>
    <s v="T4N R24E SEC 17 SEC 25 ALL SEC 26 N2 NESE S2S2 SEC 35 ALL SEC 36 ALL    "/>
    <m/>
    <m/>
    <m/>
    <m/>
  </r>
  <r>
    <s v="OKNM117601"/>
    <x v="0"/>
    <x v="2"/>
    <d v="2007-01-17T00:00:00"/>
    <d v="2007-03-01T00:00:00"/>
    <x v="26"/>
    <n v="2350"/>
    <x v="101"/>
    <x v="5"/>
    <m/>
    <n v="0.1"/>
    <n v="0.09"/>
    <m/>
    <n v="0"/>
    <n v="0"/>
    <n v="0"/>
    <n v="4700"/>
    <m/>
    <m/>
    <m/>
    <x v="121"/>
    <x v="11"/>
    <s v="4N"/>
    <s v="24E"/>
    <s v="T4N R24E SEC 27 ALL SEC 28 N2 NESW N2NWSW SWNWSW E2SE SWSE SEC 33 E2 S2NW SW SEC 34 ALL   "/>
    <m/>
    <m/>
    <m/>
    <m/>
  </r>
  <r>
    <s v="OKNM117602"/>
    <x v="0"/>
    <x v="2"/>
    <d v="2007-01-17T00:00:00"/>
    <d v="2007-03-01T00:00:00"/>
    <x v="26"/>
    <n v="2356"/>
    <x v="101"/>
    <x v="5"/>
    <m/>
    <n v="0.1"/>
    <n v="0.09"/>
    <m/>
    <n v="0"/>
    <n v="0"/>
    <n v="0"/>
    <n v="4712"/>
    <m/>
    <m/>
    <m/>
    <x v="121"/>
    <x v="11"/>
    <s v="4N"/>
    <s v="24E"/>
    <s v="T4N R24E SEC 29 NENE W2E2 W2 E2SE SEC 30 LOTS 1-4 NENE S2NE SENW E2SW SE SEC 31 LOTS 1-4 E2 E2W2 SEC 32 NENE W2E2 W2 E2SE   "/>
    <m/>
    <m/>
    <m/>
    <m/>
  </r>
  <r>
    <s v="OKNM117603"/>
    <x v="0"/>
    <x v="2"/>
    <d v="2007-01-17T00:00:00"/>
    <d v="2007-03-01T00:00:00"/>
    <x v="26"/>
    <n v="1185.07"/>
    <x v="101"/>
    <x v="5"/>
    <m/>
    <n v="0.1"/>
    <n v="0.09"/>
    <m/>
    <n v="0"/>
    <n v="0"/>
    <n v="0"/>
    <n v="2372"/>
    <m/>
    <m/>
    <m/>
    <x v="121"/>
    <x v="11"/>
    <s v="4N"/>
    <s v="25E"/>
    <s v="T4N R25E SEC 7 LOTS 2,3,4 S2NE SENW E2SW N2SE SEC 8 S2S2NESE SEC 17 N2NW E2SW NESE W2SE SEC 18 LOTS 1,2,3 W2NE SENE E2W2 N2SE SWSE   "/>
    <m/>
    <m/>
    <m/>
    <m/>
  </r>
  <r>
    <s v="OKNM117604"/>
    <x v="0"/>
    <x v="2"/>
    <d v="2007-01-17T00:00:00"/>
    <d v="2007-03-01T00:00:00"/>
    <x v="26"/>
    <n v="920"/>
    <x v="101"/>
    <x v="5"/>
    <m/>
    <n v="0.1"/>
    <n v="0.09"/>
    <m/>
    <n v="0"/>
    <n v="0"/>
    <n v="0"/>
    <n v="1840"/>
    <m/>
    <m/>
    <m/>
    <x v="121"/>
    <x v="11"/>
    <s v="4N"/>
    <s v="25E"/>
    <s v="T4N R25E SEC 9 S2SW SEC 14 W2SW SEC 15 W2SW SESE SEC 16 ALL    "/>
    <m/>
    <m/>
    <m/>
    <m/>
  </r>
  <r>
    <s v="OKNM117605"/>
    <x v="0"/>
    <x v="2"/>
    <d v="2007-01-17T00:00:00"/>
    <d v="2007-03-01T00:00:00"/>
    <x v="26"/>
    <n v="1420"/>
    <x v="101"/>
    <x v="5"/>
    <m/>
    <n v="0.1"/>
    <n v="0.09"/>
    <m/>
    <n v="0"/>
    <n v="0"/>
    <n v="0"/>
    <n v="2840"/>
    <m/>
    <m/>
    <m/>
    <x v="121"/>
    <x v="11"/>
    <s v="4N"/>
    <s v="25E"/>
    <s v="T4N R25E SEC 20 NENE W2NE SWSW  S2SESW SE SEC 21 ALL SEC 22 NW W2SW SESW SE    "/>
    <m/>
    <m/>
    <m/>
    <m/>
  </r>
  <r>
    <s v="OKNM117606"/>
    <x v="0"/>
    <x v="2"/>
    <d v="2007-01-17T00:00:00"/>
    <d v="2007-03-01T00:00:00"/>
    <x v="26"/>
    <n v="2050"/>
    <x v="101"/>
    <x v="5"/>
    <m/>
    <n v="0.1"/>
    <n v="0.09"/>
    <m/>
    <n v="0"/>
    <n v="0"/>
    <n v="0"/>
    <n v="4100"/>
    <m/>
    <m/>
    <m/>
    <x v="121"/>
    <x v="11"/>
    <s v="4N"/>
    <s v="25E"/>
    <s v="T4N R25E SEC 27 NENE W2NE W2  N2NWSE SWNWSE N2S2SE SEC 28 N2 W2SW SE SEC 33 N2NE E2SENE E2NENW W2NWNW S2NW N2S2 SESW  SESE SEC 34 SENE N2NW S2 SEC 36 W2SW "/>
    <m/>
    <m/>
    <m/>
    <m/>
  </r>
  <r>
    <s v="OKNM117607"/>
    <x v="0"/>
    <x v="2"/>
    <d v="2007-01-17T00:00:00"/>
    <d v="2007-03-01T00:00:00"/>
    <x v="26"/>
    <n v="2456.08"/>
    <x v="101"/>
    <x v="5"/>
    <m/>
    <n v="0.1"/>
    <n v="0.09"/>
    <m/>
    <n v="0"/>
    <n v="0"/>
    <n v="0"/>
    <n v="4914"/>
    <m/>
    <m/>
    <m/>
    <x v="121"/>
    <x v="11"/>
    <s v="4N"/>
    <s v="25E"/>
    <s v="T4N R25E SEC 29 ALL SEC 30 LOTS 1,2,3,4 NENE W2NE E2W2 SE SEC 31 LOTS 1,2,3,4 W2NE SENE E2W2 SE SEC 32 ALL   "/>
    <m/>
    <m/>
    <m/>
    <m/>
  </r>
  <r>
    <m/>
    <x v="1"/>
    <x v="1"/>
    <m/>
    <m/>
    <x v="1"/>
    <m/>
    <x v="1"/>
    <x v="1"/>
    <m/>
    <m/>
    <m/>
    <m/>
    <m/>
    <m/>
    <m/>
    <m/>
    <m/>
    <m/>
    <m/>
    <x v="1"/>
    <x v="1"/>
    <m/>
    <m/>
    <s v="     "/>
    <m/>
    <m/>
    <m/>
    <m/>
  </r>
  <r>
    <s v="OKNM119300"/>
    <x v="0"/>
    <x v="2"/>
    <d v="2007-10-17T00:00:00"/>
    <d v="2007-12-01T00:00:00"/>
    <x v="29"/>
    <n v="348.75"/>
    <x v="101"/>
    <x v="5"/>
    <m/>
    <n v="0.1"/>
    <n v="0.09"/>
    <m/>
    <n v="0"/>
    <n v="0"/>
    <n v="0"/>
    <n v="698"/>
    <m/>
    <m/>
    <m/>
    <x v="121"/>
    <x v="11"/>
    <s v="5N"/>
    <s v="22E"/>
    <s v="T5N R22E SEC 1 SESW OF LOT 1 SE OF LOT 1  N2NESWNE NWNWSENE E2SENE E2W2SENE E2NWSE N2SWSE E2SESWSE E2SE SEC 2 SWSW SWSESW SEC 11 W2SWNWNE NESENWNW N2SESENWNW S2NW E2NESE SEC 12 S2S2NENW S2SENWNW "/>
    <m/>
    <m/>
    <m/>
    <m/>
  </r>
  <r>
    <s v="OKNM119310"/>
    <x v="0"/>
    <x v="2"/>
    <d v="2007-10-17T00:00:00"/>
    <d v="2007-12-01T00:00:00"/>
    <x v="29"/>
    <n v="425"/>
    <x v="101"/>
    <x v="5"/>
    <m/>
    <n v="0.1"/>
    <n v="0.09"/>
    <m/>
    <n v="0"/>
    <n v="0"/>
    <n v="0"/>
    <n v="850"/>
    <m/>
    <m/>
    <m/>
    <x v="121"/>
    <x v="11"/>
    <s v="5N"/>
    <s v="24E"/>
    <s v="T5N R24E SEC 20 E2NENENE, SWNENENE  SENWNENE S2NENE NESWNE NESWSWNE NWSESWNE N2SENE SEC 21 N2N2NE N2SWNENE N2S2NWNE SWSWNWNE  E2NENW W2E2W2 N2NESENW  SWNESENW W2W2 SWNENESW W2SENESW E2SESW NWSWSWSE S2SWSWSE"/>
    <m/>
    <m/>
    <m/>
    <m/>
  </r>
  <r>
    <m/>
    <x v="1"/>
    <x v="1"/>
    <m/>
    <m/>
    <x v="1"/>
    <m/>
    <x v="1"/>
    <x v="1"/>
    <m/>
    <m/>
    <m/>
    <m/>
    <m/>
    <m/>
    <m/>
    <m/>
    <m/>
    <m/>
    <m/>
    <x v="1"/>
    <x v="1"/>
    <m/>
    <m/>
    <s v="     "/>
    <m/>
    <m/>
    <m/>
    <m/>
  </r>
  <r>
    <s v="ALES55549"/>
    <x v="2"/>
    <x v="2"/>
    <d v="2008-12-18T00:00:00"/>
    <d v="2009-02-01T00:00:00"/>
    <x v="39"/>
    <n v="40.01"/>
    <x v="196"/>
    <x v="6"/>
    <m/>
    <n v="0.1"/>
    <n v="0.09"/>
    <m/>
    <n v="283.5"/>
    <n v="82"/>
    <n v="365.5"/>
    <n v="82"/>
    <m/>
    <m/>
    <m/>
    <x v="119"/>
    <x v="14"/>
    <s v="22N"/>
    <s v="6E"/>
    <s v="T22N R6E ST STEPHENS MERIDIAN SEC 2 SWSW    "/>
    <m/>
    <m/>
    <m/>
    <m/>
  </r>
  <r>
    <s v="ALES55550"/>
    <x v="2"/>
    <x v="2"/>
    <d v="2008-12-18T00:00:00"/>
    <d v="2009-02-01T00:00:00"/>
    <x v="39"/>
    <n v="160"/>
    <x v="196"/>
    <x v="6"/>
    <m/>
    <n v="0.1"/>
    <n v="0.09"/>
    <m/>
    <n v="700"/>
    <n v="320"/>
    <n v="1020"/>
    <n v="320"/>
    <m/>
    <m/>
    <m/>
    <x v="119"/>
    <x v="14"/>
    <s v="22N"/>
    <s v="6E"/>
    <s v="T22N R6E ST STEPHENS MERIDIAN SEC 15 NW    "/>
    <m/>
    <m/>
    <m/>
    <m/>
  </r>
  <r>
    <s v="ALES55552"/>
    <x v="2"/>
    <x v="2"/>
    <d v="2008-12-18T00:00:00"/>
    <d v="2009-02-01T00:00:00"/>
    <x v="39"/>
    <n v="428.23"/>
    <x v="155"/>
    <x v="6"/>
    <m/>
    <n v="0.1"/>
    <n v="0.09"/>
    <m/>
    <n v="1641.5"/>
    <n v="858"/>
    <n v="2499.5"/>
    <n v="858"/>
    <m/>
    <m/>
    <m/>
    <x v="119"/>
    <x v="14"/>
    <s v="23N"/>
    <s v="7E"/>
    <s v="T23N R7E ST STEPHENS MERIDIAN SEC 5 NWNW S2NW S2    "/>
    <m/>
    <m/>
    <m/>
    <m/>
  </r>
  <r>
    <s v="ALES55553"/>
    <x v="2"/>
    <x v="2"/>
    <d v="2008-12-18T00:00:00"/>
    <d v="2009-02-01T00:00:00"/>
    <x v="39"/>
    <n v="477.28"/>
    <x v="155"/>
    <x v="6"/>
    <m/>
    <n v="0.1"/>
    <n v="0.09"/>
    <m/>
    <n v="1813"/>
    <n v="956"/>
    <n v="2769"/>
    <n v="956"/>
    <m/>
    <m/>
    <m/>
    <x v="119"/>
    <x v="14"/>
    <s v="23N"/>
    <s v="7E"/>
    <s v="T23N R7E ST STEPHENS MERIDIAN SEC 7 N2NE SWNE NW SESW SE LESS 2 ACRES IN SWSE AS FOLLOWS BEGIN SE CORNER SWSE RUN W 4.6 CHS. THENCE N 4.6 CHS. TO POINT OF BEG. THENCE RUN W 3.16 CHS THENCE N 6.32 CHS. THENCE E 3.16 CHS THENCE S 6.32 CHS. TO POINT OF BEG.     "/>
    <m/>
    <m/>
    <m/>
    <m/>
  </r>
  <r>
    <s v="ALES55554"/>
    <x v="2"/>
    <x v="2"/>
    <d v="2008-12-18T00:00:00"/>
    <d v="2009-02-01T00:00:00"/>
    <x v="39"/>
    <n v="40"/>
    <x v="155"/>
    <x v="6"/>
    <m/>
    <n v="0.1"/>
    <n v="0.09"/>
    <m/>
    <n v="980"/>
    <n v="480"/>
    <n v="1460"/>
    <n v="80"/>
    <m/>
    <m/>
    <m/>
    <x v="119"/>
    <x v="14"/>
    <s v="23N"/>
    <s v="7E"/>
    <s v="T23N R7E ST STEPHENS MERIDIAN SEC 17 SWNW N2SW E2SE NWSE    "/>
    <m/>
    <m/>
    <m/>
    <m/>
  </r>
  <r>
    <s v="ALES55555"/>
    <x v="2"/>
    <x v="2"/>
    <d v="2008-12-18T00:00:00"/>
    <d v="2009-02-01T00:00:00"/>
    <x v="39"/>
    <n v="40.36"/>
    <x v="155"/>
    <x v="6"/>
    <m/>
    <n v="0.1"/>
    <n v="0.09"/>
    <m/>
    <n v="283.5"/>
    <n v="82"/>
    <n v="365.5"/>
    <n v="82"/>
    <m/>
    <m/>
    <m/>
    <x v="119"/>
    <x v="14"/>
    <s v="23N"/>
    <s v="7E"/>
    <s v="T23N R7E ST STEPHENS MERIDIAN SEC 19 NENE    "/>
    <m/>
    <m/>
    <m/>
    <m/>
  </r>
  <r>
    <m/>
    <x v="1"/>
    <x v="1"/>
    <m/>
    <m/>
    <x v="1"/>
    <m/>
    <x v="1"/>
    <x v="1"/>
    <m/>
    <m/>
    <m/>
    <m/>
    <m/>
    <m/>
    <m/>
    <m/>
    <m/>
    <m/>
    <m/>
    <x v="1"/>
    <x v="1"/>
    <m/>
    <m/>
    <s v="     "/>
    <m/>
    <m/>
    <m/>
    <m/>
  </r>
  <r>
    <m/>
    <x v="1"/>
    <x v="1"/>
    <m/>
    <m/>
    <x v="1"/>
    <m/>
    <x v="1"/>
    <x v="1"/>
    <m/>
    <m/>
    <m/>
    <m/>
    <n v="5701.5"/>
    <n v="2778"/>
    <n v="8479.5"/>
    <m/>
    <m/>
    <m/>
    <m/>
    <x v="1"/>
    <x v="1"/>
    <m/>
    <m/>
    <s v="     "/>
    <m/>
    <m/>
    <m/>
    <m/>
  </r>
  <r>
    <m/>
    <x v="1"/>
    <x v="1"/>
    <m/>
    <m/>
    <x v="1"/>
    <m/>
    <x v="1"/>
    <x v="1"/>
    <m/>
    <m/>
    <m/>
    <m/>
    <m/>
    <m/>
    <m/>
    <m/>
    <m/>
    <m/>
    <m/>
    <x v="1"/>
    <x v="1"/>
    <m/>
    <m/>
    <s v="     "/>
    <m/>
    <m/>
    <m/>
    <m/>
  </r>
  <r>
    <s v="LAES56545"/>
    <x v="2"/>
    <x v="2"/>
    <d v="2010-12-09T00:00:00"/>
    <d v="2011-02-01T00:00:00"/>
    <x v="47"/>
    <n v="1.24"/>
    <x v="197"/>
    <x v="3"/>
    <m/>
    <n v="0.1"/>
    <n v="0.09"/>
    <m/>
    <n v="152"/>
    <n v="0"/>
    <n v="152"/>
    <n v="4"/>
    <m/>
    <m/>
    <m/>
    <x v="119"/>
    <x v="15"/>
    <s v="5S"/>
    <s v="9E"/>
    <s v="T5S R9E MERIDIAN LOUISIANA SEC 58 ALL ALSO KNOWN AS LOT 87    "/>
    <m/>
    <m/>
    <m/>
    <m/>
  </r>
  <r>
    <s v="MIES56553"/>
    <x v="2"/>
    <x v="2"/>
    <d v="2010-12-09T00:00:00"/>
    <d v="2011-02-01T00:00:00"/>
    <x v="47"/>
    <n v="160"/>
    <x v="124"/>
    <x v="9"/>
    <m/>
    <n v="0.1"/>
    <n v="0.09"/>
    <m/>
    <n v="705"/>
    <n v="0"/>
    <n v="705"/>
    <n v="320"/>
    <m/>
    <m/>
    <m/>
    <x v="119"/>
    <x v="15"/>
    <s v="16N"/>
    <s v="15W"/>
    <s v="T16N R15W MERIDIAN MICHIGAN SEC 21 SW* 47.92%* (115/240) - U.S. MINERAL INTERESTS    "/>
    <m/>
    <m/>
    <m/>
    <m/>
  </r>
  <r>
    <m/>
    <x v="1"/>
    <x v="1"/>
    <m/>
    <m/>
    <x v="1"/>
    <m/>
    <x v="1"/>
    <x v="1"/>
    <m/>
    <m/>
    <m/>
    <m/>
    <m/>
    <m/>
    <m/>
    <m/>
    <m/>
    <m/>
    <m/>
    <x v="1"/>
    <x v="1"/>
    <m/>
    <m/>
    <s v="     "/>
    <m/>
    <m/>
    <m/>
    <m/>
  </r>
  <r>
    <m/>
    <x v="1"/>
    <x v="1"/>
    <m/>
    <m/>
    <x v="1"/>
    <m/>
    <x v="1"/>
    <x v="1"/>
    <m/>
    <m/>
    <m/>
    <m/>
    <n v="857"/>
    <n v="0"/>
    <n v="857"/>
    <m/>
    <m/>
    <m/>
    <m/>
    <x v="1"/>
    <x v="1"/>
    <m/>
    <m/>
    <s v="     "/>
    <m/>
    <m/>
    <m/>
    <m/>
  </r>
  <r>
    <m/>
    <x v="1"/>
    <x v="1"/>
    <m/>
    <m/>
    <x v="1"/>
    <m/>
    <x v="1"/>
    <x v="1"/>
    <m/>
    <m/>
    <m/>
    <m/>
    <m/>
    <m/>
    <m/>
    <m/>
    <m/>
    <m/>
    <m/>
    <x v="1"/>
    <x v="1"/>
    <m/>
    <m/>
    <s v="     "/>
    <m/>
    <m/>
    <m/>
    <m/>
  </r>
  <r>
    <s v="NDM101156"/>
    <x v="2"/>
    <x v="2"/>
    <d v="2011-02-15T00:00:00"/>
    <d v="2011-04-01T00:00:00"/>
    <x v="85"/>
    <n v="80.239999999999995"/>
    <x v="198"/>
    <x v="16"/>
    <m/>
    <n v="0.1"/>
    <n v="0.09"/>
    <m/>
    <n v="428.5"/>
    <n v="129438"/>
    <n v="129866.5"/>
    <n v="162"/>
    <m/>
    <m/>
    <m/>
    <x v="1"/>
    <x v="15"/>
    <s v="143N"/>
    <s v="101W"/>
    <s v="T.143 N, R.101 W, 5TH PM, ND SEC. 5 LOTS 3,4;    "/>
    <m/>
    <m/>
    <m/>
    <m/>
  </r>
  <r>
    <s v="NDM101159"/>
    <x v="2"/>
    <x v="2"/>
    <d v="2011-02-15T00:00:00"/>
    <d v="2011-04-01T00:00:00"/>
    <x v="85"/>
    <n v="757.44"/>
    <x v="199"/>
    <x v="16"/>
    <m/>
    <n v="0.1"/>
    <n v="0.09"/>
    <m/>
    <n v="2798"/>
    <n v="74284"/>
    <n v="77082"/>
    <n v="1516"/>
    <m/>
    <m/>
    <m/>
    <x v="1"/>
    <x v="15"/>
    <s v="136N"/>
    <s v="102W"/>
    <s v="T136N, R.102 W, 5TH PM,ND SEC.1 LOTS 1-12; SEC.1 S2;    "/>
    <m/>
    <m/>
    <m/>
    <m/>
  </r>
  <r>
    <s v="NDM101160"/>
    <x v="2"/>
    <x v="2"/>
    <d v="2011-02-15T00:00:00"/>
    <d v="2011-04-01T00:00:00"/>
    <x v="85"/>
    <n v="58.6"/>
    <x v="199"/>
    <x v="16"/>
    <m/>
    <n v="0.1"/>
    <n v="0.09"/>
    <m/>
    <n v="351.5"/>
    <n v="21712"/>
    <n v="22063.5"/>
    <n v="118"/>
    <m/>
    <m/>
    <m/>
    <x v="1"/>
    <x v="15"/>
    <s v="136N"/>
    <s v="102W"/>
    <s v="T.136N,R.102W,5TH PM.ND SEC.2 LOTS 1,2;    "/>
    <m/>
    <m/>
    <m/>
    <m/>
  </r>
  <r>
    <s v="NDM101161"/>
    <x v="2"/>
    <x v="2"/>
    <d v="2011-02-15T00:00:00"/>
    <d v="2011-04-01T00:00:00"/>
    <x v="85"/>
    <n v="26.26"/>
    <x v="199"/>
    <x v="16"/>
    <m/>
    <n v="0.1"/>
    <n v="0.09"/>
    <m/>
    <n v="239.5"/>
    <n v="13986"/>
    <n v="14225.5"/>
    <n v="54"/>
    <m/>
    <m/>
    <m/>
    <x v="1"/>
    <x v="15"/>
    <s v="136N"/>
    <s v="102W"/>
    <s v="T.136 N,R.102 W,5TH PM,ND SEC. 6 BED LTL MO RIV RIPAR TO LOT 16 DESC BY M&amp;B; SEC.6 LOT 16;    "/>
    <m/>
    <m/>
    <m/>
    <m/>
  </r>
  <r>
    <s v="NDM101162"/>
    <x v="2"/>
    <x v="2"/>
    <d v="2011-02-15T00:00:00"/>
    <d v="2011-04-01T00:00:00"/>
    <x v="85"/>
    <n v="776.4"/>
    <x v="199"/>
    <x v="16"/>
    <m/>
    <n v="0.1"/>
    <n v="0.09"/>
    <m/>
    <n v="2864.5"/>
    <n v="76146"/>
    <n v="79010.5"/>
    <n v="1554"/>
    <m/>
    <m/>
    <m/>
    <x v="1"/>
    <x v="15"/>
    <s v="136N"/>
    <s v="102W"/>
    <s v="T.136 N, R.102 W, 5TH PM, ND SEC. 6 BED LTL MO RIV RIPAR TO LOTS 12,13,14,19 DESC BY M&amp;B; SEC.6 LOTS 12,13,14,19 ;  SEC.7 BED LTL MO RIV RIPAR TO LOTS 1-14 DESC BY M&amp;B;  SEC.7 LOTS 1-14  SEC.7 E2SW;     "/>
    <m/>
    <m/>
    <m/>
    <m/>
  </r>
  <r>
    <s v="NDM101164"/>
    <x v="2"/>
    <x v="2"/>
    <d v="2011-02-15T00:00:00"/>
    <d v="2011-04-01T00:00:00"/>
    <x v="85"/>
    <n v="640"/>
    <x v="199"/>
    <x v="16"/>
    <m/>
    <n v="0.1"/>
    <n v="0.09"/>
    <m/>
    <n v="2385"/>
    <n v="120320"/>
    <n v="122705"/>
    <n v="1280"/>
    <m/>
    <m/>
    <m/>
    <x v="1"/>
    <x v="15"/>
    <s v="136N"/>
    <s v="102W"/>
    <s v="T.136 N,R.102 W,5TH PM,ND SEC. 12 ALL;    "/>
    <m/>
    <m/>
    <m/>
    <m/>
  </r>
  <r>
    <s v="NDM101165"/>
    <x v="2"/>
    <x v="2"/>
    <d v="2011-02-15T00:00:00"/>
    <d v="2011-05-01T00:00:00"/>
    <x v="50"/>
    <n v="1090"/>
    <x v="199"/>
    <x v="16"/>
    <m/>
    <n v="0.1"/>
    <n v="0.09"/>
    <m/>
    <n v="3960"/>
    <n v="95920"/>
    <n v="99880"/>
    <n v="1635"/>
    <m/>
    <m/>
    <m/>
    <x v="1"/>
    <x v="15"/>
    <s v="136N"/>
    <s v="102W"/>
    <s v="T.136 N, R.102 W, 5TH PM, ND SEC.22 E2NE, SWSWNE, S2SESWNE,S2SWSWNW,SESWNW,S2SENW,S2; SEC.27 ALL;    "/>
    <m/>
    <m/>
    <m/>
    <m/>
  </r>
  <r>
    <s v="NDM101166"/>
    <x v="2"/>
    <x v="2"/>
    <d v="2011-02-15T00:00:00"/>
    <d v="2011-04-01T00:00:00"/>
    <x v="85"/>
    <n v="1760"/>
    <x v="199"/>
    <x v="16"/>
    <m/>
    <n v="0.1"/>
    <n v="0.09"/>
    <m/>
    <n v="6305"/>
    <n v="146080"/>
    <n v="152385"/>
    <n v="3520"/>
    <m/>
    <m/>
    <m/>
    <x v="1"/>
    <x v="15"/>
    <s v="136N"/>
    <s v="102W"/>
    <s v="T.136 N,R.102 W,5TH PM,ND SEC.32 N2,SE ; SEC.33 ALL; SEC.34 ALL ;    "/>
    <m/>
    <m/>
    <m/>
    <m/>
  </r>
  <r>
    <s v="NDM101167"/>
    <x v="2"/>
    <x v="2"/>
    <d v="2011-02-15T00:00:00"/>
    <d v="2011-04-01T00:00:00"/>
    <x v="85"/>
    <n v="10.01"/>
    <x v="198"/>
    <x v="16"/>
    <m/>
    <n v="0.1"/>
    <n v="0.09"/>
    <m/>
    <n v="183.5"/>
    <n v="17578"/>
    <n v="17761.5"/>
    <n v="22"/>
    <m/>
    <m/>
    <m/>
    <x v="1"/>
    <x v="15"/>
    <s v="144N"/>
    <s v="102W"/>
    <s v="T.144 N, R.102 W, 5TH PM, ND SEC. 8 BED LTL MO RIV RIPAR TO LOT 6 DESC BY M&amp;B;     "/>
    <m/>
    <m/>
    <m/>
    <m/>
  </r>
  <r>
    <s v="NDM101169"/>
    <x v="2"/>
    <x v="2"/>
    <d v="2011-02-15T00:00:00"/>
    <d v="2011-04-01T00:00:00"/>
    <x v="85"/>
    <n v="1440"/>
    <x v="199"/>
    <x v="16"/>
    <m/>
    <n v="0.1"/>
    <n v="0.09"/>
    <m/>
    <n v="5185"/>
    <n v="76320"/>
    <n v="81505"/>
    <n v="2880"/>
    <m/>
    <m/>
    <m/>
    <x v="1"/>
    <x v="15"/>
    <s v="133N"/>
    <s v="103W"/>
    <s v="T.133 N, R. 103 W, 5TH PM, ND SEC.28 ALL; SEC.33 ALL; SEC. 34 SW;    "/>
    <m/>
    <m/>
    <m/>
    <m/>
  </r>
  <r>
    <s v="NDM101172"/>
    <x v="2"/>
    <x v="2"/>
    <d v="2011-02-15T00:00:00"/>
    <d v="2011-05-01T00:00:00"/>
    <x v="50"/>
    <n v="1739.72"/>
    <x v="199"/>
    <x v="16"/>
    <m/>
    <n v="0.1"/>
    <n v="0.09"/>
    <m/>
    <n v="6235"/>
    <n v="109620"/>
    <n v="115855"/>
    <n v="2610"/>
    <m/>
    <m/>
    <m/>
    <x v="1"/>
    <x v="15"/>
    <s v="136N"/>
    <s v="104W"/>
    <s v="T.136 N, R.104 W, 5TH PM, ND SEC. 2 SE; SEC.11 ALL; SEC.14 NENE EXCL 2.00 AC TRACT; SEC.14 NWNE, S2NE, E2W2; SEC.15 LOTS 1,2,3,4 ; SEC.15 E2 E2W2, SWSW;    "/>
    <m/>
    <m/>
    <m/>
    <m/>
  </r>
  <r>
    <s v="NDM101173"/>
    <x v="2"/>
    <x v="2"/>
    <d v="2011-02-15T00:00:00"/>
    <d v="2011-04-01T00:00:00"/>
    <x v="85"/>
    <n v="888.84"/>
    <x v="199"/>
    <x v="16"/>
    <m/>
    <n v="0.1"/>
    <n v="0.09"/>
    <m/>
    <n v="3256.5"/>
    <n v="64897"/>
    <n v="68153.5"/>
    <n v="1778"/>
    <m/>
    <m/>
    <m/>
    <x v="1"/>
    <x v="15"/>
    <s v="136N"/>
    <s v="104W"/>
    <s v="T.136 N,R. 104 W, 5TH PM, ND SEC.17 LOTS 1-8 ; SEC.17 N2N2, SWNW, W2SW, SESE ; SEC.20 LOTS 1,2,5,6,7,11 ; SEC. 20 SWNE, SESE ;    "/>
    <m/>
    <m/>
    <m/>
    <m/>
  </r>
  <r>
    <s v="NDM101174"/>
    <x v="2"/>
    <x v="2"/>
    <d v="2011-02-15T00:00:00"/>
    <d v="2011-04-01T00:00:00"/>
    <x v="85"/>
    <n v="129.85"/>
    <x v="199"/>
    <x v="16"/>
    <m/>
    <n v="0.1"/>
    <n v="0.09"/>
    <m/>
    <n v="600"/>
    <n v="12090"/>
    <n v="12690"/>
    <n v="260"/>
    <m/>
    <m/>
    <m/>
    <x v="1"/>
    <x v="15"/>
    <s v="136N"/>
    <s v="104W"/>
    <s v="T.136 N, R. 104 W, 5TH PM, ND SEC.20 LOTS 3,4; SEC.20 NENW;    "/>
    <m/>
    <m/>
    <m/>
    <m/>
  </r>
  <r>
    <s v="NDM101180"/>
    <x v="2"/>
    <x v="2"/>
    <d v="2011-02-15T00:00:00"/>
    <d v="2011-04-01T00:00:00"/>
    <x v="85"/>
    <n v="408.01"/>
    <x v="199"/>
    <x v="16"/>
    <m/>
    <n v="0.1"/>
    <n v="0.09"/>
    <m/>
    <n v="1576.5"/>
    <n v="48262"/>
    <n v="49838.5"/>
    <n v="818"/>
    <m/>
    <m/>
    <m/>
    <x v="1"/>
    <x v="15"/>
    <s v="135N"/>
    <s v="105W"/>
    <s v="T.135 N, R. 105 W, 5TH PM, ND SEC.34 LOTS 1,4,5,7; SEC.34 E2NE, SESW, SE;    "/>
    <m/>
    <m/>
    <m/>
    <m/>
  </r>
  <r>
    <m/>
    <x v="1"/>
    <x v="1"/>
    <m/>
    <m/>
    <x v="1"/>
    <m/>
    <x v="1"/>
    <x v="1"/>
    <m/>
    <m/>
    <m/>
    <m/>
    <m/>
    <m/>
    <m/>
    <m/>
    <m/>
    <m/>
    <m/>
    <x v="1"/>
    <x v="1"/>
    <m/>
    <m/>
    <s v="     "/>
    <m/>
    <m/>
    <m/>
    <m/>
  </r>
  <r>
    <m/>
    <x v="1"/>
    <x v="1"/>
    <s v="TOTALS"/>
    <m/>
    <x v="1"/>
    <m/>
    <x v="1"/>
    <x v="1"/>
    <m/>
    <m/>
    <m/>
    <m/>
    <n v="36368.5"/>
    <n v="1006653"/>
    <n v="1043021.5"/>
    <m/>
    <m/>
    <m/>
    <m/>
    <x v="1"/>
    <x v="1"/>
    <m/>
    <m/>
    <s v="     "/>
    <m/>
    <m/>
    <m/>
    <m/>
  </r>
  <r>
    <m/>
    <x v="1"/>
    <x v="1"/>
    <m/>
    <m/>
    <x v="1"/>
    <m/>
    <x v="1"/>
    <x v="1"/>
    <m/>
    <m/>
    <m/>
    <m/>
    <m/>
    <m/>
    <m/>
    <m/>
    <m/>
    <m/>
    <m/>
    <x v="1"/>
    <x v="1"/>
    <m/>
    <m/>
    <s v="     "/>
    <m/>
    <m/>
    <m/>
    <m/>
  </r>
  <r>
    <s v="MTM101455"/>
    <x v="2"/>
    <x v="2"/>
    <d v="2011-05-10T00:00:00"/>
    <d v="2011-07-01T00:00:00"/>
    <x v="86"/>
    <n v="10.32"/>
    <x v="200"/>
    <x v="19"/>
    <m/>
    <n v="0.1"/>
    <n v="0.09"/>
    <m/>
    <n v="183.5"/>
    <n v="2838"/>
    <n v="3021.5"/>
    <n v="22"/>
    <m/>
    <m/>
    <m/>
    <x v="1"/>
    <x v="15"/>
    <s v="27N"/>
    <s v="51E"/>
    <s v="T.27 N, R.51 E, PMM, MT  SEC.19 POR LOT 4 NOT ERODED BY MISSOURI RIV (3.40 AC); SEC.21 FOR LOT 3 NOT ERODED BY MISSOURI RIV (4.05 AC); SEC.21 FOR LOT 4 NOT ERODED BY MISSOURI RIV (2.87 AC);    "/>
    <m/>
    <m/>
    <m/>
    <m/>
  </r>
  <r>
    <s v="MTM101456"/>
    <x v="2"/>
    <x v="2"/>
    <d v="2011-05-10T00:00:00"/>
    <d v="2011-07-01T00:00:00"/>
    <x v="86"/>
    <n v="5.88"/>
    <x v="200"/>
    <x v="19"/>
    <m/>
    <n v="0.1"/>
    <n v="0.09"/>
    <m/>
    <n v="166"/>
    <n v="1848"/>
    <n v="2014"/>
    <n v="12"/>
    <m/>
    <m/>
    <m/>
    <x v="1"/>
    <x v="15"/>
    <s v="27N"/>
    <s v="52E"/>
    <s v="T.27 N, R.52 E, PMM, MT  SEC.23 POR NWNW NOT ERODED BY MISSOURI RIV;     "/>
    <m/>
    <m/>
    <m/>
    <m/>
  </r>
  <r>
    <s v="MTM101457"/>
    <x v="2"/>
    <x v="2"/>
    <d v="2011-05-10T00:00:00"/>
    <d v="2011-07-01T00:00:00"/>
    <x v="86"/>
    <n v="161.43"/>
    <x v="200"/>
    <x v="19"/>
    <m/>
    <n v="0.1"/>
    <n v="0.09"/>
    <m/>
    <n v="712"/>
    <n v="109026"/>
    <n v="109738"/>
    <n v="243"/>
    <m/>
    <m/>
    <m/>
    <x v="122"/>
    <x v="15"/>
    <s v="26N"/>
    <s v="54E"/>
    <s v="T.26 N, R.54 E, PMM, MT SEC.2 NWSE (40 acres - owned 100% by Magnum); SEC.4 LOT 1; SEC.4 SENE, NESE (121.43 acres - owned 84 % by Alerion Gas SA,LLC 16% by Magnum);    "/>
    <m/>
    <m/>
    <m/>
    <m/>
  </r>
  <r>
    <s v="MTM101458"/>
    <x v="2"/>
    <x v="2"/>
    <d v="2011-05-10T00:00:00"/>
    <d v="2011-07-01T00:00:00"/>
    <x v="86"/>
    <n v="40"/>
    <x v="200"/>
    <x v="19"/>
    <m/>
    <n v="0.1"/>
    <n v="0.09"/>
    <m/>
    <n v="285"/>
    <n v="30920"/>
    <n v="31205"/>
    <n v="80"/>
    <m/>
    <m/>
    <m/>
    <x v="1"/>
    <x v="15"/>
    <s v="27N"/>
    <s v="54E"/>
    <s v="T.27 N, R.54 E, PMM, MT SEC.11 SWNW;    "/>
    <m/>
    <m/>
    <m/>
    <m/>
  </r>
  <r>
    <s v="MTM101460"/>
    <x v="2"/>
    <x v="2"/>
    <d v="2011-05-10T00:00:00"/>
    <d v="2011-07-01T00:00:00"/>
    <x v="86"/>
    <n v="1193.8"/>
    <x v="201"/>
    <x v="19"/>
    <m/>
    <n v="0.1"/>
    <n v="0.09"/>
    <m/>
    <n v="4324"/>
    <n v="63282"/>
    <n v="67606"/>
    <n v="2388"/>
    <m/>
    <m/>
    <m/>
    <x v="1"/>
    <x v="15"/>
    <s v="15N"/>
    <s v="55E"/>
    <s v="T.15 N,R.55 E,PMM,MT SEC.2 SENE, N2SE,SESE; SEC.4 POR LOT 8 NOT ERODED BY YELLOWSTONE RIV (48.63 AC); SEC.4 LOT 7; SEC.6 LOT 7; SEC.6 S2NE, SESW, SE; SEC.12 ALL;    "/>
    <m/>
    <m/>
    <m/>
    <m/>
  </r>
  <r>
    <s v="MTM101461"/>
    <x v="2"/>
    <x v="2"/>
    <d v="2011-05-10T00:00:00"/>
    <d v="2011-07-01T00:00:00"/>
    <x v="86"/>
    <n v="920"/>
    <x v="201"/>
    <x v="19"/>
    <m/>
    <n v="0.1"/>
    <n v="0.09"/>
    <m/>
    <n v="3365"/>
    <n v="53360"/>
    <n v="56725"/>
    <n v="1840"/>
    <m/>
    <m/>
    <m/>
    <x v="1"/>
    <x v="15"/>
    <s v="15N"/>
    <s v="55E"/>
    <s v="T.15 N,R.55 E,PMM,MT SEC.8 NW; SEC.10 SWNE, W2SE; SEC.24 ALL;    "/>
    <m/>
    <m/>
    <m/>
    <m/>
  </r>
  <r>
    <s v="MTM101462"/>
    <x v="2"/>
    <x v="2"/>
    <d v="2011-05-10T00:00:00"/>
    <d v="2011-07-01T00:00:00"/>
    <x v="86"/>
    <n v="864.95"/>
    <x v="201"/>
    <x v="19"/>
    <m/>
    <n v="0.1"/>
    <n v="0.09"/>
    <m/>
    <n v="3172.5"/>
    <n v="48007.5"/>
    <n v="51180"/>
    <n v="1730"/>
    <m/>
    <m/>
    <m/>
    <x v="1"/>
    <x v="15"/>
    <s v="15N"/>
    <s v="55E"/>
    <s v="T.15 N,R.55 E,PMM,MT SEC.14 LOTS 1,2,3,4; SEC.14 E2,E2W2; SEC.22 LOT 3; SEC.22 NWNE; SEC.30 LOTS 1,2; SEC.30 E2NW;    "/>
    <m/>
    <m/>
    <m/>
    <m/>
  </r>
  <r>
    <s v="MTM101463"/>
    <x v="2"/>
    <x v="2"/>
    <d v="2011-05-10T00:00:00"/>
    <d v="2011-07-01T00:00:00"/>
    <x v="86"/>
    <n v="803.9"/>
    <x v="201"/>
    <x v="19"/>
    <m/>
    <n v="0.1"/>
    <n v="0.09"/>
    <m/>
    <n v="2959"/>
    <n v="52662"/>
    <n v="55621"/>
    <n v="1608"/>
    <m/>
    <m/>
    <m/>
    <x v="1"/>
    <x v="15"/>
    <s v="15N"/>
    <s v="55E"/>
    <s v="T.15 N,R.55 E,PMM,MT SEC.26 LOTS 3,4; SEC.26 E2, E2W2; SEC.34 N2NE, NW;    "/>
    <m/>
    <m/>
    <m/>
    <m/>
  </r>
  <r>
    <s v="MTM101464"/>
    <x v="2"/>
    <x v="2"/>
    <d v="2011-05-10T00:00:00"/>
    <d v="2011-07-01T00:00:00"/>
    <x v="86"/>
    <n v="320"/>
    <x v="201"/>
    <x v="19"/>
    <m/>
    <n v="0.1"/>
    <n v="0.09"/>
    <m/>
    <n v="1265"/>
    <n v="66560"/>
    <n v="67825"/>
    <n v="640"/>
    <m/>
    <m/>
    <m/>
    <x v="1"/>
    <x v="15"/>
    <s v="21N"/>
    <s v="55E"/>
    <s v="T.21 N,R.55 E,PMM,MT SEC.14 N2;    "/>
    <m/>
    <m/>
    <m/>
    <m/>
  </r>
  <r>
    <s v="MTM101465"/>
    <x v="2"/>
    <x v="2"/>
    <d v="2011-05-10T00:00:00"/>
    <d v="2011-07-01T00:00:00"/>
    <x v="86"/>
    <n v="318.07"/>
    <x v="201"/>
    <x v="19"/>
    <m/>
    <n v="0.1"/>
    <n v="0.09"/>
    <m/>
    <n v="1261.5"/>
    <n v="47212"/>
    <n v="48473.5"/>
    <n v="638"/>
    <m/>
    <m/>
    <m/>
    <x v="1"/>
    <x v="15"/>
    <s v="21N"/>
    <s v="55E"/>
    <s v="T.21 N,R.55 E,PMM,MT SEC.18 LOTS 1,2; SEC.18 NE, E2NW;    "/>
    <m/>
    <m/>
    <m/>
    <m/>
  </r>
  <r>
    <s v="MTM101466"/>
    <x v="2"/>
    <x v="2"/>
    <d v="2011-05-10T00:00:00"/>
    <d v="2011-07-01T00:00:00"/>
    <x v="86"/>
    <n v="245.38"/>
    <x v="200"/>
    <x v="19"/>
    <m/>
    <n v="0.1"/>
    <n v="0.09"/>
    <m/>
    <n v="1006"/>
    <n v="220908"/>
    <n v="221914"/>
    <n v="492"/>
    <m/>
    <m/>
    <m/>
    <x v="1"/>
    <x v="15"/>
    <s v="26N"/>
    <s v="55E"/>
    <s v="T.26 N,R.55 E,PMM,MT SEC.5 LOTS 1,3,4; SEC.5 SENE; SEC.6 S2NE;    "/>
    <m/>
    <m/>
    <m/>
    <m/>
  </r>
  <r>
    <s v="MTM101471"/>
    <x v="2"/>
    <x v="2"/>
    <d v="2011-05-10T00:00:00"/>
    <d v="2011-07-01T00:00:00"/>
    <x v="86"/>
    <n v="1600"/>
    <x v="201"/>
    <x v="19"/>
    <m/>
    <n v="0.1"/>
    <n v="0.09"/>
    <m/>
    <n v="5745"/>
    <n v="124800"/>
    <n v="130545"/>
    <n v="3200"/>
    <m/>
    <m/>
    <m/>
    <x v="1"/>
    <x v="15"/>
    <s v="15N"/>
    <s v="56E"/>
    <s v="T.15 N,R.56 E,PMM,MT SEC.14 E2E2, NWNE,NWNW,NWSW,NWSE; SEC.22 ALL; SEC.28 ALL;    "/>
    <m/>
    <m/>
    <m/>
    <m/>
  </r>
  <r>
    <s v="MTM101475"/>
    <x v="2"/>
    <x v="2"/>
    <d v="2011-05-10T00:00:00"/>
    <d v="2011-07-01T00:00:00"/>
    <x v="86"/>
    <n v="960"/>
    <x v="202"/>
    <x v="19"/>
    <m/>
    <n v="0.1"/>
    <n v="0.09"/>
    <m/>
    <n v="3505"/>
    <n v="70080"/>
    <n v="73585"/>
    <n v="1920"/>
    <m/>
    <m/>
    <m/>
    <x v="1"/>
    <x v="15"/>
    <s v="6S"/>
    <s v="52E"/>
    <s v="T.6S,R.52 E,PMM,MT SEC.24 S2N2,S2; SEC.25 NE, S2;    "/>
    <m/>
    <m/>
    <m/>
    <m/>
  </r>
  <r>
    <s v="MTM101477"/>
    <x v="2"/>
    <x v="2"/>
    <d v="2011-05-10T00:00:00"/>
    <d v="2011-07-01T00:00:00"/>
    <x v="86"/>
    <n v="1049.5999999999999"/>
    <x v="202"/>
    <x v="19"/>
    <m/>
    <n v="0.1"/>
    <n v="0.09"/>
    <m/>
    <n v="3820"/>
    <n v="123900"/>
    <n v="127720"/>
    <n v="2100"/>
    <m/>
    <m/>
    <m/>
    <x v="1"/>
    <x v="15"/>
    <s v="6S"/>
    <s v="53E"/>
    <s v="T.6S,R.53 E,PMM,MT SEC.19 S2SE; SEC.30 LOTS 1,2,3,4; SEC.30 E2,E2W2; SEC.31  LOTS 1,2,3,4; SEC.31 E2W2;    "/>
    <m/>
    <m/>
    <m/>
    <m/>
  </r>
  <r>
    <s v="NDM101479"/>
    <x v="2"/>
    <x v="2"/>
    <d v="2011-05-10T00:00:00"/>
    <d v="2011-08-01T00:00:00"/>
    <x v="52"/>
    <n v="120.69"/>
    <x v="203"/>
    <x v="16"/>
    <m/>
    <n v="0.1"/>
    <n v="0.09"/>
    <m/>
    <n v="568.5"/>
    <n v="205458"/>
    <n v="206026.5"/>
    <n v="181.5"/>
    <m/>
    <m/>
    <m/>
    <x v="1"/>
    <x v="15"/>
    <s v="146N"/>
    <s v="102W"/>
    <s v="T.146 N, R.102 W, 5TH PM, ND SEC.12 LOTS 5,10,11; SEC.12 NENE;    "/>
    <m/>
    <m/>
    <m/>
    <m/>
  </r>
  <r>
    <m/>
    <x v="1"/>
    <x v="1"/>
    <m/>
    <m/>
    <x v="1"/>
    <m/>
    <x v="1"/>
    <x v="1"/>
    <m/>
    <m/>
    <m/>
    <m/>
    <m/>
    <m/>
    <m/>
    <m/>
    <m/>
    <m/>
    <m/>
    <x v="1"/>
    <x v="1"/>
    <m/>
    <m/>
    <s v="     "/>
    <m/>
    <m/>
    <m/>
    <m/>
  </r>
  <r>
    <m/>
    <x v="1"/>
    <x v="1"/>
    <s v="TOTALS"/>
    <m/>
    <x v="1"/>
    <m/>
    <x v="1"/>
    <x v="1"/>
    <m/>
    <m/>
    <m/>
    <m/>
    <n v="32338"/>
    <n v="1220861.5"/>
    <n v="1253199.5"/>
    <m/>
    <m/>
    <m/>
    <m/>
    <x v="1"/>
    <x v="1"/>
    <m/>
    <m/>
    <s v="     "/>
    <m/>
    <m/>
    <m/>
    <m/>
  </r>
  <r>
    <m/>
    <x v="1"/>
    <x v="1"/>
    <m/>
    <m/>
    <x v="1"/>
    <m/>
    <x v="1"/>
    <x v="1"/>
    <m/>
    <m/>
    <m/>
    <m/>
    <m/>
    <m/>
    <m/>
    <m/>
    <m/>
    <m/>
    <m/>
    <x v="1"/>
    <x v="1"/>
    <m/>
    <m/>
    <s v="     "/>
    <m/>
    <m/>
    <m/>
    <m/>
  </r>
  <r>
    <m/>
    <x v="1"/>
    <x v="1"/>
    <m/>
    <m/>
    <x v="1"/>
    <m/>
    <x v="1"/>
    <x v="1"/>
    <m/>
    <m/>
    <m/>
    <m/>
    <m/>
    <m/>
    <m/>
    <m/>
    <m/>
    <m/>
    <m/>
    <x v="1"/>
    <x v="1"/>
    <m/>
    <m/>
    <s v="     "/>
    <m/>
    <m/>
    <m/>
    <m/>
  </r>
  <r>
    <s v="NDM102132"/>
    <x v="2"/>
    <x v="2"/>
    <d v="2011-07-12T00:00:00"/>
    <d v="2011-09-01T00:00:00"/>
    <x v="53"/>
    <n v="560"/>
    <x v="204"/>
    <x v="16"/>
    <m/>
    <n v="0.1"/>
    <n v="0.09"/>
    <m/>
    <n v="2105"/>
    <n v="82880"/>
    <n v="84985"/>
    <n v="840"/>
    <m/>
    <m/>
    <m/>
    <x v="1"/>
    <x v="15"/>
    <s v="155N"/>
    <s v="89W"/>
    <s v="T.155 N,R.89 W. 5TH PM, ND SEC.22 NE;SEC.23 E2; SEC.24 W2SW;    "/>
    <m/>
    <m/>
    <m/>
    <m/>
  </r>
  <r>
    <s v="NDM102136"/>
    <x v="2"/>
    <x v="2"/>
    <d v="2011-07-12T00:00:00"/>
    <d v="2011-09-01T00:00:00"/>
    <x v="53"/>
    <n v="320"/>
    <x v="204"/>
    <x v="16"/>
    <m/>
    <n v="0.1"/>
    <n v="0.09"/>
    <m/>
    <n v="1265"/>
    <n v="47360"/>
    <n v="48625"/>
    <n v="480"/>
    <m/>
    <m/>
    <m/>
    <x v="1"/>
    <x v="15"/>
    <s v="158N"/>
    <s v="89W"/>
    <s v="T.158 N,R.89 W,5TH PM, ND SEC.21 SENE,SW,E2SE;SEC.22 NWSW;    "/>
    <m/>
    <m/>
    <m/>
    <m/>
  </r>
  <r>
    <s v="NDM102130"/>
    <x v="2"/>
    <x v="2"/>
    <d v="2011-07-12T00:00:00"/>
    <d v="2011-09-01T00:00:00"/>
    <x v="53"/>
    <n v="320"/>
    <x v="205"/>
    <x v="16"/>
    <m/>
    <n v="0.1"/>
    <n v="0.09"/>
    <m/>
    <n v="1265"/>
    <n v="28160"/>
    <n v="29425"/>
    <n v="480"/>
    <m/>
    <m/>
    <m/>
    <x v="1"/>
    <x v="15"/>
    <s v="145N"/>
    <s v="89W"/>
    <s v="T.145 N,R.89 W. 5TH PM,ND SEC.7 SE; SEC.8 NWNE,N2NW,SWNW;    "/>
    <m/>
    <m/>
    <m/>
    <m/>
  </r>
  <r>
    <s v="NDM102131"/>
    <x v="2"/>
    <x v="2"/>
    <d v="2011-07-12T00:00:00"/>
    <d v="2011-09-01T00:00:00"/>
    <x v="53"/>
    <n v="480"/>
    <x v="205"/>
    <x v="16"/>
    <m/>
    <n v="0.1"/>
    <n v="0.09"/>
    <m/>
    <n v="1825"/>
    <n v="27840"/>
    <n v="29665"/>
    <n v="720"/>
    <m/>
    <m/>
    <m/>
    <x v="1"/>
    <x v="15"/>
    <s v="146N"/>
    <s v="89W"/>
    <s v="T.146 N,R.89 W. 5TH PM,ND SEC.19 NE;SEC.34 SE;SEC.35 NW;    "/>
    <m/>
    <m/>
    <m/>
    <m/>
  </r>
  <r>
    <s v="SDM102222"/>
    <x v="2"/>
    <x v="2"/>
    <d v="2011-07-12T00:00:00"/>
    <d v="2011-09-01T00:00:00"/>
    <x v="53"/>
    <n v="1309"/>
    <x v="78"/>
    <x v="17"/>
    <m/>
    <n v="0.1"/>
    <n v="0.09"/>
    <m/>
    <n v="4726.5"/>
    <n v="27489"/>
    <n v="32215.5"/>
    <n v="1963.5"/>
    <m/>
    <m/>
    <m/>
    <x v="1"/>
    <x v="15"/>
    <s v="22N"/>
    <s v="1E"/>
    <s v="T.22 N, R. 1 E, BHM, SD SEC.19 LOTS 1,2,3,4; SEC.20 ALL; SEC.28 N2NE , W2 , S2SE;    "/>
    <m/>
    <m/>
    <m/>
    <m/>
  </r>
  <r>
    <s v="SDM102219"/>
    <x v="2"/>
    <x v="2"/>
    <d v="2011-07-12T00:00:00"/>
    <d v="2011-09-01T00:00:00"/>
    <x v="53"/>
    <n v="959"/>
    <x v="78"/>
    <x v="17"/>
    <m/>
    <n v="0.1"/>
    <n v="0.09"/>
    <m/>
    <n v="3501.5"/>
    <n v="22057"/>
    <n v="25558.5"/>
    <n v="1438.5"/>
    <m/>
    <m/>
    <m/>
    <x v="1"/>
    <x v="15"/>
    <s v="22N"/>
    <s v="1E"/>
    <s v="T.22 N, R.1 E, BHM, SD SEC.4 LOTS 1,2; SEC.4 S2NE,SE; SEC.9 ALL ;    "/>
    <m/>
    <m/>
    <m/>
    <m/>
  </r>
  <r>
    <s v="SDM102226"/>
    <x v="2"/>
    <x v="2"/>
    <d v="2011-07-12T00:00:00"/>
    <d v="2011-09-01T00:00:00"/>
    <x v="53"/>
    <n v="720"/>
    <x v="78"/>
    <x v="17"/>
    <m/>
    <n v="0.1"/>
    <n v="0.09"/>
    <m/>
    <n v="2665"/>
    <n v="15120"/>
    <n v="17785"/>
    <n v="1080"/>
    <m/>
    <m/>
    <m/>
    <x v="1"/>
    <x v="15"/>
    <s v="22N"/>
    <s v="1E"/>
    <s v="T.22 N, 1 E, BHM, SD SEC.26 N2, N2SW; SEC.27 NW,SE;    "/>
    <m/>
    <m/>
    <m/>
    <m/>
  </r>
  <r>
    <s v="NDM102137"/>
    <x v="2"/>
    <x v="2"/>
    <d v="2011-07-12T00:00:00"/>
    <d v="2011-09-01T00:00:00"/>
    <x v="53"/>
    <n v="160"/>
    <x v="205"/>
    <x v="16"/>
    <m/>
    <n v="0.1"/>
    <n v="0.09"/>
    <m/>
    <n v="705"/>
    <n v="14080"/>
    <n v="14785"/>
    <n v="240"/>
    <m/>
    <m/>
    <m/>
    <x v="1"/>
    <x v="15"/>
    <s v="145N"/>
    <s v="90W"/>
    <s v="T.145 N, R.90 W,5TH PM, ND SEC.33 NE;    "/>
    <m/>
    <m/>
    <m/>
    <m/>
  </r>
  <r>
    <s v="NDM102144"/>
    <x v="2"/>
    <x v="2"/>
    <d v="2011-07-12T00:00:00"/>
    <d v="2011-09-01T00:00:00"/>
    <x v="53"/>
    <n v="40"/>
    <x v="204"/>
    <x v="16"/>
    <m/>
    <n v="0.1"/>
    <n v="0.09"/>
    <m/>
    <n v="285"/>
    <n v="12920"/>
    <n v="13205"/>
    <n v="60"/>
    <m/>
    <m/>
    <m/>
    <x v="123"/>
    <x v="15"/>
    <s v="158N"/>
    <s v="90W"/>
    <s v="T.158 N,R.90 W,5TH PM, ND SEC.11 SENE;     "/>
    <m/>
    <m/>
    <m/>
    <m/>
  </r>
  <r>
    <s v="SDM102228"/>
    <x v="2"/>
    <x v="2"/>
    <d v="2011-07-12T00:00:00"/>
    <d v="2011-09-01T00:00:00"/>
    <x v="53"/>
    <n v="501.2"/>
    <x v="78"/>
    <x v="17"/>
    <m/>
    <n v="0.1"/>
    <n v="0.09"/>
    <m/>
    <n v="1902"/>
    <n v="9036"/>
    <n v="10938"/>
    <n v="753"/>
    <m/>
    <m/>
    <m/>
    <x v="1"/>
    <x v="15"/>
    <s v="22N"/>
    <s v="1E"/>
    <s v="T.22 N, 1 E, BHM, SD SEC.30 LOTS 1,2,3,4; SEC.32 W2;    "/>
    <m/>
    <m/>
    <m/>
    <m/>
  </r>
  <r>
    <s v="SDM102231"/>
    <x v="2"/>
    <x v="2"/>
    <d v="2011-07-12T00:00:00"/>
    <d v="2011-09-01T00:00:00"/>
    <x v="53"/>
    <n v="160"/>
    <x v="78"/>
    <x v="17"/>
    <m/>
    <n v="0.1"/>
    <n v="0.09"/>
    <m/>
    <n v="705"/>
    <n v="3040"/>
    <n v="3745"/>
    <n v="240"/>
    <m/>
    <m/>
    <m/>
    <x v="1"/>
    <x v="15"/>
    <s v="20N"/>
    <s v="6E"/>
    <s v="T.20 N,6 E, BHM, SD SEC.27 SW    "/>
    <m/>
    <m/>
    <m/>
    <m/>
  </r>
  <r>
    <s v="NDM102126"/>
    <x v="2"/>
    <x v="2"/>
    <d v="2011-07-12T00:00:00"/>
    <d v="2011-09-01T00:00:00"/>
    <x v="53"/>
    <n v="160"/>
    <x v="206"/>
    <x v="16"/>
    <m/>
    <n v="0.1"/>
    <n v="0.09"/>
    <m/>
    <n v="705"/>
    <n v="640"/>
    <n v="1345"/>
    <n v="240"/>
    <m/>
    <m/>
    <m/>
    <x v="1"/>
    <x v="15"/>
    <s v="159N"/>
    <s v="83W"/>
    <s v="T.159 N, R.83 W. 5TH PM, ND SEC. 33 NE    "/>
    <m/>
    <m/>
    <m/>
    <m/>
  </r>
  <r>
    <m/>
    <x v="1"/>
    <x v="1"/>
    <m/>
    <m/>
    <x v="1"/>
    <m/>
    <x v="1"/>
    <x v="1"/>
    <m/>
    <m/>
    <m/>
    <m/>
    <m/>
    <m/>
    <m/>
    <m/>
    <m/>
    <m/>
    <m/>
    <x v="1"/>
    <x v="1"/>
    <m/>
    <m/>
    <s v="     "/>
    <m/>
    <m/>
    <m/>
    <m/>
  </r>
  <r>
    <m/>
    <x v="1"/>
    <x v="1"/>
    <s v="TOTALS"/>
    <m/>
    <x v="1"/>
    <m/>
    <x v="1"/>
    <x v="1"/>
    <m/>
    <m/>
    <m/>
    <m/>
    <n v="21655"/>
    <n v="290622"/>
    <n v="312277"/>
    <m/>
    <m/>
    <m/>
    <m/>
    <x v="1"/>
    <x v="1"/>
    <m/>
    <m/>
    <s v="     "/>
    <m/>
    <m/>
    <m/>
    <m/>
  </r>
  <r>
    <m/>
    <x v="1"/>
    <x v="1"/>
    <m/>
    <m/>
    <x v="1"/>
    <m/>
    <x v="1"/>
    <x v="1"/>
    <m/>
    <m/>
    <m/>
    <m/>
    <m/>
    <m/>
    <m/>
    <m/>
    <m/>
    <m/>
    <m/>
    <x v="1"/>
    <x v="1"/>
    <m/>
    <m/>
    <s v="     "/>
    <m/>
    <m/>
    <m/>
    <m/>
  </r>
  <r>
    <s v="MTM102588"/>
    <x v="2"/>
    <x v="2"/>
    <d v="2011-10-18T00:00:00"/>
    <d v="2011-12-01T00:00:00"/>
    <x v="51"/>
    <n v="200"/>
    <x v="207"/>
    <x v="19"/>
    <m/>
    <n v="0.1"/>
    <n v="0.09"/>
    <m/>
    <n v="845"/>
    <n v="17600"/>
    <n v="18445"/>
    <n v="300"/>
    <m/>
    <m/>
    <m/>
    <x v="1"/>
    <x v="15"/>
    <s v="36N"/>
    <s v="44E"/>
    <s v="T.36 N, R.44E,PMM,MT SEC.22 SWNE,W2SE;SEC.27 S2NW    "/>
    <m/>
    <m/>
    <m/>
    <m/>
  </r>
  <r>
    <s v="MTM102590"/>
    <x v="2"/>
    <x v="2"/>
    <d v="2011-10-18T00:00:00"/>
    <d v="2011-12-01T00:00:00"/>
    <x v="51"/>
    <n v="254"/>
    <x v="207"/>
    <x v="19"/>
    <m/>
    <n v="0.1"/>
    <n v="0.09"/>
    <m/>
    <n v="1034"/>
    <n v="14732"/>
    <n v="15766"/>
    <n v="381"/>
    <m/>
    <m/>
    <m/>
    <x v="1"/>
    <x v="15"/>
    <s v="33N"/>
    <s v="45E"/>
    <s v="T.33 N, R.45E,PMM,MT SEC..4 LOTS 3,4; SEC 4 SENE,SWNW,NESE; SEC.9 LOT 6;     "/>
    <m/>
    <m/>
    <m/>
    <m/>
  </r>
  <r>
    <s v="MTM102592"/>
    <x v="2"/>
    <x v="2"/>
    <d v="2011-10-18T00:00:00"/>
    <d v="2011-12-01T00:00:00"/>
    <x v="51"/>
    <n v="231"/>
    <x v="207"/>
    <x v="19"/>
    <m/>
    <n v="0.1"/>
    <n v="0.09"/>
    <m/>
    <n v="953.5"/>
    <n v="13398"/>
    <n v="14351.5"/>
    <n v="346.5"/>
    <m/>
    <m/>
    <m/>
    <x v="1"/>
    <x v="15"/>
    <s v="33N"/>
    <s v="46E"/>
    <s v="T.33 N, R.46E,PMM,MT SEC.1 LOTS 2,3; SEC.1 SENE; SEC.11 LOT 8; SEC.12 LOT 5;    "/>
    <m/>
    <m/>
    <m/>
    <m/>
  </r>
  <r>
    <s v="MTM102593"/>
    <x v="2"/>
    <x v="2"/>
    <d v="2011-10-18T00:00:00"/>
    <d v="2011-12-01T00:00:00"/>
    <x v="51"/>
    <n v="548"/>
    <x v="207"/>
    <x v="19"/>
    <m/>
    <n v="0.1"/>
    <n v="0.09"/>
    <m/>
    <n v="2063"/>
    <n v="34524"/>
    <n v="36587"/>
    <n v="822"/>
    <m/>
    <m/>
    <m/>
    <x v="1"/>
    <x v="15"/>
    <s v="33N"/>
    <s v="46E"/>
    <s v="T.33 N, R.46E, PMM,MT SEC.3 LOT1; SEC.3 S2SW; SEC.4 SESE; SEC.8 LOT 5; SEC.9 LOTS 5,6,7,8; SEC.10 LOTS 7,8;    "/>
    <m/>
    <m/>
    <m/>
    <m/>
  </r>
  <r>
    <s v="MTM102594"/>
    <x v="2"/>
    <x v="2"/>
    <d v="2011-10-18T00:00:00"/>
    <d v="2011-12-01T00:00:00"/>
    <x v="51"/>
    <n v="40"/>
    <x v="207"/>
    <x v="19"/>
    <m/>
    <n v="0.1"/>
    <n v="0.09"/>
    <m/>
    <n v="285"/>
    <n v="2320"/>
    <n v="2605"/>
    <n v="60"/>
    <m/>
    <m/>
    <m/>
    <x v="1"/>
    <x v="15"/>
    <s v="34N"/>
    <s v="46E"/>
    <s v="T.34 N,R.46 E, PMM, MT SEC.17 SWSE;    "/>
    <m/>
    <m/>
    <m/>
    <m/>
  </r>
  <r>
    <s v="MTM102595"/>
    <x v="2"/>
    <x v="2"/>
    <d v="2011-10-18T00:00:00"/>
    <d v="2011-12-01T00:00:00"/>
    <x v="51"/>
    <n v="80"/>
    <x v="207"/>
    <x v="19"/>
    <m/>
    <n v="0.1"/>
    <n v="0.09"/>
    <m/>
    <n v="425"/>
    <n v="4640"/>
    <n v="5065"/>
    <n v="120"/>
    <m/>
    <m/>
    <m/>
    <x v="1"/>
    <x v="15"/>
    <s v="34N"/>
    <s v="46E"/>
    <s v="T.34 N,R.46 E, PMM, MT SEC.33 S2SW;    "/>
    <m/>
    <m/>
    <m/>
    <m/>
  </r>
  <r>
    <s v="MTM102596"/>
    <x v="2"/>
    <x v="2"/>
    <d v="2011-10-18T00:00:00"/>
    <d v="2011-12-01T00:00:00"/>
    <x v="51"/>
    <n v="42"/>
    <x v="207"/>
    <x v="19"/>
    <m/>
    <n v="0.1"/>
    <n v="0.09"/>
    <m/>
    <n v="292"/>
    <n v="3486"/>
    <n v="3778"/>
    <n v="63"/>
    <m/>
    <m/>
    <m/>
    <x v="1"/>
    <x v="15"/>
    <s v="33N"/>
    <s v="47E"/>
    <s v="T.33 N,R.47 E,PMM,MT SEC.2 LOT 3    "/>
    <m/>
    <m/>
    <m/>
    <m/>
  </r>
  <r>
    <s v="MTM102597"/>
    <x v="2"/>
    <x v="2"/>
    <d v="2011-10-18T00:00:00"/>
    <d v="2011-12-01T00:00:00"/>
    <x v="51"/>
    <n v="80"/>
    <x v="207"/>
    <x v="19"/>
    <m/>
    <n v="0.1"/>
    <n v="0.09"/>
    <m/>
    <n v="425"/>
    <n v="5440"/>
    <n v="5865"/>
    <n v="120"/>
    <m/>
    <m/>
    <m/>
    <x v="1"/>
    <x v="15"/>
    <s v="33N"/>
    <s v="47E"/>
    <s v="T.33 N,R.47 E,PMM,MT SEC.5 SWSW; SEC.6 SESW;    "/>
    <m/>
    <m/>
    <m/>
    <m/>
  </r>
  <r>
    <s v="MTM102598"/>
    <x v="2"/>
    <x v="2"/>
    <d v="2011-10-18T00:00:00"/>
    <d v="2011-12-01T00:00:00"/>
    <x v="51"/>
    <n v="85"/>
    <x v="207"/>
    <x v="19"/>
    <m/>
    <n v="0.1"/>
    <n v="0.09"/>
    <m/>
    <n v="442.5"/>
    <n v="8755"/>
    <n v="9197.5"/>
    <n v="127.5"/>
    <m/>
    <m/>
    <m/>
    <x v="1"/>
    <x v="15"/>
    <s v="33N"/>
    <s v="48E"/>
    <s v="T.33 N,R.48 E, PMM, MT SEC.2 LOTS 1,2;    "/>
    <m/>
    <m/>
    <m/>
    <m/>
  </r>
  <r>
    <s v="MTM102599"/>
    <x v="2"/>
    <x v="2"/>
    <d v="2011-10-18T00:00:00"/>
    <d v="2011-12-01T00:00:00"/>
    <x v="51"/>
    <n v="43"/>
    <x v="207"/>
    <x v="19"/>
    <m/>
    <n v="0.1"/>
    <n v="0.09"/>
    <m/>
    <n v="295.5"/>
    <n v="3784"/>
    <n v="4079.5"/>
    <n v="64.5"/>
    <m/>
    <m/>
    <m/>
    <x v="1"/>
    <x v="15"/>
    <s v="33N"/>
    <s v="48E"/>
    <s v="T.33 N, R.48 E, PMM, MT SEC.3 LOT 2;    "/>
    <m/>
    <m/>
    <m/>
    <m/>
  </r>
  <r>
    <s v="MTM102600"/>
    <x v="2"/>
    <x v="2"/>
    <d v="2011-10-18T00:00:00"/>
    <d v="2011-12-01T00:00:00"/>
    <x v="51"/>
    <n v="40"/>
    <x v="207"/>
    <x v="19"/>
    <m/>
    <n v="0.1"/>
    <n v="0.09"/>
    <m/>
    <n v="285"/>
    <n v="2920"/>
    <n v="3205"/>
    <n v="60"/>
    <m/>
    <m/>
    <m/>
    <x v="1"/>
    <x v="15"/>
    <s v="33N"/>
    <s v="48E"/>
    <s v="T.33 N, R.48 E, PMM, MT SEC.4 NESE;    "/>
    <m/>
    <m/>
    <m/>
    <m/>
  </r>
  <r>
    <s v="MTM102601"/>
    <x v="2"/>
    <x v="2"/>
    <d v="2011-10-18T00:00:00"/>
    <d v="2011-12-01T00:00:00"/>
    <x v="51"/>
    <n v="54"/>
    <x v="207"/>
    <x v="19"/>
    <m/>
    <n v="0.1"/>
    <n v="0.09"/>
    <m/>
    <n v="334"/>
    <n v="4752"/>
    <n v="5086"/>
    <n v="81"/>
    <m/>
    <m/>
    <m/>
    <x v="1"/>
    <x v="15"/>
    <s v="33N"/>
    <s v="48E"/>
    <s v="T.33 N, R.48 E, PMM, MT SEC.11 LOT 8;    "/>
    <m/>
    <m/>
    <m/>
    <m/>
  </r>
  <r>
    <s v="MTM102603"/>
    <x v="2"/>
    <x v="2"/>
    <d v="2011-10-18T00:00:00"/>
    <d v="2011-12-01T00:00:00"/>
    <x v="51"/>
    <n v="40"/>
    <x v="207"/>
    <x v="19"/>
    <m/>
    <n v="0.1"/>
    <n v="0.09"/>
    <m/>
    <n v="285"/>
    <n v="2720"/>
    <n v="3005"/>
    <n v="60"/>
    <m/>
    <m/>
    <m/>
    <x v="1"/>
    <x v="15"/>
    <s v="34N"/>
    <s v="48E"/>
    <s v="T.34 N,R.48 E, PMM, MT SEC.13 SENE;    "/>
    <m/>
    <m/>
    <m/>
    <m/>
  </r>
  <r>
    <s v="SDM102664"/>
    <x v="2"/>
    <x v="2"/>
    <d v="2011-10-18T00:00:00"/>
    <d v="2011-12-01T00:00:00"/>
    <x v="51"/>
    <n v="1063"/>
    <x v="193"/>
    <x v="17"/>
    <m/>
    <n v="0.1"/>
    <n v="0.09"/>
    <m/>
    <n v="3865.5"/>
    <n v="29764"/>
    <n v="33629.5"/>
    <n v="1594.5"/>
    <m/>
    <m/>
    <m/>
    <x v="1"/>
    <x v="15"/>
    <s v="11S"/>
    <s v="1E"/>
    <s v="T.11S,R. 1E,BHM,SD SEC.30 LOTS 2,3,4;SEC.30 S2NE,SENW,E2SW,SE;SEC.31 LOTS 1,2,3,4;SEC.31 E2,E2W2;     "/>
    <m/>
    <m/>
    <m/>
    <m/>
  </r>
  <r>
    <m/>
    <x v="1"/>
    <x v="1"/>
    <m/>
    <m/>
    <x v="1"/>
    <m/>
    <x v="1"/>
    <x v="1"/>
    <m/>
    <m/>
    <m/>
    <m/>
    <m/>
    <m/>
    <m/>
    <m/>
    <m/>
    <m/>
    <m/>
    <x v="1"/>
    <x v="1"/>
    <m/>
    <m/>
    <s v="     "/>
    <m/>
    <m/>
    <m/>
    <m/>
  </r>
  <r>
    <m/>
    <x v="1"/>
    <x v="1"/>
    <s v="TOTALS"/>
    <m/>
    <x v="1"/>
    <m/>
    <x v="1"/>
    <x v="1"/>
    <m/>
    <m/>
    <m/>
    <m/>
    <n v="11830"/>
    <n v="148835"/>
    <n v="160665"/>
    <m/>
    <m/>
    <m/>
    <m/>
    <x v="1"/>
    <x v="1"/>
    <m/>
    <m/>
    <s v="     "/>
    <m/>
    <m/>
    <m/>
    <m/>
  </r>
  <r>
    <m/>
    <x v="1"/>
    <x v="1"/>
    <m/>
    <m/>
    <x v="1"/>
    <m/>
    <x v="1"/>
    <x v="1"/>
    <m/>
    <m/>
    <m/>
    <m/>
    <m/>
    <m/>
    <m/>
    <m/>
    <m/>
    <m/>
    <m/>
    <x v="1"/>
    <x v="1"/>
    <m/>
    <m/>
    <s v="     "/>
    <m/>
    <m/>
    <m/>
    <m/>
  </r>
  <r>
    <s v="NDM102947"/>
    <x v="2"/>
    <x v="2"/>
    <d v="2012-01-24T00:00:00"/>
    <d v="2012-04-01T00:00:00"/>
    <x v="87"/>
    <n v="480"/>
    <x v="208"/>
    <x v="16"/>
    <m/>
    <n v="0.1"/>
    <n v="0.09"/>
    <m/>
    <n v="960"/>
    <n v="25440"/>
    <n v="26400"/>
    <n v="720"/>
    <m/>
    <m/>
    <m/>
    <x v="1"/>
    <x v="16"/>
    <s v="160N"/>
    <s v="84W"/>
    <s v="T.160N,R.84W,5TH PM,ND SEC.23 SE,SEC.24 SW,SEC.26 NE;    "/>
    <m/>
    <m/>
    <m/>
    <m/>
  </r>
  <r>
    <m/>
    <x v="1"/>
    <x v="1"/>
    <m/>
    <m/>
    <x v="1"/>
    <m/>
    <x v="1"/>
    <x v="1"/>
    <m/>
    <m/>
    <m/>
    <m/>
    <m/>
    <m/>
    <m/>
    <m/>
    <m/>
    <m/>
    <m/>
    <x v="1"/>
    <x v="1"/>
    <m/>
    <m/>
    <s v="     "/>
    <m/>
    <m/>
    <m/>
    <m/>
  </r>
  <r>
    <m/>
    <x v="1"/>
    <x v="1"/>
    <s v="TOTALS"/>
    <m/>
    <x v="1"/>
    <m/>
    <x v="1"/>
    <x v="1"/>
    <m/>
    <m/>
    <m/>
    <m/>
    <n v="960"/>
    <n v="25440"/>
    <n v="26400"/>
    <m/>
    <m/>
    <m/>
    <m/>
    <x v="1"/>
    <x v="1"/>
    <m/>
    <m/>
    <s v="     "/>
    <m/>
    <m/>
    <m/>
    <m/>
  </r>
  <r>
    <m/>
    <x v="1"/>
    <x v="1"/>
    <m/>
    <m/>
    <x v="1"/>
    <m/>
    <x v="1"/>
    <x v="1"/>
    <m/>
    <m/>
    <m/>
    <m/>
    <m/>
    <m/>
    <m/>
    <m/>
    <m/>
    <m/>
    <m/>
    <x v="1"/>
    <x v="1"/>
    <m/>
    <m/>
    <s v="     "/>
    <m/>
    <m/>
    <m/>
    <m/>
  </r>
  <r>
    <s v="MTM103416"/>
    <x v="2"/>
    <x v="2"/>
    <d v="2012-05-08T00:00:00"/>
    <d v="2012-06-01T00:00:00"/>
    <x v="88"/>
    <n v="315.86"/>
    <x v="209"/>
    <x v="19"/>
    <m/>
    <n v="0.1"/>
    <n v="0.09"/>
    <m/>
    <n v="1256"/>
    <n v="316"/>
    <n v="1572"/>
    <n v="474"/>
    <m/>
    <m/>
    <m/>
    <x v="1"/>
    <x v="16"/>
    <s v="12N"/>
    <s v="56E"/>
    <s v="T.12N R.56E PMM,MT SEC.6 LOTS 4-6, 11-14 SEC.6 E2SW    "/>
    <m/>
    <m/>
    <m/>
    <m/>
  </r>
  <r>
    <s v="MTM103417"/>
    <x v="2"/>
    <x v="2"/>
    <d v="2012-05-08T00:00:00"/>
    <d v="2012-06-01T00:00:00"/>
    <x v="88"/>
    <n v="640"/>
    <x v="209"/>
    <x v="19"/>
    <m/>
    <n v="0.1"/>
    <n v="0.09"/>
    <m/>
    <n v="2390"/>
    <n v="1920"/>
    <n v="4310"/>
    <n v="960"/>
    <m/>
    <m/>
    <m/>
    <x v="1"/>
    <x v="16"/>
    <s v="12N"/>
    <s v="56E"/>
    <s v="T.12N R.56E PMM,MT SEC.8 ALL     "/>
    <m/>
    <m/>
    <m/>
    <m/>
  </r>
  <r>
    <s v="MTM103418"/>
    <x v="2"/>
    <x v="2"/>
    <d v="2012-05-08T00:00:00"/>
    <d v="2012-06-01T00:00:00"/>
    <x v="88"/>
    <n v="320"/>
    <x v="209"/>
    <x v="19"/>
    <m/>
    <n v="0.1"/>
    <n v="0.09"/>
    <m/>
    <n v="1270"/>
    <n v="1600"/>
    <n v="2870"/>
    <n v="480"/>
    <m/>
    <m/>
    <m/>
    <x v="1"/>
    <x v="16"/>
    <s v="12N"/>
    <s v="56E"/>
    <s v="T.12N R.56E PMM,MT SEC.18 NE SENW NESW N2SE    "/>
    <m/>
    <m/>
    <m/>
    <m/>
  </r>
  <r>
    <s v="MTM103419"/>
    <x v="2"/>
    <x v="2"/>
    <d v="2012-05-08T00:00:00"/>
    <d v="2012-06-01T00:00:00"/>
    <x v="88"/>
    <n v="320"/>
    <x v="209"/>
    <x v="19"/>
    <m/>
    <n v="0.1"/>
    <n v="0.09"/>
    <m/>
    <n v="1270"/>
    <n v="1280"/>
    <n v="2550"/>
    <n v="480"/>
    <m/>
    <m/>
    <m/>
    <x v="1"/>
    <x v="16"/>
    <s v="12N"/>
    <s v="56E"/>
    <s v="T.12N R.56E PMM,MT SEC.20 W2    "/>
    <m/>
    <m/>
    <m/>
    <m/>
  </r>
  <r>
    <s v="MTM103420"/>
    <x v="2"/>
    <x v="2"/>
    <d v="2012-05-08T00:00:00"/>
    <d v="2012-06-01T00:00:00"/>
    <x v="88"/>
    <n v="960"/>
    <x v="209"/>
    <x v="19"/>
    <m/>
    <n v="0.1"/>
    <n v="0.09"/>
    <m/>
    <n v="3510"/>
    <n v="3840"/>
    <n v="7350"/>
    <n v="1440"/>
    <m/>
    <m/>
    <m/>
    <x v="1"/>
    <x v="16"/>
    <s v="12N"/>
    <s v="56E"/>
    <s v="T.12N R.56E PMM,MT SEC.27 ALL, SEC.34 N2    "/>
    <m/>
    <m/>
    <m/>
    <m/>
  </r>
  <r>
    <s v="MTM103421"/>
    <x v="2"/>
    <x v="2"/>
    <d v="2012-05-08T00:00:00"/>
    <d v="2012-06-01T00:00:00"/>
    <x v="88"/>
    <n v="1262.2"/>
    <x v="209"/>
    <x v="19"/>
    <m/>
    <n v="0.1"/>
    <n v="0.09"/>
    <m/>
    <n v="4570.5"/>
    <n v="6315"/>
    <n v="10885.5"/>
    <n v="1894.5"/>
    <m/>
    <m/>
    <m/>
    <x v="1"/>
    <x v="16"/>
    <s v="12N"/>
    <s v="56E"/>
    <s v="T.12N R.56E PMM,MT SEC.29 ALL, SEC.30 LOTS 1-4, SEC.30 E2 E2W2    "/>
    <m/>
    <m/>
    <m/>
    <m/>
  </r>
  <r>
    <s v="MTM103422"/>
    <x v="2"/>
    <x v="2"/>
    <d v="2012-05-08T00:00:00"/>
    <d v="2012-06-01T00:00:00"/>
    <x v="88"/>
    <n v="1280"/>
    <x v="209"/>
    <x v="19"/>
    <m/>
    <n v="0.1"/>
    <n v="0.09"/>
    <m/>
    <n v="4630"/>
    <n v="6400"/>
    <n v="11030"/>
    <n v="1920"/>
    <m/>
    <m/>
    <m/>
    <x v="1"/>
    <x v="16"/>
    <s v="12N"/>
    <s v="56E"/>
    <s v="T.12N R.56E PMM,MT SEC.32 ALL, SEC.33 ALL    "/>
    <m/>
    <m/>
    <m/>
    <m/>
  </r>
  <r>
    <m/>
    <x v="1"/>
    <x v="1"/>
    <m/>
    <m/>
    <x v="1"/>
    <m/>
    <x v="1"/>
    <x v="1"/>
    <m/>
    <m/>
    <m/>
    <m/>
    <m/>
    <m/>
    <m/>
    <m/>
    <m/>
    <m/>
    <m/>
    <x v="1"/>
    <x v="1"/>
    <m/>
    <m/>
    <s v="     "/>
    <m/>
    <m/>
    <m/>
    <m/>
  </r>
  <r>
    <m/>
    <x v="1"/>
    <x v="1"/>
    <m/>
    <m/>
    <x v="1"/>
    <m/>
    <x v="1"/>
    <x v="1"/>
    <m/>
    <m/>
    <m/>
    <m/>
    <n v="18896.5"/>
    <n v="21671"/>
    <n v="40567.5"/>
    <m/>
    <m/>
    <m/>
    <m/>
    <x v="1"/>
    <x v="1"/>
    <m/>
    <m/>
    <s v="     "/>
    <m/>
    <m/>
    <m/>
    <m/>
  </r>
  <r>
    <m/>
    <x v="1"/>
    <x v="1"/>
    <m/>
    <m/>
    <x v="1"/>
    <m/>
    <x v="1"/>
    <x v="1"/>
    <m/>
    <m/>
    <m/>
    <m/>
    <m/>
    <m/>
    <m/>
    <m/>
    <m/>
    <m/>
    <m/>
    <x v="1"/>
    <x v="1"/>
    <m/>
    <m/>
    <s v="     "/>
    <m/>
    <m/>
    <m/>
    <m/>
  </r>
  <r>
    <s v="NDM103694"/>
    <x v="2"/>
    <x v="2"/>
    <d v="2012-07-17T00:00:00"/>
    <d v="2012-09-01T00:00:00"/>
    <x v="89"/>
    <n v="320"/>
    <x v="198"/>
    <x v="16"/>
    <m/>
    <n v="0.1"/>
    <n v="0.09"/>
    <m/>
    <n v="1270"/>
    <n v="40960"/>
    <n v="42230"/>
    <n v="480"/>
    <m/>
    <m/>
    <m/>
    <x v="1"/>
    <x v="16"/>
    <s v="138N"/>
    <s v="102W"/>
    <s v="T138N R102W 5TH PM,ND SEC.12 N2    "/>
    <m/>
    <m/>
    <m/>
    <m/>
  </r>
  <r>
    <s v="NDM103695"/>
    <x v="2"/>
    <x v="2"/>
    <d v="2012-07-17T00:00:00"/>
    <d v="2012-09-01T00:00:00"/>
    <x v="89"/>
    <n v="320"/>
    <x v="198"/>
    <x v="16"/>
    <m/>
    <n v="0.1"/>
    <n v="0.09"/>
    <m/>
    <n v="1270"/>
    <n v="40960"/>
    <n v="42230"/>
    <n v="480"/>
    <m/>
    <m/>
    <m/>
    <x v="1"/>
    <x v="16"/>
    <s v="138N"/>
    <s v="102W"/>
    <s v="T138N R102W 5TH PM,ND SEC.12 S2    "/>
    <m/>
    <m/>
    <m/>
    <m/>
  </r>
  <r>
    <s v="NDM103703"/>
    <x v="2"/>
    <x v="2"/>
    <d v="2012-07-17T00:00:00"/>
    <d v="2012-09-01T00:00:00"/>
    <x v="89"/>
    <n v="9.75"/>
    <x v="199"/>
    <x v="16"/>
    <m/>
    <n v="0.1"/>
    <n v="0.09"/>
    <m/>
    <n v="185"/>
    <n v="230"/>
    <n v="415"/>
    <n v="15"/>
    <m/>
    <m/>
    <m/>
    <x v="1"/>
    <x v="16"/>
    <s v="135N"/>
    <s v="104W"/>
    <s v="T135N R104W 5TH PM,ND SEC.6 LOT 15    "/>
    <m/>
    <m/>
    <m/>
    <m/>
  </r>
  <r>
    <s v="SDM103746"/>
    <x v="2"/>
    <x v="2"/>
    <d v="2012-07-17T00:00:00"/>
    <d v="2012-09-01T00:00:00"/>
    <x v="89"/>
    <n v="1039.92"/>
    <x v="193"/>
    <x v="17"/>
    <m/>
    <n v="0.1"/>
    <n v="0.09"/>
    <m/>
    <n v="3790"/>
    <n v="91520"/>
    <n v="95310"/>
    <n v="1560"/>
    <m/>
    <m/>
    <m/>
    <x v="1"/>
    <x v="16"/>
    <s v="11S"/>
    <s v="1E"/>
    <s v="T11S R1E BHM,SD SEC.4 LOT 4, SEC.4 SWNW; SEC.5 LOTS 1-4; SEC.5 S2N2 S2; SEC.6 LOTS 1,2; SEC.6 S2NE, SE;    "/>
    <m/>
    <m/>
    <m/>
    <m/>
  </r>
  <r>
    <s v="SDM103748"/>
    <x v="2"/>
    <x v="2"/>
    <d v="2012-07-17T00:00:00"/>
    <d v="2012-09-01T00:00:00"/>
    <x v="89"/>
    <n v="1042.1199999999999"/>
    <x v="193"/>
    <x v="17"/>
    <m/>
    <n v="0.1"/>
    <n v="0.09"/>
    <m/>
    <n v="3800.5"/>
    <n v="15645"/>
    <n v="19445.5"/>
    <n v="1564.5"/>
    <m/>
    <m/>
    <m/>
    <x v="1"/>
    <x v="16"/>
    <s v="11S"/>
    <s v="1E"/>
    <s v="T11S R1E BHM,SD SEC.6 LOTS 3-7, SEC.6 SENW E2SW; SEC.7 LOTS 1-4; SEC.7 E2 E2W2; SEC.8 W2W2    "/>
    <m/>
    <m/>
    <m/>
    <m/>
  </r>
  <r>
    <s v="SDM103750"/>
    <x v="2"/>
    <x v="2"/>
    <d v="2012-07-17T00:00:00"/>
    <d v="2012-09-01T00:00:00"/>
    <x v="89"/>
    <n v="280"/>
    <x v="193"/>
    <x v="17"/>
    <m/>
    <n v="0.1"/>
    <n v="0.09"/>
    <m/>
    <n v="1130"/>
    <n v="3360"/>
    <n v="4490"/>
    <n v="420"/>
    <m/>
    <m/>
    <m/>
    <x v="1"/>
    <x v="16"/>
    <s v="11S"/>
    <s v="1E"/>
    <s v="T11S R1E BHM,SD SEC.12 NESW S2SW SEC.13 NW    "/>
    <m/>
    <m/>
    <m/>
    <m/>
  </r>
  <r>
    <s v="SDM103751"/>
    <x v="2"/>
    <x v="2"/>
    <d v="2012-07-17T00:00:00"/>
    <d v="2012-09-01T00:00:00"/>
    <x v="89"/>
    <n v="320"/>
    <x v="193"/>
    <x v="17"/>
    <m/>
    <n v="0.1"/>
    <n v="0.09"/>
    <m/>
    <n v="1270"/>
    <n v="3200"/>
    <n v="4470"/>
    <n v="480"/>
    <m/>
    <m/>
    <m/>
    <x v="1"/>
    <x v="16"/>
    <s v="11S"/>
    <s v="1E"/>
    <s v="T11S R1E BHM,SD SEC.12 SE SEC.13 NE    "/>
    <m/>
    <m/>
    <m/>
    <m/>
  </r>
  <r>
    <s v="SDM103758"/>
    <x v="2"/>
    <x v="2"/>
    <d v="2012-07-17T00:00:00"/>
    <d v="2012-09-01T00:00:00"/>
    <x v="89"/>
    <n v="1360"/>
    <x v="193"/>
    <x v="17"/>
    <m/>
    <n v="0.1"/>
    <n v="0.09"/>
    <m/>
    <n v="4910"/>
    <n v="19040"/>
    <n v="23950"/>
    <n v="2040"/>
    <m/>
    <m/>
    <m/>
    <x v="1"/>
    <x v="16"/>
    <s v="11S"/>
    <s v="1E"/>
    <s v="T11S R1E BHM,SD SEC.26 N2 E2SW SWSW SE SEC.27 N2NE, SENE SEC.35 ALL    "/>
    <m/>
    <m/>
    <m/>
    <m/>
  </r>
  <r>
    <s v="SDM103761"/>
    <x v="2"/>
    <x v="2"/>
    <d v="2012-07-17T00:00:00"/>
    <d v="2012-09-01T00:00:00"/>
    <x v="89"/>
    <n v="320"/>
    <x v="193"/>
    <x v="17"/>
    <m/>
    <n v="0.1"/>
    <n v="0.09"/>
    <m/>
    <n v="1270"/>
    <n v="3520"/>
    <n v="4790"/>
    <n v="480"/>
    <m/>
    <m/>
    <m/>
    <x v="1"/>
    <x v="16"/>
    <s v="11S"/>
    <s v="1E"/>
    <s v="T11S R1E BHM,SD SEC.32 E2    "/>
    <m/>
    <m/>
    <m/>
    <m/>
  </r>
  <r>
    <s v="SDM103770"/>
    <x v="2"/>
    <x v="2"/>
    <d v="2012-07-17T00:00:00"/>
    <d v="2012-09-01T00:00:00"/>
    <x v="89"/>
    <n v="1360"/>
    <x v="193"/>
    <x v="17"/>
    <m/>
    <n v="0.1"/>
    <n v="0.09"/>
    <m/>
    <n v="4910"/>
    <n v="24480"/>
    <n v="29390"/>
    <n v="2040"/>
    <m/>
    <m/>
    <m/>
    <x v="1"/>
    <x v="16"/>
    <s v="12S"/>
    <s v="1E"/>
    <s v="T12S R1E BHM,SD SEC.8 E2NE, SEC.9 ALL SEC.10 ALL    "/>
    <m/>
    <m/>
    <m/>
    <m/>
  </r>
  <r>
    <s v="SDM103773"/>
    <x v="2"/>
    <x v="2"/>
    <d v="2012-07-17T00:00:00"/>
    <d v="2012-09-01T00:00:00"/>
    <x v="89"/>
    <n v="1205.8699999999999"/>
    <x v="193"/>
    <x v="17"/>
    <m/>
    <n v="0.1"/>
    <n v="0.09"/>
    <m/>
    <n v="4371"/>
    <n v="19296"/>
    <n v="23667"/>
    <n v="1809"/>
    <m/>
    <m/>
    <m/>
    <x v="1"/>
    <x v="16"/>
    <s v="12S"/>
    <s v="1E"/>
    <s v="T12S R1E BHM,SD SEC.17 LOTS 1-4; SEC.17 N2,N2S2,SEC.18 LOTS 1-7; SEC.18 NE,E2NW,NESW,N2SE    "/>
    <m/>
    <m/>
    <m/>
    <m/>
  </r>
  <r>
    <m/>
    <x v="1"/>
    <x v="1"/>
    <m/>
    <m/>
    <x v="1"/>
    <m/>
    <x v="1"/>
    <x v="1"/>
    <m/>
    <m/>
    <m/>
    <m/>
    <m/>
    <m/>
    <m/>
    <m/>
    <m/>
    <m/>
    <m/>
    <x v="1"/>
    <x v="1"/>
    <m/>
    <m/>
    <s v="     "/>
    <m/>
    <m/>
    <m/>
    <m/>
  </r>
  <r>
    <m/>
    <x v="1"/>
    <x v="1"/>
    <m/>
    <m/>
    <x v="1"/>
    <m/>
    <x v="1"/>
    <x v="1"/>
    <m/>
    <m/>
    <m/>
    <m/>
    <n v="28176.5"/>
    <n v="262211"/>
    <n v="290387.5"/>
    <m/>
    <m/>
    <m/>
    <m/>
    <x v="1"/>
    <x v="1"/>
    <m/>
    <m/>
    <s v="     "/>
    <m/>
    <m/>
    <m/>
    <m/>
  </r>
  <r>
    <m/>
    <x v="1"/>
    <x v="1"/>
    <m/>
    <m/>
    <x v="1"/>
    <m/>
    <x v="1"/>
    <x v="1"/>
    <m/>
    <m/>
    <m/>
    <m/>
    <m/>
    <m/>
    <m/>
    <m/>
    <m/>
    <m/>
    <m/>
    <x v="1"/>
    <x v="1"/>
    <m/>
    <m/>
    <s v="     "/>
    <m/>
    <m/>
    <m/>
    <m/>
  </r>
  <r>
    <s v="LAES57692"/>
    <x v="2"/>
    <x v="2"/>
    <d v="2013-03-21T00:00:00"/>
    <d v="2013-06-01T00:00:00"/>
    <x v="68"/>
    <n v="54.02"/>
    <x v="210"/>
    <x v="3"/>
    <m/>
    <n v="0.1"/>
    <n v="0.09"/>
    <m/>
    <n v="342.5"/>
    <n v="0"/>
    <n v="342.5"/>
    <n v="82.5"/>
    <m/>
    <m/>
    <m/>
    <x v="119"/>
    <x v="17"/>
    <s v="11N"/>
    <s v="11W"/>
    <s v="T11N R11W MERIDIAN LOUISIANA SEC 2 LOTS 2 4 &amp; 6    "/>
    <m/>
    <m/>
    <m/>
    <m/>
  </r>
  <r>
    <m/>
    <x v="1"/>
    <x v="1"/>
    <m/>
    <m/>
    <x v="1"/>
    <m/>
    <x v="1"/>
    <x v="1"/>
    <m/>
    <m/>
    <m/>
    <m/>
    <m/>
    <m/>
    <m/>
    <m/>
    <m/>
    <m/>
    <m/>
    <x v="1"/>
    <x v="1"/>
    <m/>
    <m/>
    <s v="     "/>
    <m/>
    <m/>
    <m/>
    <m/>
  </r>
  <r>
    <s v="LAES57773"/>
    <x v="2"/>
    <x v="2"/>
    <d v="2013-06-20T00:00:00"/>
    <d v="2013-08-01T00:00:00"/>
    <x v="90"/>
    <n v="22.16"/>
    <x v="32"/>
    <x v="3"/>
    <m/>
    <n v="0.1"/>
    <n v="0.09"/>
    <m/>
    <n v="230.5"/>
    <n v="0"/>
    <n v="230.5"/>
    <n v="34.5"/>
    <m/>
    <m/>
    <m/>
    <x v="119"/>
    <x v="17"/>
    <s v="3N"/>
    <s v="1E"/>
    <s v="T3N R1E MERIDIAN LOUISIANA SEC 9 ALL    "/>
    <m/>
    <m/>
    <m/>
    <m/>
  </r>
  <r>
    <m/>
    <x v="1"/>
    <x v="1"/>
    <m/>
    <m/>
    <x v="1"/>
    <m/>
    <x v="1"/>
    <x v="1"/>
    <m/>
    <m/>
    <m/>
    <m/>
    <m/>
    <m/>
    <m/>
    <m/>
    <m/>
    <m/>
    <m/>
    <x v="1"/>
    <x v="1"/>
    <m/>
    <m/>
    <s v="     "/>
    <m/>
    <m/>
    <m/>
    <m/>
  </r>
  <r>
    <s v="ARES57930"/>
    <x v="2"/>
    <x v="2"/>
    <d v="2014-06-19T00:00:00"/>
    <d v="2014-09-01T00:00:00"/>
    <x v="76"/>
    <n v="161.55000000000001"/>
    <x v="72"/>
    <x v="2"/>
    <m/>
    <n v="0.1"/>
    <n v="0.09"/>
    <m/>
    <n v="722"/>
    <n v="0"/>
    <n v="722"/>
    <n v="243"/>
    <m/>
    <m/>
    <m/>
    <x v="119"/>
    <x v="20"/>
    <s v="11N"/>
    <s v="16W"/>
    <s v="T11N R16W MERIDIAN 5TH PM SEC 19 E2NW SWNW NESW    "/>
    <m/>
    <m/>
    <m/>
    <m/>
  </r>
  <r>
    <s v="ARES57931"/>
    <x v="2"/>
    <x v="2"/>
    <d v="2014-06-19T00:00:00"/>
    <d v="2014-09-01T00:00:00"/>
    <x v="76"/>
    <n v="120"/>
    <x v="72"/>
    <x v="2"/>
    <m/>
    <n v="0.1"/>
    <n v="0.09"/>
    <m/>
    <n v="575"/>
    <n v="0"/>
    <n v="575"/>
    <n v="180"/>
    <m/>
    <m/>
    <m/>
    <x v="119"/>
    <x v="20"/>
    <s v="11N"/>
    <s v="16W"/>
    <s v="T11N R16W MERIDIAN 5TH PM SEC 22 W2NW SENW    "/>
    <m/>
    <m/>
    <m/>
    <m/>
  </r>
  <r>
    <s v="ARES57932"/>
    <x v="2"/>
    <x v="2"/>
    <d v="2014-06-19T00:00:00"/>
    <d v="2014-09-01T00:00:00"/>
    <x v="76"/>
    <n v="40"/>
    <x v="72"/>
    <x v="2"/>
    <m/>
    <n v="0.1"/>
    <n v="0.09"/>
    <m/>
    <n v="295"/>
    <n v="0"/>
    <n v="295"/>
    <n v="60"/>
    <m/>
    <m/>
    <m/>
    <x v="119"/>
    <x v="20"/>
    <s v="12N"/>
    <s v="16W"/>
    <s v="T12N R16W MERIDIAN 5TH PM SEC 20 NESE    "/>
    <m/>
    <m/>
    <m/>
    <m/>
  </r>
  <r>
    <s v="ARES57933"/>
    <x v="2"/>
    <x v="2"/>
    <d v="2014-06-19T00:00:00"/>
    <d v="2014-09-01T00:00:00"/>
    <x v="76"/>
    <n v="40"/>
    <x v="72"/>
    <x v="2"/>
    <m/>
    <n v="0.1"/>
    <n v="0.09"/>
    <m/>
    <n v="295"/>
    <n v="0"/>
    <n v="295"/>
    <n v="60"/>
    <m/>
    <m/>
    <m/>
    <x v="119"/>
    <x v="20"/>
    <s v="12N"/>
    <s v="16W"/>
    <s v="T12N R16W MERIDIAN 5TH PM SEC 25 NWNE    "/>
    <m/>
    <m/>
    <m/>
    <m/>
  </r>
  <r>
    <s v="ARES57934"/>
    <x v="2"/>
    <x v="2"/>
    <d v="2014-06-19T00:00:00"/>
    <d v="2014-09-01T00:00:00"/>
    <x v="76"/>
    <n v="40"/>
    <x v="72"/>
    <x v="2"/>
    <m/>
    <n v="0.1"/>
    <n v="0.09"/>
    <m/>
    <n v="295"/>
    <n v="0"/>
    <n v="295"/>
    <n v="60"/>
    <m/>
    <m/>
    <m/>
    <x v="119"/>
    <x v="20"/>
    <s v="11N"/>
    <s v="17W"/>
    <s v="T11N R17W MERIDIAN 5TH PM SEC 24 SENW    "/>
    <m/>
    <m/>
    <m/>
    <m/>
  </r>
  <r>
    <s v="LAES57935"/>
    <x v="2"/>
    <x v="2"/>
    <d v="2014-06-19T00:00:00"/>
    <d v="2014-09-01T00:00:00"/>
    <x v="76"/>
    <n v="40.130000000000003"/>
    <x v="146"/>
    <x v="3"/>
    <m/>
    <n v="0.1"/>
    <n v="0.09"/>
    <m/>
    <n v="298.5"/>
    <n v="0"/>
    <n v="298.5"/>
    <n v="61.5"/>
    <m/>
    <m/>
    <m/>
    <x v="119"/>
    <x v="20"/>
    <s v="22N"/>
    <s v="7W"/>
    <s v="T22N R7W MERIDIAN LOUISIANA SEC 14 SWNE    "/>
    <m/>
    <m/>
    <m/>
    <m/>
  </r>
  <r>
    <m/>
    <x v="1"/>
    <x v="1"/>
    <m/>
    <m/>
    <x v="1"/>
    <m/>
    <x v="1"/>
    <x v="1"/>
    <m/>
    <m/>
    <m/>
    <m/>
    <m/>
    <m/>
    <m/>
    <m/>
    <m/>
    <m/>
    <m/>
    <x v="1"/>
    <x v="1"/>
    <m/>
    <m/>
    <s v="     "/>
    <m/>
    <m/>
    <m/>
    <m/>
  </r>
  <r>
    <m/>
    <x v="1"/>
    <x v="1"/>
    <m/>
    <m/>
    <x v="1"/>
    <m/>
    <x v="1"/>
    <x v="1"/>
    <m/>
    <m/>
    <m/>
    <m/>
    <n v="2480.5"/>
    <n v="0"/>
    <n v="2480.5"/>
    <m/>
    <m/>
    <m/>
    <m/>
    <x v="1"/>
    <x v="1"/>
    <m/>
    <m/>
    <s v="     "/>
    <m/>
    <m/>
    <m/>
    <m/>
  </r>
  <r>
    <m/>
    <x v="1"/>
    <x v="1"/>
    <m/>
    <m/>
    <x v="1"/>
    <m/>
    <x v="1"/>
    <x v="1"/>
    <m/>
    <m/>
    <m/>
    <m/>
    <m/>
    <m/>
    <m/>
    <m/>
    <m/>
    <m/>
    <m/>
    <x v="1"/>
    <x v="1"/>
    <m/>
    <m/>
    <s v="     "/>
    <m/>
    <m/>
    <m/>
    <m/>
  </r>
  <r>
    <s v="KYES58148"/>
    <x v="2"/>
    <x v="2"/>
    <d v="2016-09-20T00:00:00"/>
    <d v="2016-11-01T00:00:00"/>
    <x v="72"/>
    <n v="184"/>
    <x v="211"/>
    <x v="12"/>
    <m/>
    <n v="0.1"/>
    <n v="0.1"/>
    <m/>
    <n v="804"/>
    <n v="2392"/>
    <n v="3196"/>
    <n v="276"/>
    <m/>
    <m/>
    <m/>
    <x v="1"/>
    <x v="19"/>
    <m/>
    <m/>
    <s v="TRACT 306     "/>
    <m/>
    <m/>
    <m/>
    <m/>
  </r>
  <r>
    <s v="MSES58149"/>
    <x v="2"/>
    <x v="2"/>
    <d v="2016-09-20T00:00:00"/>
    <d v="2016-11-01T00:00:00"/>
    <x v="72"/>
    <n v="477.64"/>
    <x v="27"/>
    <x v="4"/>
    <m/>
    <n v="0.1"/>
    <n v="0.1"/>
    <m/>
    <n v="1833"/>
    <n v="956"/>
    <n v="2789"/>
    <n v="717"/>
    <m/>
    <m/>
    <m/>
    <x v="1"/>
    <x v="19"/>
    <s v="5N"/>
    <s v="9E"/>
    <s v="T5N R9E MERIDIAN CHOCTAW SEC 1 S2NE W2 SE    "/>
    <m/>
    <m/>
    <m/>
    <m/>
  </r>
  <r>
    <s v="MSES58150"/>
    <x v="2"/>
    <x v="2"/>
    <d v="2016-09-20T00:00:00"/>
    <d v="2016-11-01T00:00:00"/>
    <x v="72"/>
    <n v="461.76"/>
    <x v="27"/>
    <x v="4"/>
    <m/>
    <n v="0.1"/>
    <n v="0.1"/>
    <m/>
    <n v="1777"/>
    <n v="1848"/>
    <n v="3625"/>
    <n v="693"/>
    <m/>
    <m/>
    <m/>
    <x v="1"/>
    <x v="19"/>
    <s v="5N"/>
    <s v="9E"/>
    <s v="T5N R9E MERIDIAN CHOCTAW SEC 3 N2NE W2 S2SE    "/>
    <m/>
    <m/>
    <m/>
    <m/>
  </r>
  <r>
    <s v="MSES58151"/>
    <x v="2"/>
    <x v="2"/>
    <d v="2016-09-20T00:00:00"/>
    <d v="2016-11-01T00:00:00"/>
    <x v="72"/>
    <n v="280.73"/>
    <x v="27"/>
    <x v="4"/>
    <m/>
    <n v="0.1"/>
    <n v="0.1"/>
    <m/>
    <n v="1143.5"/>
    <n v="1124"/>
    <n v="2267.5"/>
    <n v="421.5"/>
    <m/>
    <m/>
    <m/>
    <x v="1"/>
    <x v="19"/>
    <s v="5N"/>
    <s v="9E"/>
    <s v="T5N R9E MERIDIAN CHOCTAW SEC 10 N2NE SWNE NENW NWNW N2SWNW E2SE LESS S 20 ACRES AS FOLLOWS : SEE DETAILED DESCRIPTION ON THE LEASE   "/>
    <m/>
    <m/>
    <m/>
    <m/>
  </r>
  <r>
    <s v="MSES58152"/>
    <x v="2"/>
    <x v="2"/>
    <d v="2016-09-20T00:00:00"/>
    <d v="2016-11-01T00:00:00"/>
    <x v="72"/>
    <n v="602.85"/>
    <x v="27"/>
    <x v="4"/>
    <m/>
    <n v="0.1"/>
    <n v="0.1"/>
    <m/>
    <n v="2270.5"/>
    <n v="3015"/>
    <n v="5285.5"/>
    <n v="904.5"/>
    <m/>
    <m/>
    <m/>
    <x v="1"/>
    <x v="19"/>
    <s v="5N"/>
    <s v="9E"/>
    <s v="T5N R9E MERIDIAN CHOCTAW SEC 11 NE W2NW SENW S2    "/>
    <m/>
    <m/>
    <m/>
    <m/>
  </r>
  <r>
    <s v="MSES58153"/>
    <x v="2"/>
    <x v="2"/>
    <d v="2016-09-20T00:00:00"/>
    <d v="2016-11-01T00:00:00"/>
    <x v="72"/>
    <n v="396.07"/>
    <x v="27"/>
    <x v="4"/>
    <m/>
    <n v="0.1"/>
    <n v="0.1"/>
    <m/>
    <n v="1549.5"/>
    <n v="1588"/>
    <n v="3137.5"/>
    <n v="595.5"/>
    <m/>
    <m/>
    <m/>
    <x v="1"/>
    <x v="19"/>
    <s v="5N"/>
    <s v="9E"/>
    <s v="T5N R9E MERIDIAN CHOCTAW SEC 12 NE NENWSWNW W2SW N2SE SESE    "/>
    <m/>
    <m/>
    <m/>
    <m/>
  </r>
  <r>
    <s v="MSES58154"/>
    <x v="2"/>
    <x v="2"/>
    <d v="2016-09-20T00:00:00"/>
    <d v="2016-11-01T00:00:00"/>
    <x v="72"/>
    <n v="154.19"/>
    <x v="27"/>
    <x v="4"/>
    <m/>
    <n v="0.1"/>
    <n v="0.1"/>
    <m/>
    <n v="702.5"/>
    <n v="1085"/>
    <n v="1787.5"/>
    <n v="232.5"/>
    <m/>
    <m/>
    <m/>
    <x v="1"/>
    <x v="19"/>
    <s v="5N"/>
    <s v="9E"/>
    <s v="T5N R9E MERIDIAN CHOCTAW SEC 13 NWNW W2SW SESW WEST 10 ACRES OF SWSE    "/>
    <m/>
    <m/>
    <m/>
    <m/>
  </r>
  <r>
    <s v="MSES58155"/>
    <x v="2"/>
    <x v="2"/>
    <d v="2016-09-20T00:00:00"/>
    <d v="2016-11-01T00:00:00"/>
    <x v="72"/>
    <n v="566.72"/>
    <x v="27"/>
    <x v="4"/>
    <m/>
    <n v="0.1"/>
    <n v="0.1"/>
    <m/>
    <n v="2144.5"/>
    <n v="2835"/>
    <n v="4979.5"/>
    <n v="850.5"/>
    <m/>
    <m/>
    <m/>
    <x v="1"/>
    <x v="19"/>
    <s v="5N"/>
    <s v="9E"/>
    <s v="T5N R9E MERIDIAN CHOCTAW SEC 14 E2 NWNW S2NW N2SW SWSW    "/>
    <m/>
    <m/>
    <m/>
    <m/>
  </r>
  <r>
    <s v="MSES58156"/>
    <x v="2"/>
    <x v="2"/>
    <d v="2016-09-20T00:00:00"/>
    <d v="2016-11-01T00:00:00"/>
    <x v="72"/>
    <n v="54.48"/>
    <x v="27"/>
    <x v="4"/>
    <m/>
    <n v="0.1"/>
    <n v="0.1"/>
    <m/>
    <n v="352.5"/>
    <n v="1155"/>
    <n v="1507.5"/>
    <n v="82.5"/>
    <m/>
    <m/>
    <m/>
    <x v="1"/>
    <x v="19"/>
    <s v="5N"/>
    <s v="9E"/>
    <s v="T5N R9E MERIDIAN CHOCTAW SEC 28 NENE LESS 10 ACRES BEG. 8 CHAINS SOUTH OF NW CORNER OF NENE, EAST 8 1/4 CHAINS, SOUTH 12 CHAINS, WEST 8 1/4 CHAINS TO  SW CORNER OF NENE, NOTH 12 CHAINS TO  BEGINNING; NWNE LESS 16 ACRES ON WEST SIDE "/>
    <m/>
    <m/>
    <m/>
    <m/>
  </r>
  <r>
    <s v="MSES58157"/>
    <x v="2"/>
    <x v="2"/>
    <d v="2016-09-20T00:00:00"/>
    <d v="2016-11-01T00:00:00"/>
    <x v="72"/>
    <n v="340.82"/>
    <x v="27"/>
    <x v="4"/>
    <m/>
    <n v="0.1"/>
    <n v="0.1"/>
    <m/>
    <n v="1353.5"/>
    <n v="1364"/>
    <n v="2717.5"/>
    <n v="511.5"/>
    <m/>
    <m/>
    <m/>
    <x v="1"/>
    <x v="19"/>
    <s v="5N"/>
    <s v="9E"/>
    <s v="T5N R9E MERIDIAN CHOCTAW SEC 35 NE NENW N2SE N2SWSE SESE    "/>
    <m/>
    <m/>
    <m/>
    <m/>
  </r>
  <r>
    <s v="MSES58158"/>
    <x v="2"/>
    <x v="2"/>
    <d v="2016-09-20T00:00:00"/>
    <d v="2016-11-01T00:00:00"/>
    <x v="72"/>
    <n v="575.69000000000005"/>
    <x v="27"/>
    <x v="4"/>
    <m/>
    <n v="0.1"/>
    <n v="0.1"/>
    <m/>
    <n v="2176"/>
    <n v="13824"/>
    <n v="16000"/>
    <n v="864"/>
    <m/>
    <m/>
    <m/>
    <x v="1"/>
    <x v="19"/>
    <s v="5N"/>
    <s v="9E"/>
    <s v="T5N R9E MERIDIAN CHOCTAW SEC 36 ALL    "/>
    <m/>
    <m/>
    <m/>
    <m/>
  </r>
  <r>
    <s v="MSES58159"/>
    <x v="2"/>
    <x v="2"/>
    <d v="2016-09-20T00:00:00"/>
    <d v="2016-11-01T00:00:00"/>
    <x v="72"/>
    <n v="86.21"/>
    <x v="38"/>
    <x v="4"/>
    <m/>
    <n v="0.1"/>
    <n v="0.1"/>
    <m/>
    <n v="464.5"/>
    <n v="15834"/>
    <n v="16298.5"/>
    <n v="130.5"/>
    <m/>
    <m/>
    <m/>
    <x v="1"/>
    <x v="19"/>
    <s v="6N"/>
    <s v="2E"/>
    <s v="T6N R2E MERIDIAN WASHINGTON SEC 35 EAST 8 ACRES NESW S2SW    "/>
    <m/>
    <m/>
    <m/>
    <m/>
  </r>
  <r>
    <s v="MSES58160"/>
    <x v="2"/>
    <x v="2"/>
    <d v="2016-09-20T00:00:00"/>
    <d v="2016-11-01T00:00:00"/>
    <x v="72"/>
    <n v="117.31"/>
    <x v="38"/>
    <x v="4"/>
    <m/>
    <n v="0.1"/>
    <n v="0.1"/>
    <m/>
    <n v="573"/>
    <n v="5782"/>
    <n v="6355"/>
    <n v="177"/>
    <m/>
    <m/>
    <m/>
    <x v="1"/>
    <x v="19"/>
    <s v="6N"/>
    <s v="2E"/>
    <s v="T6N R2E MERIDIAN WASHINGTON SEC 35 NWSE S2SE    "/>
    <m/>
    <m/>
    <m/>
    <m/>
  </r>
  <r>
    <s v="MSES58161"/>
    <x v="2"/>
    <x v="2"/>
    <d v="2016-09-20T00:00:00"/>
    <d v="2016-11-01T00:00:00"/>
    <x v="72"/>
    <n v="56.41"/>
    <x v="162"/>
    <x v="4"/>
    <m/>
    <n v="0.1"/>
    <n v="0.1"/>
    <m/>
    <n v="359.5"/>
    <n v="9918"/>
    <n v="10277.5"/>
    <n v="85.5"/>
    <m/>
    <m/>
    <m/>
    <x v="1"/>
    <x v="19"/>
    <s v="4N"/>
    <s v="1W"/>
    <s v="T4N R1W MERIDIAN WASHINGTON SEC 17 - SEE DETAILED DESCRIPTION ON LEASE    "/>
    <m/>
    <m/>
    <m/>
    <m/>
  </r>
  <r>
    <m/>
    <x v="1"/>
    <x v="1"/>
    <m/>
    <m/>
    <x v="1"/>
    <m/>
    <x v="1"/>
    <x v="1"/>
    <m/>
    <m/>
    <m/>
    <m/>
    <m/>
    <m/>
    <m/>
    <m/>
    <m/>
    <m/>
    <m/>
    <x v="1"/>
    <x v="1"/>
    <m/>
    <m/>
    <s v="     "/>
    <m/>
    <m/>
    <m/>
    <m/>
  </r>
  <r>
    <m/>
    <x v="1"/>
    <x v="1"/>
    <m/>
    <m/>
    <x v="1"/>
    <m/>
    <x v="1"/>
    <x v="1"/>
    <m/>
    <m/>
    <m/>
    <m/>
    <n v="17503.5"/>
    <n v="62720"/>
    <n v="80223.5"/>
    <m/>
    <m/>
    <m/>
    <m/>
    <x v="1"/>
    <x v="1"/>
    <m/>
    <m/>
    <s v="     "/>
    <m/>
    <m/>
    <m/>
    <m/>
  </r>
  <r>
    <m/>
    <x v="1"/>
    <x v="1"/>
    <m/>
    <m/>
    <x v="1"/>
    <m/>
    <x v="1"/>
    <x v="1"/>
    <m/>
    <m/>
    <m/>
    <m/>
    <m/>
    <m/>
    <m/>
    <m/>
    <m/>
    <m/>
    <m/>
    <x v="1"/>
    <x v="1"/>
    <m/>
    <m/>
    <s v="     "/>
    <m/>
    <m/>
    <m/>
    <m/>
  </r>
  <r>
    <s v="MSES58184"/>
    <x v="2"/>
    <x v="2"/>
    <d v="2016-12-13T00:00:00"/>
    <d v="2017-02-01T00:00:00"/>
    <x v="91"/>
    <n v="40.03"/>
    <x v="27"/>
    <x v="4"/>
    <m/>
    <n v="0.1"/>
    <n v="0.1"/>
    <m/>
    <n v="1287.5"/>
    <n v="0"/>
    <n v="1287.5"/>
    <n v="61.5"/>
    <m/>
    <m/>
    <m/>
    <x v="1"/>
    <x v="22"/>
    <s v="5N"/>
    <s v="9E"/>
    <s v="T5N R9E MERIDIAN CHOCTAW SEC 33 SESW    "/>
    <m/>
    <m/>
    <m/>
    <m/>
  </r>
  <r>
    <m/>
    <x v="1"/>
    <x v="1"/>
    <m/>
    <m/>
    <x v="1"/>
    <m/>
    <x v="1"/>
    <x v="1"/>
    <m/>
    <m/>
    <m/>
    <m/>
    <m/>
    <m/>
    <m/>
    <m/>
    <m/>
    <m/>
    <m/>
    <x v="1"/>
    <x v="1"/>
    <m/>
    <m/>
    <s v="     "/>
    <m/>
    <m/>
    <m/>
    <m/>
  </r>
  <r>
    <s v="NVN95160"/>
    <x v="2"/>
    <x v="2"/>
    <d v="2017-03-14T00:00:00"/>
    <d v="2017-05-01T00:00:00"/>
    <x v="92"/>
    <n v="1378.53"/>
    <x v="212"/>
    <x v="20"/>
    <m/>
    <n v="0.1"/>
    <n v="0.1"/>
    <m/>
    <n v="4986.5"/>
    <m/>
    <n v="4986.5"/>
    <n v="2068.5"/>
    <m/>
    <m/>
    <m/>
    <x v="1"/>
    <x v="22"/>
    <s v="27N"/>
    <s v="52E"/>
    <s v="T27N R52E MERIDIAN MDM  SEC 2 LOTS 2,5,6; SWNE S2NW SW W2SE; SEC 11 E2NW SWNW NWSW S2SW SEC 14 LOTS 3-5 , 8-11; SENW NESW NWSE; SEC 26 LOTS 3-5 SENW NESW NWSE;  "/>
    <m/>
    <m/>
    <m/>
    <m/>
  </r>
  <r>
    <s v="NVN95161"/>
    <x v="2"/>
    <x v="2"/>
    <d v="2017-03-14T00:00:00"/>
    <d v="2017-05-01T00:00:00"/>
    <x v="92"/>
    <n v="1443.39"/>
    <x v="212"/>
    <x v="20"/>
    <m/>
    <n v="0.1"/>
    <n v="0.1"/>
    <m/>
    <n v="5214"/>
    <m/>
    <n v="5214"/>
    <n v="2166"/>
    <m/>
    <m/>
    <m/>
    <x v="1"/>
    <x v="22"/>
    <s v="28N"/>
    <s v="52E"/>
    <s v="T28N R52E MERIDIAN MDM SEC 25 LOTS 4 S2NW SW; SEC 34 E2; SEC 35 ALL; SEC 36 NW NWSW;   "/>
    <m/>
    <m/>
    <m/>
    <m/>
  </r>
  <r>
    <m/>
    <x v="1"/>
    <x v="1"/>
    <m/>
    <m/>
    <x v="1"/>
    <m/>
    <x v="1"/>
    <x v="1"/>
    <m/>
    <m/>
    <m/>
    <m/>
    <m/>
    <m/>
    <m/>
    <m/>
    <m/>
    <m/>
    <m/>
    <x v="1"/>
    <x v="1"/>
    <m/>
    <m/>
    <s v="     "/>
    <m/>
    <m/>
    <m/>
    <m/>
  </r>
  <r>
    <s v="MTM109204"/>
    <x v="2"/>
    <x v="2"/>
    <d v="2017-06-13T00:00:00"/>
    <d v="2017-07-01T00:00:00"/>
    <x v="93"/>
    <n v="360"/>
    <x v="213"/>
    <x v="19"/>
    <m/>
    <n v="0.1"/>
    <n v="0.1"/>
    <m/>
    <n v="1420"/>
    <n v="3240"/>
    <n v="4660"/>
    <n v="540"/>
    <m/>
    <m/>
    <m/>
    <x v="1"/>
    <x v="22"/>
    <s v="15N"/>
    <s v="30E"/>
    <s v="T15N R30E PMM MT SEC 22 S1/2NW1/4 NE1/4SW1/4 S1/2SW1/4 SE1/4;    "/>
    <m/>
    <m/>
    <m/>
    <m/>
  </r>
  <r>
    <s v="MTM109205"/>
    <x v="2"/>
    <x v="2"/>
    <d v="2017-06-13T00:00:00"/>
    <d v="2017-07-01T00:00:00"/>
    <x v="93"/>
    <n v="240"/>
    <x v="213"/>
    <x v="19"/>
    <m/>
    <n v="0.1"/>
    <n v="0.1"/>
    <m/>
    <n v="1000"/>
    <n v="2400"/>
    <n v="3400"/>
    <n v="360"/>
    <m/>
    <m/>
    <m/>
    <x v="1"/>
    <x v="22"/>
    <s v="15N"/>
    <s v="30E"/>
    <s v="T15N R30E PMM MT SEC 23 SW1/4 S1/2SE1/4;    "/>
    <m/>
    <m/>
    <m/>
    <m/>
  </r>
  <r>
    <s v="MTM109206"/>
    <x v="2"/>
    <x v="2"/>
    <d v="2017-06-13T00:00:00"/>
    <d v="2017-07-01T00:00:00"/>
    <x v="93"/>
    <n v="600"/>
    <x v="213"/>
    <x v="19"/>
    <m/>
    <n v="0.1"/>
    <n v="0.1"/>
    <m/>
    <n v="2260"/>
    <n v="24000"/>
    <n v="26260"/>
    <n v="900"/>
    <m/>
    <m/>
    <m/>
    <x v="1"/>
    <x v="22"/>
    <s v="15N"/>
    <s v="30E"/>
    <s v="T15N R30E PMM MT SEC 26 N1/2 SW1/4 N1/2SE1/4 SW1/4SE1/4;    "/>
    <m/>
    <m/>
    <m/>
    <m/>
  </r>
  <r>
    <s v="MTM109207"/>
    <x v="2"/>
    <x v="2"/>
    <d v="2017-06-13T00:00:00"/>
    <d v="2017-07-01T00:00:00"/>
    <x v="93"/>
    <n v="120"/>
    <x v="213"/>
    <x v="19"/>
    <m/>
    <n v="0.1"/>
    <n v="0.1"/>
    <m/>
    <n v="580"/>
    <n v="1200"/>
    <n v="1780"/>
    <n v="180"/>
    <m/>
    <m/>
    <m/>
    <x v="1"/>
    <x v="22"/>
    <s v="15N"/>
    <s v="30E"/>
    <s v="T15N R30E PMM MT SEC 27 N1/2NE1/4 SE1/4NE1/4;     "/>
    <m/>
    <m/>
    <m/>
    <m/>
  </r>
  <r>
    <s v="MTM109323"/>
    <x v="2"/>
    <x v="2"/>
    <d v="2017-06-13T00:00:00"/>
    <d v="2017-07-01T00:00:00"/>
    <x v="93"/>
    <n v="160"/>
    <x v="214"/>
    <x v="19"/>
    <m/>
    <n v="0.1"/>
    <n v="0.1"/>
    <m/>
    <n v="720"/>
    <n v="160"/>
    <n v="880"/>
    <n v="240"/>
    <m/>
    <m/>
    <m/>
    <x v="1"/>
    <x v="22"/>
    <s v="9N"/>
    <s v="59E"/>
    <s v="T9N R59E PMM MT SEC 14 NE1/4;    "/>
    <m/>
    <m/>
    <m/>
    <m/>
  </r>
  <r>
    <s v="MTM109324"/>
    <x v="2"/>
    <x v="2"/>
    <d v="2017-06-13T00:00:00"/>
    <d v="2017-07-01T00:00:00"/>
    <x v="93"/>
    <n v="120"/>
    <x v="214"/>
    <x v="19"/>
    <m/>
    <n v="0.1"/>
    <n v="0.1"/>
    <m/>
    <n v="580"/>
    <n v="120"/>
    <n v="700"/>
    <n v="180"/>
    <m/>
    <m/>
    <m/>
    <x v="1"/>
    <x v="22"/>
    <s v="9N"/>
    <s v="59E"/>
    <s v="T9N R59E PMM MT SEC 22 N1/2NW1/4 SW1/4NW1/4;    "/>
    <m/>
    <m/>
    <m/>
    <m/>
  </r>
  <r>
    <s v="MTM109325"/>
    <x v="2"/>
    <x v="2"/>
    <d v="2017-06-13T00:00:00"/>
    <d v="2017-07-01T00:00:00"/>
    <x v="93"/>
    <n v="160"/>
    <x v="214"/>
    <x v="19"/>
    <m/>
    <n v="0.1"/>
    <n v="0.1"/>
    <m/>
    <n v="720"/>
    <n v="160"/>
    <n v="880"/>
    <n v="240"/>
    <m/>
    <m/>
    <m/>
    <x v="1"/>
    <x v="22"/>
    <s v="9N"/>
    <s v="59E"/>
    <s v="T9N R59E PMM MT SEC 24 SW1/4NE1/4 N1/2NW1/4 SE1/4SE1/4;    "/>
    <m/>
    <m/>
    <m/>
    <m/>
  </r>
  <r>
    <s v="MTM109326"/>
    <x v="2"/>
    <x v="2"/>
    <d v="2017-06-13T00:00:00"/>
    <d v="2017-07-01T00:00:00"/>
    <x v="93"/>
    <n v="280"/>
    <x v="214"/>
    <x v="19"/>
    <m/>
    <n v="0.1"/>
    <n v="0.1"/>
    <m/>
    <n v="1140"/>
    <n v="840"/>
    <n v="1980"/>
    <n v="420"/>
    <m/>
    <m/>
    <m/>
    <x v="1"/>
    <x v="22"/>
    <s v="9N"/>
    <s v="59E"/>
    <s v="T9N R59E PMM MT SEC 26 NW1/4 N1/2SW1/4 SE1/4SW1/4;    "/>
    <m/>
    <m/>
    <m/>
    <m/>
  </r>
  <r>
    <s v="MTM109327"/>
    <x v="2"/>
    <x v="2"/>
    <d v="2017-06-13T00:00:00"/>
    <d v="2017-07-01T00:00:00"/>
    <x v="93"/>
    <n v="40"/>
    <x v="214"/>
    <x v="19"/>
    <m/>
    <n v="0.1"/>
    <n v="0.1"/>
    <m/>
    <n v="300"/>
    <n v="240"/>
    <n v="540"/>
    <n v="60"/>
    <m/>
    <m/>
    <m/>
    <x v="1"/>
    <x v="22"/>
    <s v="9N"/>
    <s v="59E"/>
    <s v="T9N R59E PMM MT SEC 26 SW1/4SW1/4;    "/>
    <m/>
    <m/>
    <m/>
    <m/>
  </r>
  <r>
    <s v="MTM109328"/>
    <x v="2"/>
    <x v="2"/>
    <d v="2017-06-13T00:00:00"/>
    <d v="2017-07-01T00:00:00"/>
    <x v="93"/>
    <n v="200"/>
    <x v="214"/>
    <x v="19"/>
    <m/>
    <n v="0.1"/>
    <n v="0.1"/>
    <m/>
    <n v="860"/>
    <n v="1400"/>
    <n v="2260"/>
    <n v="300"/>
    <m/>
    <m/>
    <m/>
    <x v="1"/>
    <x v="22"/>
    <s v="10N"/>
    <s v="59E"/>
    <s v="T10N R59E PMM MT SEC 8 W1/2NW1/4 S1/2SW1/4 SEC 20 NE1/4NE1/4;    "/>
    <m/>
    <m/>
    <m/>
    <m/>
  </r>
  <r>
    <s v="MTM109357"/>
    <x v="2"/>
    <x v="2"/>
    <d v="2017-06-13T00:00:00"/>
    <d v="2017-07-01T00:00:00"/>
    <x v="93"/>
    <n v="280.33"/>
    <x v="202"/>
    <x v="19"/>
    <m/>
    <n v="0.1"/>
    <n v="0.1"/>
    <m/>
    <n v="1143.5"/>
    <n v="4215"/>
    <n v="5358.5"/>
    <n v="421.5"/>
    <m/>
    <m/>
    <m/>
    <x v="1"/>
    <x v="22"/>
    <s v="8S"/>
    <s v="53E"/>
    <s v="T8S R53E PMM MT SEC 5 LOT 1 SEC 5 S1/2SW1/4 SE1/4;    "/>
    <m/>
    <m/>
    <m/>
    <m/>
  </r>
  <r>
    <s v="MTM109359"/>
    <x v="2"/>
    <x v="2"/>
    <d v="2017-06-13T00:00:00"/>
    <d v="2017-07-01T00:00:00"/>
    <x v="93"/>
    <n v="600"/>
    <x v="202"/>
    <x v="19"/>
    <m/>
    <n v="0.1"/>
    <n v="0.1"/>
    <m/>
    <n v="2260"/>
    <n v="9000"/>
    <n v="11260"/>
    <n v="900"/>
    <m/>
    <m/>
    <m/>
    <x v="1"/>
    <x v="22"/>
    <s v="8S"/>
    <s v="53E"/>
    <s v="T8S R53E PMM MT SEC 17 NE1/4 N1/2NW1/4 SE1/4NW1/4 S1/2;    "/>
    <m/>
    <m/>
    <m/>
    <m/>
  </r>
  <r>
    <m/>
    <x v="1"/>
    <x v="1"/>
    <m/>
    <m/>
    <x v="1"/>
    <m/>
    <x v="1"/>
    <x v="1"/>
    <m/>
    <m/>
    <m/>
    <m/>
    <n v="12983.5"/>
    <n v="46975"/>
    <n v="59958.5"/>
    <m/>
    <m/>
    <m/>
    <m/>
    <x v="1"/>
    <x v="1"/>
    <m/>
    <m/>
    <s v="     "/>
    <m/>
    <m/>
    <m/>
    <m/>
  </r>
  <r>
    <m/>
    <x v="1"/>
    <x v="1"/>
    <m/>
    <m/>
    <x v="1"/>
    <m/>
    <x v="1"/>
    <x v="1"/>
    <m/>
    <m/>
    <m/>
    <m/>
    <m/>
    <m/>
    <m/>
    <m/>
    <m/>
    <m/>
    <m/>
    <x v="1"/>
    <x v="1"/>
    <m/>
    <m/>
    <s v="     "/>
    <m/>
    <m/>
    <m/>
    <m/>
  </r>
  <r>
    <s v="COC78348"/>
    <x v="2"/>
    <x v="2"/>
    <d v="2017-06-08T00:00:00"/>
    <d v="2017-08-01T00:00:00"/>
    <x v="94"/>
    <n v="1787.82"/>
    <x v="215"/>
    <x v="21"/>
    <m/>
    <n v="0.1"/>
    <n v="0.1"/>
    <m/>
    <n v="6418"/>
    <n v="0"/>
    <n v="6418"/>
    <n v="2682"/>
    <m/>
    <m/>
    <m/>
    <x v="1"/>
    <x v="22"/>
    <s v="2N"/>
    <s v="101W"/>
    <s v="T2N R101W SEC 20 ALL SEC 21 ALL   SEC 22 LOT 2-6, 8 SEC 22 W2NE W2    "/>
    <m/>
    <m/>
    <m/>
    <m/>
  </r>
  <r>
    <s v="COC78349"/>
    <x v="2"/>
    <x v="2"/>
    <d v="2017-06-08T00:00:00"/>
    <d v="2017-08-01T00:00:00"/>
    <x v="94"/>
    <n v="1808.82"/>
    <x v="215"/>
    <x v="21"/>
    <m/>
    <n v="0.1"/>
    <n v="0.1"/>
    <m/>
    <n v="6491.5"/>
    <n v="0"/>
    <n v="6491.5"/>
    <n v="2713.5"/>
    <m/>
    <m/>
    <m/>
    <x v="1"/>
    <x v="22"/>
    <s v="2N"/>
    <s v="101W"/>
    <s v="T2N R101W SEC 27 LOT 1,3-5,7,8,10-13; SEC 27 W2W2;  SEC 28 ALL; SEC 29 ALL; SEC 31 LOT 6;  SEC 32 LOT 5   "/>
    <m/>
    <m/>
    <m/>
    <m/>
  </r>
  <r>
    <s v="COC78350"/>
    <x v="2"/>
    <x v="2"/>
    <d v="2017-06-08T00:00:00"/>
    <d v="2017-08-01T00:00:00"/>
    <x v="94"/>
    <n v="1873.26"/>
    <x v="215"/>
    <x v="21"/>
    <m/>
    <n v="0.1"/>
    <n v="0.1"/>
    <m/>
    <n v="6719"/>
    <n v="0"/>
    <n v="6719"/>
    <n v="2811"/>
    <m/>
    <m/>
    <m/>
    <x v="1"/>
    <x v="22"/>
    <s v="2N"/>
    <s v="101W"/>
    <s v="T2N R101W SEC 17 ALL; SEC 18 LOT 1-4;  SEC 18 E2,E2W2; SEC 19 LOT 1-3; SEC 19 E2, E2W2   "/>
    <m/>
    <m/>
    <m/>
    <m/>
  </r>
  <r>
    <s v="COC78351"/>
    <x v="2"/>
    <x v="2"/>
    <d v="2017-06-08T00:00:00"/>
    <d v="2017-08-01T00:00:00"/>
    <x v="94"/>
    <n v="1917.52"/>
    <x v="215"/>
    <x v="21"/>
    <m/>
    <n v="0.1"/>
    <n v="0.1"/>
    <m/>
    <n v="6873"/>
    <n v="0"/>
    <n v="6873"/>
    <n v="2877"/>
    <m/>
    <m/>
    <m/>
    <x v="1"/>
    <x v="22"/>
    <s v="2N"/>
    <s v="101W"/>
    <s v="T2N R101W SEC 7 LOT 1-4; SEC 7 E2, E2W2;  SEC 8 ALL; SEC 9 ALL    "/>
    <m/>
    <m/>
    <m/>
    <m/>
  </r>
  <r>
    <s v="COC78352"/>
    <x v="2"/>
    <x v="2"/>
    <d v="2017-06-08T00:00:00"/>
    <d v="2017-08-01T00:00:00"/>
    <x v="94"/>
    <n v="1914.96"/>
    <x v="215"/>
    <x v="21"/>
    <m/>
    <n v="0.1"/>
    <n v="0.1"/>
    <m/>
    <n v="6862.5"/>
    <n v="0"/>
    <n v="6862.5"/>
    <n v="2872.5"/>
    <m/>
    <m/>
    <m/>
    <x v="1"/>
    <x v="22"/>
    <s v="2N"/>
    <s v="101W"/>
    <s v="T2N R101W SEC 4 LOT 1-4; SEC 4 S2N2,S2; SEC 5 LOT 1-4; SEC 5 S2N2,S2; SEC 6 LOT 1-7; SEC 6 S2NE,SENW,E2SW,SE;   "/>
    <m/>
    <m/>
    <m/>
    <m/>
  </r>
  <r>
    <s v="COC78353"/>
    <x v="2"/>
    <x v="2"/>
    <d v="2017-06-08T00:00:00"/>
    <d v="2017-08-01T00:00:00"/>
    <x v="94"/>
    <n v="1834.59"/>
    <x v="215"/>
    <x v="21"/>
    <m/>
    <n v="0.1"/>
    <n v="0.1"/>
    <m/>
    <n v="6582.5"/>
    <n v="0"/>
    <n v="6582.5"/>
    <n v="2752.5"/>
    <m/>
    <m/>
    <m/>
    <x v="1"/>
    <x v="22"/>
    <s v="2N"/>
    <s v="101W"/>
    <s v="T2N R101W SEC 23 LOT 1,3,4;  SEC 23 E2,E2W2,SWSW;SEC 26 ALL;  SEC 35 NE,E2NW,S2   "/>
    <m/>
    <m/>
    <m/>
    <m/>
  </r>
  <r>
    <s v="COC78355"/>
    <x v="2"/>
    <x v="2"/>
    <d v="2017-06-08T00:00:00"/>
    <d v="2017-08-01T00:00:00"/>
    <x v="94"/>
    <n v="640"/>
    <x v="215"/>
    <x v="21"/>
    <m/>
    <n v="0.1"/>
    <n v="0.1"/>
    <m/>
    <n v="2400"/>
    <n v="0"/>
    <n v="2400"/>
    <n v="960"/>
    <m/>
    <m/>
    <m/>
    <x v="1"/>
    <x v="22"/>
    <s v="2N"/>
    <s v="101W"/>
    <s v="T2N R101W SEC 36 ALL     "/>
    <m/>
    <m/>
    <m/>
    <m/>
  </r>
  <r>
    <s v="COC78356"/>
    <x v="2"/>
    <x v="2"/>
    <d v="2017-06-08T00:00:00"/>
    <d v="2017-08-01T00:00:00"/>
    <x v="94"/>
    <n v="1440"/>
    <x v="215"/>
    <x v="21"/>
    <m/>
    <n v="0.1"/>
    <n v="0.1"/>
    <m/>
    <n v="5200"/>
    <n v="0"/>
    <n v="5200"/>
    <n v="2160"/>
    <m/>
    <m/>
    <m/>
    <x v="1"/>
    <x v="22"/>
    <s v="2N"/>
    <s v="102W"/>
    <s v="T2N R102W SEC 13 ALL; SEC 14 N2,N2SE; SEC 15 E2NE; SEC 24 N2    "/>
    <m/>
    <m/>
    <m/>
    <m/>
  </r>
  <r>
    <s v="COC78357"/>
    <x v="2"/>
    <x v="2"/>
    <d v="2017-06-08T00:00:00"/>
    <d v="2017-08-01T00:00:00"/>
    <x v="94"/>
    <n v="2330"/>
    <x v="215"/>
    <x v="21"/>
    <m/>
    <n v="0.1"/>
    <n v="0.1"/>
    <m/>
    <n v="7965"/>
    <n v="0"/>
    <n v="7965"/>
    <n v="3345"/>
    <m/>
    <m/>
    <m/>
    <x v="1"/>
    <x v="22"/>
    <s v="2N"/>
    <s v="102W"/>
    <s v="T2N R102W SEC 9 N2,N2N2N2SW;  SEC 9 NESE,N2N2NWSE; SEC 10 N2,N2SW,SE  SEC 11 ALL; SEC 12 ALL   "/>
    <m/>
    <m/>
    <m/>
    <m/>
  </r>
  <r>
    <s v="COC78358"/>
    <x v="2"/>
    <x v="2"/>
    <d v="2017-06-08T00:00:00"/>
    <d v="2017-08-01T00:00:00"/>
    <x v="94"/>
    <n v="1920.4"/>
    <x v="215"/>
    <x v="21"/>
    <m/>
    <n v="0.1"/>
    <n v="0.1"/>
    <m/>
    <n v="6883.5"/>
    <n v="0"/>
    <n v="6883.5"/>
    <n v="2881.5"/>
    <m/>
    <m/>
    <m/>
    <x v="1"/>
    <x v="22"/>
    <s v="2N"/>
    <s v="102W"/>
    <s v="T2N R102W SEC 1 LOT1-4; SEC 1 S2N2, S2;  SEC 2 LOT 1-4; SEC 2 S2N2,S2; SEC 3 LOT 1-4; SEC 3 S2N2,S2   "/>
    <m/>
    <m/>
    <m/>
    <m/>
  </r>
  <r>
    <s v="COC78359"/>
    <x v="2"/>
    <x v="2"/>
    <d v="2017-06-08T00:00:00"/>
    <d v="2017-08-01T00:00:00"/>
    <x v="94"/>
    <n v="2164.84"/>
    <x v="215"/>
    <x v="21"/>
    <m/>
    <n v="0.1"/>
    <n v="0.1"/>
    <m/>
    <n v="7737.5"/>
    <n v="0"/>
    <n v="7737.5"/>
    <n v="3247.5"/>
    <m/>
    <m/>
    <m/>
    <x v="1"/>
    <x v="22"/>
    <s v="2N"/>
    <s v="102W"/>
    <s v="T2N R102W SEC 4 LOT 1-4; SEC 4 S2N2,S2; SEC 5 LOT 1-4; SEC 5 S2N2,S2; SEC 6 LOT 1-7; SEC 6 S2NE,SENW,E2SW,SE; SEC 8 NE,E2NW,N2N2NESE   "/>
    <m/>
    <m/>
    <m/>
    <m/>
  </r>
  <r>
    <s v="COC78360"/>
    <x v="2"/>
    <x v="2"/>
    <d v="2017-06-08T00:00:00"/>
    <d v="2017-08-01T00:00:00"/>
    <x v="94"/>
    <n v="1263.08"/>
    <x v="215"/>
    <x v="21"/>
    <m/>
    <n v="0.1"/>
    <n v="0.1"/>
    <m/>
    <n v="4584"/>
    <n v="0"/>
    <n v="4584"/>
    <n v="1896"/>
    <m/>
    <m/>
    <m/>
    <x v="1"/>
    <x v="22"/>
    <s v="3N"/>
    <s v="102W"/>
    <s v="T3N R102W SEC 19 LOT 1-4; SEC 19 E2E2W2;  SEC 30 LOT 1-4; SEC 30 E2E2W2    "/>
    <m/>
    <m/>
    <m/>
    <m/>
  </r>
  <r>
    <s v="COC78361"/>
    <x v="2"/>
    <x v="2"/>
    <d v="2017-06-08T00:00:00"/>
    <d v="2017-08-01T00:00:00"/>
    <x v="94"/>
    <n v="799.92"/>
    <x v="215"/>
    <x v="21"/>
    <m/>
    <n v="0.1"/>
    <n v="0.1"/>
    <m/>
    <n v="2960"/>
    <n v="0"/>
    <n v="2960"/>
    <n v="1200"/>
    <m/>
    <m/>
    <m/>
    <x v="1"/>
    <x v="22"/>
    <s v="1N"/>
    <s v="103W"/>
    <s v="T1N R103W SEC 4 E2,S2SW; SEC 5 SW,S2SE SEC 6 LOT 1-4    "/>
    <m/>
    <m/>
    <m/>
    <m/>
  </r>
  <r>
    <s v="COC78362"/>
    <x v="2"/>
    <x v="2"/>
    <d v="2017-06-08T00:00:00"/>
    <d v="2017-08-01T00:00:00"/>
    <x v="94"/>
    <n v="880"/>
    <x v="215"/>
    <x v="21"/>
    <m/>
    <n v="0.1"/>
    <n v="0.1"/>
    <m/>
    <n v="3240"/>
    <n v="0"/>
    <n v="3240"/>
    <n v="1320"/>
    <m/>
    <m/>
    <m/>
    <x v="1"/>
    <x v="22"/>
    <s v="1N"/>
    <s v="103W"/>
    <s v="T1N R103W SEC 23 NE,SW; SEC 24 W2, SEC 25 N2NW SEC 26 N2N2    "/>
    <m/>
    <m/>
    <m/>
    <m/>
  </r>
  <r>
    <s v="COC78363"/>
    <x v="2"/>
    <x v="2"/>
    <d v="2017-06-08T00:00:00"/>
    <d v="2017-08-01T00:00:00"/>
    <x v="94"/>
    <n v="870.79"/>
    <x v="215"/>
    <x v="21"/>
    <m/>
    <n v="0.1"/>
    <n v="0.1"/>
    <m/>
    <n v="4079.5"/>
    <n v="0"/>
    <n v="4079.5"/>
    <n v="1306.5"/>
    <m/>
    <m/>
    <m/>
    <x v="1"/>
    <x v="22"/>
    <s v="1N"/>
    <s v="103W"/>
    <s v="T1N R103W SEC 29 S2N2, S2; SEC 30 E2, SEC 31 LOT 5 SEC 31 NESW    "/>
    <m/>
    <m/>
    <m/>
    <m/>
  </r>
  <r>
    <s v="COC78365"/>
    <x v="2"/>
    <x v="2"/>
    <d v="2017-06-08T00:00:00"/>
    <d v="2017-08-01T00:00:00"/>
    <x v="94"/>
    <n v="880"/>
    <x v="215"/>
    <x v="21"/>
    <m/>
    <n v="0.1"/>
    <n v="0.1"/>
    <m/>
    <n v="3240"/>
    <n v="0"/>
    <n v="3240"/>
    <n v="1320"/>
    <m/>
    <m/>
    <m/>
    <x v="1"/>
    <x v="22"/>
    <s v="2N"/>
    <s v="103W"/>
    <s v="T2N R103W SEC 22 W2NW, SW;  SEC 27 ALL    "/>
    <m/>
    <m/>
    <m/>
    <m/>
  </r>
  <r>
    <s v="COC78366"/>
    <x v="2"/>
    <x v="2"/>
    <d v="2017-06-08T00:00:00"/>
    <d v="2017-08-01T00:00:00"/>
    <x v="94"/>
    <n v="200.32"/>
    <x v="215"/>
    <x v="21"/>
    <m/>
    <n v="0.1"/>
    <n v="0.1"/>
    <m/>
    <n v="863.5"/>
    <n v="0"/>
    <n v="863.5"/>
    <n v="301.5"/>
    <m/>
    <m/>
    <m/>
    <x v="1"/>
    <x v="22"/>
    <s v="2N"/>
    <s v="103W"/>
    <s v="T2N R103W SEC 4 LOT 1-4; SEC 4 SENE     "/>
    <m/>
    <m/>
    <m/>
    <m/>
  </r>
  <r>
    <s v="COC78367"/>
    <x v="2"/>
    <x v="2"/>
    <d v="2017-06-08T00:00:00"/>
    <d v="2017-08-01T00:00:00"/>
    <x v="94"/>
    <n v="1400.84"/>
    <x v="215"/>
    <x v="21"/>
    <m/>
    <n v="0.1"/>
    <n v="0.1"/>
    <m/>
    <n v="5063.5"/>
    <n v="0"/>
    <n v="5063.5"/>
    <n v="2101.5"/>
    <m/>
    <m/>
    <m/>
    <x v="1"/>
    <x v="22"/>
    <s v="2N"/>
    <s v="103W"/>
    <s v="T2N R103W SEC 1 LOT1-4; SEC 1 S2N2,N2SW,SESW,SE; SEC 2 LOT 1-4; SEC 2 S2N2,N2S2; SEC 3 LOT 1-4  SEC 3 S2N2;   "/>
    <m/>
    <m/>
    <m/>
    <m/>
  </r>
  <r>
    <s v="COC78368"/>
    <x v="2"/>
    <x v="2"/>
    <d v="2017-06-08T00:00:00"/>
    <d v="2017-08-01T00:00:00"/>
    <x v="94"/>
    <n v="800"/>
    <x v="215"/>
    <x v="21"/>
    <m/>
    <n v="0.1"/>
    <n v="0.1"/>
    <m/>
    <n v="2960"/>
    <n v="0"/>
    <n v="2960"/>
    <n v="1200"/>
    <m/>
    <m/>
    <m/>
    <x v="1"/>
    <x v="22"/>
    <s v="2N"/>
    <s v="103W"/>
    <s v="T2N R103W SEC 10 N2,N2SW; SEC 15 SWSW;  SEC 16 SWNE,NENW,NWSE,E2SE; SEC 17N2NW,S2SW    "/>
    <m/>
    <m/>
    <m/>
    <m/>
  </r>
  <r>
    <s v="COC78369"/>
    <x v="2"/>
    <x v="2"/>
    <d v="2017-06-08T00:00:00"/>
    <d v="2017-08-01T00:00:00"/>
    <x v="94"/>
    <n v="1274.56"/>
    <x v="215"/>
    <x v="21"/>
    <m/>
    <n v="0.1"/>
    <n v="0.1"/>
    <m/>
    <n v="4622.5"/>
    <n v="0"/>
    <n v="4622.5"/>
    <n v="1912.5"/>
    <m/>
    <m/>
    <m/>
    <x v="1"/>
    <x v="22"/>
    <s v="2N"/>
    <s v="103W"/>
    <s v="T2N R103W SEC 7 LOT 1-4; SEC 7 E2, E2W2;  SEC 18 LOT 1-4; SEC 18 E2,E2W2;    "/>
    <m/>
    <m/>
    <m/>
    <m/>
  </r>
  <r>
    <s v="COC78370"/>
    <x v="2"/>
    <x v="2"/>
    <d v="2017-06-08T00:00:00"/>
    <d v="2017-08-01T00:00:00"/>
    <x v="94"/>
    <n v="1920"/>
    <x v="215"/>
    <x v="21"/>
    <m/>
    <n v="0.1"/>
    <n v="0.1"/>
    <m/>
    <n v="6880"/>
    <n v="0"/>
    <n v="6880"/>
    <n v="2880"/>
    <m/>
    <m/>
    <m/>
    <x v="1"/>
    <x v="22"/>
    <s v="2N"/>
    <s v="103W"/>
    <s v="T2N R103W SEC 20 ALL; SEC 21 ALL; SEC 28 ALL     "/>
    <m/>
    <m/>
    <m/>
    <m/>
  </r>
  <r>
    <s v="COC78371"/>
    <x v="2"/>
    <x v="2"/>
    <d v="2017-06-08T00:00:00"/>
    <d v="2017-08-01T00:00:00"/>
    <x v="94"/>
    <n v="460.16"/>
    <x v="215"/>
    <x v="21"/>
    <m/>
    <n v="0.1"/>
    <n v="0.1"/>
    <m/>
    <n v="1773.5"/>
    <n v="0"/>
    <n v="1773.5"/>
    <n v="691.5"/>
    <m/>
    <m/>
    <m/>
    <x v="1"/>
    <x v="22"/>
    <s v="1N"/>
    <s v="104W"/>
    <s v="T1N R104W SEC 10 LOT 1-4; SEC 15 LOT 1-4;  SEC 22 LOT 1-4    "/>
    <m/>
    <m/>
    <m/>
    <m/>
  </r>
  <r>
    <s v="COC78372"/>
    <x v="2"/>
    <x v="2"/>
    <d v="2017-06-08T00:00:00"/>
    <d v="2017-08-01T00:00:00"/>
    <x v="94"/>
    <n v="151.68"/>
    <x v="215"/>
    <x v="21"/>
    <m/>
    <n v="0.1"/>
    <n v="0.1"/>
    <m/>
    <n v="692"/>
    <n v="0"/>
    <n v="692"/>
    <n v="228"/>
    <m/>
    <m/>
    <m/>
    <x v="1"/>
    <x v="22"/>
    <s v="1N"/>
    <s v="104W"/>
    <s v="T1N R104W SEC 3 LOT 1-4     "/>
    <m/>
    <m/>
    <m/>
    <m/>
  </r>
  <r>
    <s v="COC78374"/>
    <x v="2"/>
    <x v="2"/>
    <d v="2017-06-08T00:00:00"/>
    <d v="2017-08-01T00:00:00"/>
    <x v="94"/>
    <n v="283.36"/>
    <x v="215"/>
    <x v="21"/>
    <m/>
    <n v="0.1"/>
    <n v="0.1"/>
    <m/>
    <n v="3710"/>
    <n v="0"/>
    <n v="3710"/>
    <n v="426"/>
    <m/>
    <m/>
    <m/>
    <x v="1"/>
    <x v="22"/>
    <s v="1N"/>
    <s v="104W"/>
    <s v="T1N R104W SEC 24 LOT 2,3,5,9,10 SEC 24 W2NE,NWSE; SEC 26 LOT 9,12; SEC 26 SWNW,NWSW;    "/>
    <m/>
    <m/>
    <m/>
    <m/>
  </r>
  <r>
    <m/>
    <x v="1"/>
    <x v="1"/>
    <m/>
    <m/>
    <x v="1"/>
    <m/>
    <x v="1"/>
    <x v="1"/>
    <m/>
    <m/>
    <m/>
    <m/>
    <n v="114801"/>
    <n v="0"/>
    <n v="114801"/>
    <m/>
    <m/>
    <m/>
    <m/>
    <x v="1"/>
    <x v="1"/>
    <m/>
    <m/>
    <s v="      "/>
    <m/>
    <m/>
    <m/>
    <m/>
  </r>
  <r>
    <m/>
    <x v="1"/>
    <x v="1"/>
    <m/>
    <m/>
    <x v="1"/>
    <m/>
    <x v="1"/>
    <x v="1"/>
    <m/>
    <m/>
    <m/>
    <m/>
    <m/>
    <m/>
    <m/>
    <m/>
    <m/>
    <m/>
    <m/>
    <x v="1"/>
    <x v="1"/>
    <m/>
    <m/>
    <s v="      "/>
    <m/>
    <m/>
    <m/>
    <m/>
  </r>
  <r>
    <s v="OKNM137105"/>
    <x v="2"/>
    <x v="2"/>
    <d v="2017-06-08T00:00:00"/>
    <d v="2018-02-01T00:00:00"/>
    <x v="95"/>
    <n v="40"/>
    <x v="43"/>
    <x v="5"/>
    <m/>
    <n v="0.1"/>
    <n v="0.1"/>
    <m/>
    <n v="300"/>
    <n v="960"/>
    <n v="1260"/>
    <n v="60"/>
    <m/>
    <m/>
    <m/>
    <x v="1"/>
    <x v="21"/>
    <s v="140N"/>
    <s v="240W"/>
    <s v="T140N R240W SEC 15 SWSE     "/>
    <m/>
    <m/>
    <m/>
    <m/>
  </r>
  <r>
    <s v="OKNM137106"/>
    <x v="2"/>
    <x v="2"/>
    <d v="2017-06-08T00:00:00"/>
    <d v="2018-02-01T00:00:00"/>
    <x v="95"/>
    <n v="8.76"/>
    <x v="43"/>
    <x v="5"/>
    <m/>
    <n v="0.1"/>
    <n v="0.1"/>
    <m/>
    <n v="191.5"/>
    <n v="99"/>
    <n v="290.5"/>
    <n v="13.5"/>
    <m/>
    <m/>
    <m/>
    <x v="1"/>
    <x v="21"/>
    <s v="160N"/>
    <s v="240W"/>
    <s v="T160N R240W SEC 14 ACCRETION &amp; REPARIAN ACREAGE TO LOT 7;  SEE ATTACHED EXHIBIT FOR DESCRIPTION WITH MAP;     "/>
    <m/>
    <m/>
    <m/>
    <m/>
  </r>
  <r>
    <s v="TXNM137112"/>
    <x v="2"/>
    <x v="2"/>
    <d v="2017-06-08T00:00:00"/>
    <d v="2018-02-01T00:00:00"/>
    <x v="95"/>
    <n v="229.53"/>
    <x v="120"/>
    <x v="0"/>
    <m/>
    <n v="0.1"/>
    <n v="0.1"/>
    <m/>
    <n v="965"/>
    <n v="17020"/>
    <n v="17985"/>
    <n v="345"/>
    <m/>
    <m/>
    <m/>
    <x v="124"/>
    <x v="21"/>
    <m/>
    <m/>
    <s v="TRACTS 205,208,209,211; TRACTS 214,215,220     "/>
    <m/>
    <m/>
    <m/>
    <m/>
  </r>
  <r>
    <s v="TXNM137113"/>
    <x v="2"/>
    <x v="2"/>
    <d v="2017-06-08T00:00:00"/>
    <d v="2018-02-01T00:00:00"/>
    <x v="95"/>
    <n v="173.93"/>
    <x v="120"/>
    <x v="0"/>
    <m/>
    <n v="0.1"/>
    <n v="0.1"/>
    <m/>
    <n v="769"/>
    <n v="6786"/>
    <n v="7555"/>
    <n v="261"/>
    <m/>
    <m/>
    <m/>
    <x v="124"/>
    <x v="21"/>
    <m/>
    <m/>
    <s v="TRACTS 404,405,407,408,411; TRACTS 412,413-1,413-2     "/>
    <m/>
    <m/>
    <m/>
    <m/>
  </r>
  <r>
    <s v="TXNM137114"/>
    <x v="2"/>
    <x v="2"/>
    <d v="2017-06-08T00:00:00"/>
    <d v="2018-02-01T00:00:00"/>
    <x v="95"/>
    <n v="167.77"/>
    <x v="22"/>
    <x v="0"/>
    <m/>
    <n v="0.1"/>
    <n v="0.1"/>
    <m/>
    <n v="748"/>
    <n v="33432"/>
    <n v="34180"/>
    <n v="252"/>
    <m/>
    <m/>
    <m/>
    <x v="124"/>
    <x v="21"/>
    <m/>
    <m/>
    <s v="TRACTS 600,602,606,608     "/>
    <m/>
    <m/>
    <m/>
    <m/>
  </r>
  <r>
    <s v="TXNM137115"/>
    <x v="2"/>
    <x v="2"/>
    <d v="2017-06-08T00:00:00"/>
    <d v="2018-02-01T00:00:00"/>
    <x v="95"/>
    <n v="153"/>
    <x v="18"/>
    <x v="0"/>
    <m/>
    <n v="0.1"/>
    <n v="0.1"/>
    <m/>
    <n v="695.5"/>
    <n v="8262"/>
    <n v="8957.5"/>
    <n v="229.5"/>
    <m/>
    <m/>
    <m/>
    <x v="1"/>
    <x v="21"/>
    <m/>
    <m/>
    <s v="TRACTS I-C-206-1, I-C-206-2;     "/>
    <m/>
    <m/>
    <m/>
    <m/>
  </r>
  <r>
    <m/>
    <x v="1"/>
    <x v="1"/>
    <m/>
    <m/>
    <x v="1"/>
    <m/>
    <x v="1"/>
    <x v="1"/>
    <m/>
    <m/>
    <m/>
    <m/>
    <n v="185724.5"/>
    <n v="66559"/>
    <n v="70228"/>
    <m/>
    <m/>
    <m/>
    <m/>
    <x v="1"/>
    <x v="1"/>
    <m/>
    <m/>
    <s v="      "/>
    <m/>
    <m/>
    <m/>
    <m/>
  </r>
  <r>
    <m/>
    <x v="1"/>
    <x v="1"/>
    <m/>
    <m/>
    <x v="1"/>
    <m/>
    <x v="1"/>
    <x v="1"/>
    <m/>
    <m/>
    <m/>
    <m/>
    <m/>
    <m/>
    <m/>
    <m/>
    <m/>
    <m/>
    <m/>
    <x v="1"/>
    <x v="1"/>
    <m/>
    <m/>
    <s v="      "/>
    <m/>
    <m/>
    <m/>
    <m/>
  </r>
  <r>
    <s v="WYW186292"/>
    <x v="2"/>
    <x v="2"/>
    <d v="2017-09-21T00:00:00"/>
    <d v="2017-12-01T00:00:00"/>
    <x v="96"/>
    <n v="81.31"/>
    <x v="216"/>
    <x v="22"/>
    <m/>
    <n v="0.1"/>
    <n v="0.1"/>
    <m/>
    <n v="447"/>
    <n v="12792"/>
    <n v="13239"/>
    <n v="123"/>
    <m/>
    <m/>
    <m/>
    <x v="1"/>
    <x v="22"/>
    <s v="500N"/>
    <s v="710W"/>
    <s v="T500N R710W SEC 34 LOTS 1,8;      "/>
    <m/>
    <m/>
    <m/>
    <m/>
  </r>
  <r>
    <s v="WYW186293"/>
    <x v="2"/>
    <x v="2"/>
    <d v="2017-09-21T00:00:00"/>
    <d v="2017-12-01T00:00:00"/>
    <x v="96"/>
    <n v="1217"/>
    <x v="216"/>
    <x v="22"/>
    <m/>
    <n v="0.1"/>
    <n v="0.1"/>
    <m/>
    <n v="4419.5"/>
    <n v="68152"/>
    <n v="72571.5"/>
    <n v="1825.5"/>
    <m/>
    <m/>
    <m/>
    <x v="1"/>
    <x v="22"/>
    <s v="470N"/>
    <s v="720W"/>
    <s v="T470N R720W SEC 001 LOT 6; SEC 002 LOTS 5,6,11-20; SEC 003 LOT 6-12 ,17,18; SEC 004 LOTS 5,6,14; SEC 011 LOTS 2,13,14;  SEC 015 LOTS 5,8;   "/>
    <m/>
    <m/>
    <m/>
    <m/>
  </r>
  <r>
    <s v="WYW186296"/>
    <x v="2"/>
    <x v="2"/>
    <d v="2017-09-21T00:00:00"/>
    <d v="2017-12-01T00:00:00"/>
    <x v="96"/>
    <n v="81.86"/>
    <x v="216"/>
    <x v="22"/>
    <m/>
    <n v="0.1"/>
    <n v="0.1"/>
    <m/>
    <n v="447"/>
    <n v="4592"/>
    <n v="5039"/>
    <n v="123"/>
    <m/>
    <m/>
    <m/>
    <x v="1"/>
    <x v="22"/>
    <s v="480N "/>
    <s v="720W"/>
    <s v="T480N  R720W SEC 22 LOTS 14; SEC 29 LOTS 3;      "/>
    <m/>
    <m/>
    <m/>
    <m/>
  </r>
  <r>
    <s v="WYW186297"/>
    <x v="2"/>
    <x v="2"/>
    <d v="2017-09-21T00:00:00"/>
    <d v="2017-12-01T00:00:00"/>
    <x v="96"/>
    <n v="451.05"/>
    <x v="216"/>
    <x v="22"/>
    <m/>
    <n v="0.1"/>
    <n v="0.1"/>
    <m/>
    <n v="16827.5"/>
    <n v="7062.5"/>
    <n v="23890"/>
    <n v="678"/>
    <m/>
    <m/>
    <m/>
    <x v="1"/>
    <x v="22"/>
    <s v="500N"/>
    <s v="720W"/>
    <s v="T500N R720W SEC 017 LOTS 5,10-12,15; SEC 018 LOTS 12,13,19,20;  SEC 019 LOTS 10;  LOT 9(EXCL 1.34 AC IN RR  ROW WYW0119068)   "/>
    <m/>
    <m/>
    <m/>
    <m/>
  </r>
  <r>
    <s v="WYW186298"/>
    <x v="2"/>
    <x v="2"/>
    <d v="2017-09-21T00:00:00"/>
    <d v="2017-12-01T00:00:00"/>
    <x v="96"/>
    <n v="42.12"/>
    <x v="216"/>
    <x v="22"/>
    <m/>
    <n v="0.1"/>
    <n v="0.1"/>
    <m/>
    <n v="310.5"/>
    <n v="903"/>
    <n v="1213.5"/>
    <n v="64.5"/>
    <m/>
    <m/>
    <m/>
    <x v="1"/>
    <x v="22"/>
    <s v="500N"/>
    <s v="720W"/>
    <s v="T500N R720W SEC 031 LOTS 20;      "/>
    <m/>
    <m/>
    <m/>
    <m/>
  </r>
  <r>
    <s v="WYW186307"/>
    <x v="2"/>
    <x v="2"/>
    <d v="2017-09-21T00:00:00"/>
    <d v="2017-12-01T00:00:00"/>
    <x v="96"/>
    <n v="270.55"/>
    <x v="216"/>
    <x v="22"/>
    <m/>
    <n v="0.1"/>
    <n v="0.1"/>
    <m/>
    <n v="1108.5"/>
    <n v="14363"/>
    <n v="15471.5"/>
    <n v="406.5"/>
    <m/>
    <m/>
    <m/>
    <x v="1"/>
    <x v="22"/>
    <s v="500N"/>
    <s v="730W"/>
    <s v="T500N R730W SEC 17 LOTS 6; SEC 018 LOTS 17-19; SEC 022 LOT 4 ( EXCL 1.64 AC ON RR ROW WYW0119068); SEC 022  LOT 5 ( EXCL 1.64 AC ON RR ROW WYW0119068);  SEC 028 LOTS 15;  "/>
    <m/>
    <m/>
    <m/>
    <m/>
  </r>
  <r>
    <s v="WYW186309"/>
    <x v="2"/>
    <x v="2"/>
    <d v="2017-09-21T00:00:00"/>
    <d v="2017-12-01T00:00:00"/>
    <x v="96"/>
    <n v="80"/>
    <x v="216"/>
    <x v="22"/>
    <m/>
    <n v="0.1"/>
    <n v="0.1"/>
    <m/>
    <n v="440"/>
    <n v="1520"/>
    <n v="1960"/>
    <n v="120"/>
    <m/>
    <m/>
    <m/>
    <x v="1"/>
    <x v="22"/>
    <s v="570N"/>
    <s v="730W"/>
    <s v="T570N R730W SEC 14 S2SW;     "/>
    <m/>
    <m/>
    <m/>
    <m/>
  </r>
  <r>
    <m/>
    <x v="1"/>
    <x v="1"/>
    <m/>
    <m/>
    <x v="1"/>
    <m/>
    <x v="1"/>
    <x v="1"/>
    <m/>
    <m/>
    <m/>
    <m/>
    <n v="24000"/>
    <n v="109384.5"/>
    <n v="133384.5"/>
    <m/>
    <m/>
    <m/>
    <m/>
    <x v="1"/>
    <x v="1"/>
    <m/>
    <m/>
    <s v="      "/>
    <m/>
    <m/>
    <m/>
    <m/>
  </r>
  <r>
    <m/>
    <x v="1"/>
    <x v="1"/>
    <m/>
    <m/>
    <x v="1"/>
    <m/>
    <x v="1"/>
    <x v="1"/>
    <m/>
    <m/>
    <m/>
    <m/>
    <m/>
    <m/>
    <m/>
    <m/>
    <m/>
    <m/>
    <m/>
    <x v="1"/>
    <x v="1"/>
    <m/>
    <m/>
    <s v="      "/>
    <m/>
    <m/>
    <m/>
    <m/>
  </r>
  <r>
    <s v="SDM109688"/>
    <x v="2"/>
    <x v="2"/>
    <d v="2017-09-12T00:00:00"/>
    <d v="2017-11-01T00:00:00"/>
    <x v="97"/>
    <n v="80"/>
    <x v="193"/>
    <x v="17"/>
    <m/>
    <n v="0.1"/>
    <n v="0.1"/>
    <m/>
    <n v="440"/>
    <n v="2480"/>
    <n v="2920"/>
    <n v="120"/>
    <m/>
    <m/>
    <m/>
    <x v="1"/>
    <x v="22"/>
    <s v="8S"/>
    <s v="1E"/>
    <s v="T8S R1E SEC 8 N12NE1/4;     "/>
    <m/>
    <m/>
    <m/>
    <m/>
  </r>
  <r>
    <s v="SDM109689"/>
    <x v="2"/>
    <x v="2"/>
    <d v="2017-09-12T00:00:00"/>
    <d v="2017-11-01T00:00:00"/>
    <x v="97"/>
    <n v="120"/>
    <x v="193"/>
    <x v="17"/>
    <m/>
    <n v="0.1"/>
    <n v="0.1"/>
    <m/>
    <n v="580"/>
    <n v="3720"/>
    <n v="4300"/>
    <n v="180"/>
    <m/>
    <m/>
    <m/>
    <x v="1"/>
    <x v="22"/>
    <s v="8S"/>
    <s v="1E"/>
    <s v="T8S R1E SEC 8 NW1/4SE1/4,S1/2SE1/4;     "/>
    <m/>
    <m/>
    <m/>
    <m/>
  </r>
  <r>
    <s v="SDM109690"/>
    <x v="2"/>
    <x v="2"/>
    <d v="2017-09-12T00:00:00"/>
    <d v="2017-11-01T00:00:00"/>
    <x v="97"/>
    <n v="240"/>
    <x v="193"/>
    <x v="17"/>
    <m/>
    <n v="0.1"/>
    <n v="0.1"/>
    <m/>
    <n v="1000"/>
    <n v="7440"/>
    <n v="8440"/>
    <n v="360"/>
    <m/>
    <m/>
    <m/>
    <x v="1"/>
    <x v="22"/>
    <s v="8S"/>
    <s v="1E"/>
    <s v="T8S R1E SEC 26 S1/2SW1/4,SE1/4;     "/>
    <m/>
    <m/>
    <m/>
    <m/>
  </r>
  <r>
    <s v="SDM109691"/>
    <x v="2"/>
    <x v="2"/>
    <d v="2017-09-12T00:00:00"/>
    <d v="2017-11-01T00:00:00"/>
    <x v="97"/>
    <n v="40"/>
    <x v="193"/>
    <x v="17"/>
    <m/>
    <n v="0.1"/>
    <n v="0.1"/>
    <m/>
    <n v="300"/>
    <n v="1680"/>
    <n v="1980"/>
    <n v="60"/>
    <m/>
    <m/>
    <m/>
    <x v="1"/>
    <x v="22"/>
    <s v="8S"/>
    <s v="1E"/>
    <s v="T8S R1E SEC 32 NE1/4NE1/4;     "/>
    <m/>
    <m/>
    <m/>
    <m/>
  </r>
  <r>
    <s v="SDM109692"/>
    <x v="2"/>
    <x v="2"/>
    <d v="2017-09-12T00:00:00"/>
    <d v="2017-11-01T00:00:00"/>
    <x v="97"/>
    <n v="320"/>
    <x v="193"/>
    <x v="17"/>
    <m/>
    <n v="0.1"/>
    <n v="0.1"/>
    <m/>
    <n v="1280"/>
    <n v="9920"/>
    <n v="11200"/>
    <n v="480"/>
    <m/>
    <m/>
    <m/>
    <x v="1"/>
    <x v="22"/>
    <s v="8S"/>
    <s v="1E"/>
    <s v="T8S R1E SEC 32 SE1/4NE1/4,NE1/4SE1/4; SEC 33 N1/2NE1/4, SW1/4NE1/4,S1/2NW1/4,NW1/4SW1/4;    "/>
    <m/>
    <m/>
    <m/>
    <m/>
  </r>
  <r>
    <s v="SDM109693"/>
    <x v="2"/>
    <x v="2"/>
    <d v="2017-09-12T00:00:00"/>
    <d v="2017-11-01T00:00:00"/>
    <x v="97"/>
    <n v="80"/>
    <x v="193"/>
    <x v="17"/>
    <m/>
    <n v="0.1"/>
    <n v="0.1"/>
    <m/>
    <n v="440"/>
    <n v="4000"/>
    <n v="4440"/>
    <n v="120"/>
    <m/>
    <m/>
    <m/>
    <x v="1"/>
    <x v="22"/>
    <s v="8S"/>
    <s v="1E"/>
    <s v="T8S R1E SEC 32 SE1/4SE1/4; SEC 33 SE1/4NE1/4;     "/>
    <m/>
    <m/>
    <m/>
    <m/>
  </r>
  <r>
    <s v="SDM109694"/>
    <x v="2"/>
    <x v="2"/>
    <d v="2017-09-12T00:00:00"/>
    <d v="2017-11-01T00:00:00"/>
    <x v="97"/>
    <n v="605.6"/>
    <x v="193"/>
    <x v="17"/>
    <m/>
    <n v="0.1"/>
    <n v="0.1"/>
    <m/>
    <n v="2281"/>
    <n v="30906"/>
    <n v="33187"/>
    <n v="909"/>
    <m/>
    <m/>
    <m/>
    <x v="1"/>
    <x v="22"/>
    <s v="11S"/>
    <s v="1E"/>
    <s v="T11S R1E SEC 19;     "/>
    <m/>
    <m/>
    <m/>
    <m/>
  </r>
  <r>
    <s v="SDM109695"/>
    <x v="2"/>
    <x v="2"/>
    <d v="2017-09-12T00:00:00"/>
    <d v="2017-11-01T00:00:00"/>
    <x v="97"/>
    <n v="640"/>
    <x v="193"/>
    <x v="17"/>
    <m/>
    <n v="0.1"/>
    <n v="0.1"/>
    <m/>
    <n v="2400"/>
    <n v="37760"/>
    <n v="40160"/>
    <n v="960"/>
    <m/>
    <m/>
    <m/>
    <x v="1"/>
    <x v="22"/>
    <s v="11S"/>
    <s v="1E"/>
    <s v="T11S R1E SEC 20     "/>
    <m/>
    <m/>
    <m/>
    <m/>
  </r>
  <r>
    <s v="SDM109696"/>
    <x v="2"/>
    <x v="2"/>
    <d v="2017-09-12T00:00:00"/>
    <d v="2017-11-01T00:00:00"/>
    <x v="97"/>
    <n v="640"/>
    <x v="193"/>
    <x v="17"/>
    <m/>
    <n v="0.1"/>
    <n v="0.1"/>
    <m/>
    <n v="2400"/>
    <n v="44160"/>
    <n v="46560"/>
    <n v="960"/>
    <m/>
    <m/>
    <m/>
    <x v="1"/>
    <x v="22"/>
    <s v="11S"/>
    <s v="1E"/>
    <s v="T11S R1E SEC 27 SW1/4NW1/4; SEC 28 NW1/4NE1/4,SI/2 NE1/4,NW1/4, S1/2;    "/>
    <m/>
    <m/>
    <m/>
    <m/>
  </r>
  <r>
    <s v="SDM109697"/>
    <x v="2"/>
    <x v="2"/>
    <d v="2017-09-12T00:00:00"/>
    <d v="2017-11-01T00:00:00"/>
    <x v="97"/>
    <n v="640"/>
    <x v="193"/>
    <x v="17"/>
    <m/>
    <n v="0.1"/>
    <n v="0.1"/>
    <m/>
    <n v="2400"/>
    <n v="50560"/>
    <n v="52960"/>
    <n v="960"/>
    <m/>
    <m/>
    <m/>
    <x v="1"/>
    <x v="22"/>
    <s v="11S"/>
    <s v="1E"/>
    <s v="T11S R1E SEC 29     "/>
    <m/>
    <m/>
    <m/>
    <m/>
  </r>
  <r>
    <s v="SDM109698"/>
    <x v="2"/>
    <x v="2"/>
    <d v="2017-09-12T00:00:00"/>
    <d v="2017-11-01T00:00:00"/>
    <x v="97"/>
    <n v="151.52000000000001"/>
    <x v="193"/>
    <x v="17"/>
    <m/>
    <n v="0.1"/>
    <n v="0.1"/>
    <m/>
    <n v="692"/>
    <n v="13528"/>
    <n v="14220"/>
    <n v="228"/>
    <m/>
    <m/>
    <m/>
    <x v="1"/>
    <x v="22"/>
    <s v="11S"/>
    <s v="1E"/>
    <s v="T11S R1E SEC 30 LOT 1; SEC 30 N1/2NE1/4, NE1/4 NW1/4 NW1/4    "/>
    <m/>
    <m/>
    <m/>
    <m/>
  </r>
  <r>
    <s v="SDM109699"/>
    <x v="2"/>
    <x v="2"/>
    <d v="2017-09-12T00:00:00"/>
    <d v="2017-11-01T00:00:00"/>
    <x v="97"/>
    <n v="638.16999999999996"/>
    <x v="193"/>
    <x v="17"/>
    <m/>
    <n v="0.1"/>
    <n v="0.1"/>
    <m/>
    <n v="10287"/>
    <n v="48980.5"/>
    <n v="59267.5"/>
    <n v="958.5"/>
    <m/>
    <m/>
    <m/>
    <x v="1"/>
    <x v="22"/>
    <s v="12S"/>
    <s v="1E"/>
    <s v="T12S R1E SEC 1 LOTS 1-4; SEC 1 S1/2NE 1/4, S1/2NW1/4 N1/2SW1/4,N1/2SE1/4; SEC 2 LOTS 1,2; SEC 2 S1/2 NE1/4;   "/>
    <m/>
    <m/>
    <m/>
    <m/>
  </r>
  <r>
    <m/>
    <x v="1"/>
    <x v="1"/>
    <m/>
    <m/>
    <x v="1"/>
    <m/>
    <x v="1"/>
    <x v="1"/>
    <m/>
    <m/>
    <m/>
    <m/>
    <n v="24500"/>
    <n v="255134.5"/>
    <n v="279634.5"/>
    <m/>
    <m/>
    <m/>
    <m/>
    <x v="1"/>
    <x v="1"/>
    <m/>
    <m/>
    <s v="      "/>
    <m/>
    <m/>
    <m/>
    <m/>
  </r>
  <r>
    <m/>
    <x v="1"/>
    <x v="1"/>
    <m/>
    <m/>
    <x v="1"/>
    <m/>
    <x v="1"/>
    <x v="1"/>
    <m/>
    <m/>
    <m/>
    <m/>
    <m/>
    <m/>
    <m/>
    <m/>
    <m/>
    <m/>
    <m/>
    <x v="1"/>
    <x v="1"/>
    <m/>
    <m/>
    <s v="      "/>
    <m/>
    <m/>
    <m/>
    <m/>
  </r>
  <r>
    <s v="UTU92311"/>
    <x v="2"/>
    <x v="2"/>
    <d v="2017-06-13T00:00:00"/>
    <d v="2017-08-01T00:00:00"/>
    <x v="94"/>
    <n v="200"/>
    <x v="217"/>
    <x v="18"/>
    <m/>
    <n v="0.1"/>
    <n v="0.1"/>
    <m/>
    <n v="860"/>
    <n v="0"/>
    <n v="860"/>
    <n v="300"/>
    <m/>
    <m/>
    <m/>
    <x v="1"/>
    <x v="22"/>
    <s v="22S"/>
    <s v="1W"/>
    <s v="T22S R1W SEC 1 SESW, SE      "/>
    <m/>
    <m/>
    <m/>
    <m/>
  </r>
  <r>
    <s v="UTU92312"/>
    <x v="2"/>
    <x v="2"/>
    <d v="2017-06-13T00:00:00"/>
    <d v="2017-08-01T00:00:00"/>
    <x v="94"/>
    <n v="346.74"/>
    <x v="217"/>
    <x v="18"/>
    <m/>
    <n v="0.1"/>
    <n v="0.1"/>
    <m/>
    <n v="1374.5"/>
    <n v="0"/>
    <n v="1374.5"/>
    <n v="520.5"/>
    <m/>
    <m/>
    <m/>
    <x v="1"/>
    <x v="22"/>
    <s v="22S"/>
    <s v="1W"/>
    <s v="T22S R1W SEC 6 LOTS 8-13, 15 AND 16      "/>
    <m/>
    <m/>
    <m/>
    <m/>
  </r>
  <r>
    <s v="UTU92313"/>
    <x v="2"/>
    <x v="2"/>
    <d v="2017-06-13T00:00:00"/>
    <d v="2017-08-01T00:00:00"/>
    <x v="94"/>
    <n v="200"/>
    <x v="217"/>
    <x v="18"/>
    <m/>
    <n v="0.1"/>
    <n v="0.1"/>
    <m/>
    <n v="860"/>
    <n v="800"/>
    <n v="1660"/>
    <n v="300"/>
    <m/>
    <m/>
    <m/>
    <x v="1"/>
    <x v="22"/>
    <s v="22S"/>
    <s v="1W"/>
    <s v="T22S R1W SEC 10 SWSW, SE     "/>
    <m/>
    <m/>
    <m/>
    <m/>
  </r>
  <r>
    <s v="UTU92314"/>
    <x v="2"/>
    <x v="2"/>
    <d v="2017-06-13T00:00:00"/>
    <d v="2017-08-01T00:00:00"/>
    <x v="94"/>
    <n v="1482.76"/>
    <x v="217"/>
    <x v="18"/>
    <m/>
    <n v="0.1"/>
    <n v="0.1"/>
    <m/>
    <n v="5350.5"/>
    <n v="0"/>
    <n v="5350.5"/>
    <n v="2224.5"/>
    <m/>
    <m/>
    <m/>
    <x v="1"/>
    <x v="22"/>
    <s v="23S"/>
    <s v="1W"/>
    <s v="T23S R1W SEC 1 SW, W2SE SEC 11 AND 12:ALL      "/>
    <m/>
    <m/>
    <m/>
    <m/>
  </r>
  <r>
    <s v="UTU92315"/>
    <x v="2"/>
    <x v="2"/>
    <d v="2017-06-13T00:00:00"/>
    <d v="2017-08-01T00:00:00"/>
    <x v="94"/>
    <n v="2032.52"/>
    <x v="217"/>
    <x v="18"/>
    <m/>
    <n v="0.1"/>
    <n v="0.1"/>
    <m/>
    <n v="7275.5"/>
    <n v="0"/>
    <n v="7275.5"/>
    <n v="3049.5"/>
    <m/>
    <m/>
    <m/>
    <x v="1"/>
    <x v="22"/>
    <s v="23S"/>
    <s v="1W"/>
    <s v="T23S R1W SEC 13 ALL SEC 14 N2 SE; SEC 23 E2; SEC 24 ALL.     "/>
    <m/>
    <m/>
    <m/>
    <m/>
  </r>
  <r>
    <s v="UTU92316"/>
    <x v="2"/>
    <x v="2"/>
    <d v="2017-06-13T00:00:00"/>
    <d v="2017-08-01T00:00:00"/>
    <x v="94"/>
    <n v="677.6"/>
    <x v="217"/>
    <x v="18"/>
    <m/>
    <n v="0.1"/>
    <n v="0.1"/>
    <m/>
    <n v="2533"/>
    <n v="2034"/>
    <n v="4567"/>
    <n v="1017"/>
    <m/>
    <m/>
    <m/>
    <x v="1"/>
    <x v="22"/>
    <s v="23S"/>
    <s v="1W"/>
    <s v="T23S R1W SEC 22 ALL     "/>
    <m/>
    <m/>
    <m/>
    <m/>
  </r>
  <r>
    <s v="UTU92328"/>
    <x v="2"/>
    <x v="2"/>
    <d v="2017-06-13T00:00:00"/>
    <d v="2017-08-01T00:00:00"/>
    <x v="94"/>
    <n v="1239.2"/>
    <x v="218"/>
    <x v="18"/>
    <m/>
    <n v="0.1"/>
    <n v="0.1"/>
    <m/>
    <n v="4500"/>
    <n v="9920"/>
    <n v="14420"/>
    <n v="1816"/>
    <m/>
    <m/>
    <m/>
    <x v="1"/>
    <x v="22"/>
    <s v="20S"/>
    <s v="1E"/>
    <s v="T20S R1E SEC 1 LOTS 1-4, S2N2, N2SW, SWSW,SE;  SEC 11 S2NE, SE; SEC 12 E2,S2NW    "/>
    <m/>
    <m/>
    <m/>
    <m/>
  </r>
  <r>
    <s v="UTU92330"/>
    <x v="2"/>
    <x v="2"/>
    <d v="2017-06-13T00:00:00"/>
    <d v="2017-08-01T00:00:00"/>
    <x v="94"/>
    <n v="1300.17"/>
    <x v="218"/>
    <x v="18"/>
    <m/>
    <n v="0.1"/>
    <n v="0.1"/>
    <m/>
    <n v="4713.5"/>
    <n v="7806"/>
    <n v="12519.5"/>
    <n v="1951.5"/>
    <m/>
    <m/>
    <m/>
    <x v="1"/>
    <x v="22"/>
    <s v="19S"/>
    <s v="2E"/>
    <s v="T19S R2E SEC 19 LOTS 3,4,7, SESW; SEC 30 LOTS 1-4 6,7  E2W2,W2SE,SESE; SEC 31 LOTS 1-4, NE, E2W2 N2SE,SWSE,W2SESE   "/>
    <m/>
    <m/>
    <m/>
    <m/>
  </r>
  <r>
    <m/>
    <x v="1"/>
    <x v="1"/>
    <m/>
    <m/>
    <x v="1"/>
    <m/>
    <x v="1"/>
    <x v="1"/>
    <m/>
    <m/>
    <m/>
    <m/>
    <n v="27467"/>
    <n v="20560"/>
    <n v="48027"/>
    <m/>
    <m/>
    <m/>
    <m/>
    <x v="1"/>
    <x v="1"/>
    <m/>
    <m/>
    <s v="      "/>
    <m/>
    <m/>
    <m/>
    <m/>
  </r>
  <r>
    <m/>
    <x v="1"/>
    <x v="1"/>
    <m/>
    <m/>
    <x v="1"/>
    <m/>
    <x v="1"/>
    <x v="1"/>
    <m/>
    <m/>
    <m/>
    <m/>
    <m/>
    <m/>
    <m/>
    <m/>
    <m/>
    <m/>
    <m/>
    <x v="1"/>
    <x v="1"/>
    <m/>
    <m/>
    <s v="      "/>
    <m/>
    <m/>
    <m/>
    <m/>
  </r>
  <r>
    <s v="LAES058292"/>
    <x v="2"/>
    <x v="2"/>
    <d v="2017-09-21T00:00:00"/>
    <d v="2017-12-01T00:00:00"/>
    <x v="96"/>
    <n v="8.25"/>
    <x v="219"/>
    <x v="3"/>
    <m/>
    <n v="0.1"/>
    <n v="0.1"/>
    <m/>
    <n v="236.5"/>
    <s v=" $                    -  "/>
    <n v="236.5"/>
    <n v="13.5"/>
    <m/>
    <m/>
    <m/>
    <x v="1"/>
    <x v="22"/>
    <s v="6N"/>
    <s v="7E"/>
    <s v="T6N R7E SEC 6, LOT 2     "/>
    <m/>
    <m/>
    <m/>
    <m/>
  </r>
  <r>
    <s v="LAES058293"/>
    <x v="2"/>
    <x v="2"/>
    <d v="2017-09-21T00:00:00"/>
    <d v="2017-12-01T00:00:00"/>
    <x v="96"/>
    <n v="2"/>
    <x v="219"/>
    <x v="3"/>
    <m/>
    <n v="0.1"/>
    <n v="0.1"/>
    <m/>
    <n v="215"/>
    <s v=" $                    -  "/>
    <n v="215"/>
    <n v="3"/>
    <m/>
    <m/>
    <m/>
    <x v="1"/>
    <x v="22"/>
    <s v="6N"/>
    <s v="7E"/>
    <s v="T6N R7E SEC 6, LOT 5     "/>
    <m/>
    <m/>
    <m/>
    <m/>
  </r>
  <r>
    <m/>
    <x v="1"/>
    <x v="1"/>
    <m/>
    <m/>
    <x v="1"/>
    <m/>
    <x v="1"/>
    <x v="1"/>
    <m/>
    <m/>
    <m/>
    <m/>
    <n v="451.5"/>
    <n v="0"/>
    <n v="451.5"/>
    <m/>
    <m/>
    <m/>
    <m/>
    <x v="1"/>
    <x v="1"/>
    <m/>
    <m/>
    <s v="      "/>
    <m/>
    <m/>
    <m/>
    <m/>
  </r>
  <r>
    <m/>
    <x v="1"/>
    <x v="1"/>
    <m/>
    <m/>
    <x v="1"/>
    <m/>
    <x v="1"/>
    <x v="1"/>
    <m/>
    <m/>
    <m/>
    <m/>
    <m/>
    <m/>
    <m/>
    <m/>
    <m/>
    <m/>
    <m/>
    <x v="1"/>
    <x v="1"/>
    <m/>
    <m/>
    <s v="      "/>
    <m/>
    <m/>
    <m/>
    <m/>
  </r>
  <r>
    <s v="LAES058318"/>
    <x v="2"/>
    <x v="2"/>
    <d v="2017-12-14T00:00:00"/>
    <d v="2018-02-01T00:00:00"/>
    <x v="95"/>
    <n v="509.67"/>
    <x v="149"/>
    <x v="3"/>
    <m/>
    <n v="0.1"/>
    <n v="0.1"/>
    <m/>
    <n v="1945"/>
    <n v="22440"/>
    <n v="24385"/>
    <n v="765"/>
    <m/>
    <m/>
    <m/>
    <x v="1"/>
    <x v="21"/>
    <s v="13N"/>
    <s v="6W"/>
    <s v="T13N R6W SEC 2, E1/2, N1/2NW, SENW, NESW, E1/2SESW,  E1/2W1/2SESW    "/>
    <m/>
    <m/>
    <m/>
    <m/>
  </r>
  <r>
    <m/>
    <x v="1"/>
    <x v="1"/>
    <m/>
    <m/>
    <x v="1"/>
    <m/>
    <x v="1"/>
    <x v="1"/>
    <m/>
    <m/>
    <m/>
    <m/>
    <m/>
    <m/>
    <m/>
    <m/>
    <m/>
    <m/>
    <m/>
    <x v="1"/>
    <x v="1"/>
    <m/>
    <m/>
    <s v="      "/>
    <m/>
    <m/>
    <m/>
    <m/>
  </r>
  <r>
    <s v="COC78800"/>
    <x v="2"/>
    <x v="2"/>
    <d v="2018-03-08T00:00:00"/>
    <d v="2018-04-01T00:00:00"/>
    <x v="98"/>
    <n v="80"/>
    <x v="220"/>
    <x v="21"/>
    <m/>
    <n v="0.1"/>
    <n v="0.1"/>
    <m/>
    <n v="600"/>
    <n v="0"/>
    <n v="600"/>
    <n v="120"/>
    <m/>
    <m/>
    <m/>
    <x v="1"/>
    <x v="21"/>
    <s v="34N"/>
    <s v="11W"/>
    <s v="T34N R11W SEC 6, NESW,NWSE     "/>
    <m/>
    <m/>
    <m/>
    <m/>
  </r>
  <r>
    <s v="COC78801"/>
    <x v="2"/>
    <x v="2"/>
    <d v="2018-03-08T00:00:00"/>
    <d v="2018-04-01T00:00:00"/>
    <x v="98"/>
    <n v="320.31"/>
    <x v="221"/>
    <x v="21"/>
    <m/>
    <n v="0.1"/>
    <n v="0.1"/>
    <m/>
    <n v="1283.5"/>
    <s v=" $                    -  "/>
    <n v="1283.5"/>
    <n v="481.5"/>
    <m/>
    <m/>
    <m/>
    <x v="1"/>
    <x v="21"/>
    <s v="42N"/>
    <s v="11W"/>
    <s v="T42N R11W SEC 4, LOT4; SEC 4 SWNW,SW,S2SE     "/>
    <m/>
    <m/>
    <m/>
    <m/>
  </r>
  <r>
    <s v="COC78802"/>
    <x v="2"/>
    <x v="2"/>
    <d v="2018-03-08T00:00:00"/>
    <d v="2018-04-01T00:00:00"/>
    <x v="98"/>
    <n v="640"/>
    <x v="221"/>
    <x v="21"/>
    <m/>
    <n v="0.1"/>
    <n v="0.1"/>
    <m/>
    <n v="4960"/>
    <n v="0"/>
    <n v="4960"/>
    <n v="960"/>
    <m/>
    <m/>
    <m/>
    <x v="1"/>
    <x v="21"/>
    <s v="42N"/>
    <s v="14W"/>
    <s v="T42N R14W SEC 9, S2NE,SENW,NESW,SE; SEC 10, S2     "/>
    <m/>
    <m/>
    <m/>
    <m/>
  </r>
  <r>
    <s v="COC78806"/>
    <x v="2"/>
    <x v="2"/>
    <d v="2018-03-08T00:00:00"/>
    <d v="2018-04-01T00:00:00"/>
    <x v="98"/>
    <n v="360"/>
    <x v="221"/>
    <x v="21"/>
    <m/>
    <n v="0.1"/>
    <n v="0.1"/>
    <m/>
    <n v="3220"/>
    <n v="0"/>
    <n v="3220"/>
    <n v="540"/>
    <m/>
    <m/>
    <m/>
    <x v="1"/>
    <x v="21"/>
    <s v="43N"/>
    <s v="15W"/>
    <s v="T43N R15W SEC 27 NENW.S2NW; SEC 28 N2NW,S2N2;     "/>
    <m/>
    <m/>
    <m/>
    <m/>
  </r>
  <r>
    <m/>
    <x v="1"/>
    <x v="1"/>
    <m/>
    <m/>
    <x v="1"/>
    <m/>
    <x v="1"/>
    <x v="1"/>
    <m/>
    <m/>
    <m/>
    <m/>
    <n v="10063.5"/>
    <n v="0"/>
    <n v="10063.5"/>
    <m/>
    <m/>
    <m/>
    <m/>
    <x v="1"/>
    <x v="1"/>
    <m/>
    <m/>
    <s v="      "/>
    <m/>
    <m/>
    <m/>
    <m/>
  </r>
  <r>
    <m/>
    <x v="1"/>
    <x v="1"/>
    <m/>
    <m/>
    <x v="1"/>
    <m/>
    <x v="1"/>
    <x v="1"/>
    <m/>
    <m/>
    <m/>
    <m/>
    <m/>
    <m/>
    <m/>
    <m/>
    <m/>
    <m/>
    <m/>
    <x v="1"/>
    <x v="1"/>
    <m/>
    <m/>
    <s v="      "/>
    <m/>
    <m/>
    <m/>
    <m/>
  </r>
  <r>
    <s v="OHES059251"/>
    <x v="2"/>
    <x v="2"/>
    <d v="2018-03-22T00:00:00"/>
    <d v="2018-05-01T00:00:00"/>
    <x v="99"/>
    <n v="39.65"/>
    <x v="135"/>
    <x v="14"/>
    <m/>
    <n v="0.1"/>
    <n v="0.1"/>
    <m/>
    <n v="300"/>
    <s v=" $                    -  "/>
    <n v="300"/>
    <n v="60"/>
    <m/>
    <m/>
    <m/>
    <x v="1"/>
    <x v="21"/>
    <s v="1N"/>
    <s v="4W"/>
    <s v="T1N R4W Sec 34; SESW less 5.35 ac of SE cor., Pt. W2SW      "/>
    <m/>
    <m/>
    <m/>
    <m/>
  </r>
  <r>
    <s v="OHES059252"/>
    <x v="2"/>
    <x v="2"/>
    <d v="2018-03-22T00:00:00"/>
    <d v="2018-05-01T00:00:00"/>
    <x v="99"/>
    <n v="305.83999999999997"/>
    <x v="222"/>
    <x v="14"/>
    <m/>
    <n v="0.1"/>
    <n v="0.1"/>
    <m/>
    <n v="1537"/>
    <s v=" $                    -  "/>
    <n v="1537"/>
    <n v="459"/>
    <m/>
    <m/>
    <m/>
    <x v="1"/>
    <x v="21"/>
    <s v="5N"/>
    <s v="7W"/>
    <s v="T5N R7W Sec 14 Pt. NWNW and Pt. E2NW, Pt. NWNW  west of Twp Rd 252, Pt NESW, Pt NW  with exceptions  Sec. 20; E2NW,W@NE, NENE,  Pt. SENE with exceptions  "/>
    <m/>
    <m/>
    <m/>
    <m/>
  </r>
  <r>
    <m/>
    <x v="1"/>
    <x v="1"/>
    <m/>
    <m/>
    <x v="1"/>
    <m/>
    <x v="1"/>
    <x v="1"/>
    <m/>
    <m/>
    <m/>
    <m/>
    <n v="1837"/>
    <n v="0"/>
    <n v="1837"/>
    <m/>
    <m/>
    <m/>
    <m/>
    <x v="1"/>
    <x v="1"/>
    <m/>
    <m/>
    <s v="      "/>
    <m/>
    <m/>
    <m/>
    <m/>
  </r>
  <r>
    <m/>
    <x v="1"/>
    <x v="1"/>
    <m/>
    <m/>
    <x v="1"/>
    <m/>
    <x v="1"/>
    <x v="1"/>
    <m/>
    <m/>
    <m/>
    <m/>
    <m/>
    <m/>
    <m/>
    <m/>
    <m/>
    <m/>
    <m/>
    <x v="1"/>
    <x v="1"/>
    <m/>
    <m/>
    <s v="      "/>
    <m/>
    <m/>
    <m/>
    <m/>
  </r>
  <r>
    <s v="WYW186741"/>
    <x v="2"/>
    <x v="2"/>
    <d v="2018-03-21T00:00:00"/>
    <d v="2018-06-01T00:00:00"/>
    <x v="100"/>
    <n v="83.67"/>
    <x v="216"/>
    <x v="22"/>
    <m/>
    <n v="0.1"/>
    <n v="0.1"/>
    <m/>
    <n v="454"/>
    <n v="3192"/>
    <n v="3646"/>
    <n v="126"/>
    <m/>
    <m/>
    <m/>
    <x v="1"/>
    <x v="21"/>
    <s v="530N"/>
    <s v="690W"/>
    <s v="T530N R690W Sec 32; LOTS 7,13     "/>
    <m/>
    <m/>
    <m/>
    <m/>
  </r>
  <r>
    <s v="WYW186750"/>
    <x v="2"/>
    <x v="2"/>
    <d v="2018-03-21T00:00:00"/>
    <d v="2018-06-01T00:00:00"/>
    <x v="100"/>
    <n v="326.75"/>
    <x v="216"/>
    <x v="22"/>
    <m/>
    <n v="0.1"/>
    <n v="0.1"/>
    <m/>
    <n v="1304.5"/>
    <n v="2943"/>
    <n v="4247.5"/>
    <n v="490.5"/>
    <m/>
    <m/>
    <m/>
    <x v="1"/>
    <x v="21"/>
    <s v="510N"/>
    <s v="700W"/>
    <s v="T510N R700W Sec 004 LOTS 8,9,14,15; Sec 009 LOTS 1-4     "/>
    <m/>
    <m/>
    <m/>
    <m/>
  </r>
  <r>
    <s v="WYW186751"/>
    <x v="2"/>
    <x v="2"/>
    <d v="2018-03-21T00:00:00"/>
    <d v="2018-06-01T00:00:00"/>
    <x v="100"/>
    <n v="156.38"/>
    <x v="216"/>
    <x v="22"/>
    <m/>
    <n v="0.1"/>
    <n v="0.1"/>
    <m/>
    <n v="709.5"/>
    <n v="785"/>
    <n v="1494.5"/>
    <n v="235.5"/>
    <m/>
    <m/>
    <m/>
    <x v="1"/>
    <x v="21"/>
    <s v="520N"/>
    <s v="700W"/>
    <s v="T520N R700W Sec 012 LOTS 2,5,6,9     "/>
    <m/>
    <m/>
    <m/>
    <m/>
  </r>
  <r>
    <s v="WYW186754"/>
    <x v="2"/>
    <x v="2"/>
    <d v="2018-03-21T00:00:00"/>
    <d v="2018-06-01T00:00:00"/>
    <x v="100"/>
    <n v="866.8"/>
    <x v="216"/>
    <x v="22"/>
    <m/>
    <n v="0.1"/>
    <n v="0.1"/>
    <m/>
    <n v="3194.5"/>
    <n v="17340"/>
    <n v="20534.5"/>
    <n v="1300.5"/>
    <m/>
    <m/>
    <m/>
    <x v="1"/>
    <x v="21"/>
    <s v="530N"/>
    <s v="720W"/>
    <s v="T530N R720W Sec 5 LOTS 7,8; Sec 6 LOTS 9,10,14-17; Sec 8 LOTS 3-5, 8-11; Sec 8 SWSE; Sec 9 LOTS 13;  Sec 17 LOTS 3-5, 10, 11   "/>
    <m/>
    <m/>
    <m/>
    <m/>
  </r>
  <r>
    <s v="WYW186755"/>
    <x v="2"/>
    <x v="2"/>
    <d v="2018-03-21T00:00:00"/>
    <d v="2018-06-01T00:00:00"/>
    <x v="100"/>
    <n v="428.66"/>
    <x v="216"/>
    <x v="22"/>
    <m/>
    <n v="0.1"/>
    <n v="0.1"/>
    <m/>
    <n v="1661.5"/>
    <n v="5148"/>
    <n v="6809.5"/>
    <n v="643.5"/>
    <m/>
    <m/>
    <m/>
    <x v="1"/>
    <x v="21"/>
    <s v="540N"/>
    <s v="720W"/>
    <s v="T540N R720W Sec 5 LOTS 7; Sec 6 LOTS 8,15; Sec 21 LOTS 1-7;  Sec 30 LOTS 19    "/>
    <m/>
    <m/>
    <m/>
    <m/>
  </r>
  <r>
    <s v="WYW186756"/>
    <x v="2"/>
    <x v="2"/>
    <d v="2018-03-21T00:00:00"/>
    <d v="2018-06-01T00:00:00"/>
    <x v="100"/>
    <n v="630.52"/>
    <x v="216"/>
    <x v="22"/>
    <m/>
    <n v="0.1"/>
    <n v="0.1"/>
    <m/>
    <n v="2368.5"/>
    <n v="7572"/>
    <n v="9940.5"/>
    <n v="946.5"/>
    <m/>
    <m/>
    <m/>
    <x v="1"/>
    <x v="21"/>
    <s v="540N"/>
    <s v="720W"/>
    <s v="T540N R720W Sec 9 LOTS 5-8; Sec 20 LOTS 1-4, 6-8; Sec 31 LOTS 6-8,12,17    "/>
    <m/>
    <m/>
    <m/>
    <m/>
  </r>
  <r>
    <s v="WYW186757"/>
    <x v="2"/>
    <x v="2"/>
    <d v="2018-03-21T00:00:00"/>
    <d v="2018-06-01T00:00:00"/>
    <x v="100"/>
    <n v="160.16999999999999"/>
    <x v="216"/>
    <x v="22"/>
    <m/>
    <n v="0.1"/>
    <n v="0.1"/>
    <m/>
    <n v="723.5"/>
    <n v="1449"/>
    <n v="2172.5"/>
    <n v="241.5"/>
    <m/>
    <m/>
    <m/>
    <x v="1"/>
    <x v="21"/>
    <s v="550N"/>
    <s v="720W"/>
    <s v="T550N R720W Sec 29 LOTS 6,7; Sec 30 LOTS 5,13     "/>
    <m/>
    <m/>
    <m/>
    <m/>
  </r>
  <r>
    <s v="WYW186758"/>
    <x v="2"/>
    <x v="2"/>
    <d v="2018-03-21T00:00:00"/>
    <d v="2018-06-01T00:00:00"/>
    <x v="100"/>
    <n v="81.12"/>
    <x v="216"/>
    <x v="22"/>
    <m/>
    <n v="0.1"/>
    <n v="0.1"/>
    <m/>
    <n v="447"/>
    <n v="902"/>
    <n v="1349"/>
    <n v="123"/>
    <m/>
    <m/>
    <m/>
    <x v="1"/>
    <x v="21"/>
    <s v="550N"/>
    <s v="720W"/>
    <s v="T550N R720W Sec 30, LOT 6; Sec 32, LOT 1     "/>
    <m/>
    <m/>
    <m/>
    <m/>
  </r>
  <r>
    <s v="WYW186765"/>
    <x v="2"/>
    <x v="2"/>
    <d v="2018-03-21T00:00:00"/>
    <d v="2018-06-01T00:00:00"/>
    <x v="100"/>
    <n v="444.51"/>
    <x v="216"/>
    <x v="22"/>
    <m/>
    <n v="0.1"/>
    <n v="0.1"/>
    <m/>
    <n v="1717.5"/>
    <n v="5340"/>
    <n v="7057.5"/>
    <n v="667.5"/>
    <m/>
    <m/>
    <m/>
    <x v="1"/>
    <x v="21"/>
    <s v="540N"/>
    <s v="730W"/>
    <s v="T540N R730W Sec 1 LOTS 7,8; Sec 14, LOTS 1,2; Sec 24 LOTS 3,6,7 10,11,14,15    "/>
    <m/>
    <m/>
    <m/>
    <m/>
  </r>
  <r>
    <s v="WYW186768"/>
    <x v="2"/>
    <x v="2"/>
    <d v="2018-03-21T00:00:00"/>
    <d v="2018-06-01T00:00:00"/>
    <x v="100"/>
    <n v="320"/>
    <x v="223"/>
    <x v="22"/>
    <m/>
    <n v="0.1"/>
    <n v="0.1"/>
    <m/>
    <n v="1280"/>
    <n v="320"/>
    <n v="1600"/>
    <n v="480"/>
    <m/>
    <m/>
    <m/>
    <x v="1"/>
    <x v="21"/>
    <s v="330N"/>
    <s v="750W"/>
    <s v="T330N R750W Sec 10, SWNE,E2NW,NESW,W2SE; Sec 15, NWNE NENW    "/>
    <m/>
    <m/>
    <m/>
    <m/>
  </r>
  <r>
    <m/>
    <x v="1"/>
    <x v="1"/>
    <m/>
    <m/>
    <x v="1"/>
    <m/>
    <x v="1"/>
    <x v="1"/>
    <m/>
    <m/>
    <m/>
    <m/>
    <n v="13860.5"/>
    <n v="44991"/>
    <n v="58851.5"/>
    <m/>
    <m/>
    <m/>
    <m/>
    <x v="1"/>
    <x v="1"/>
    <m/>
    <m/>
    <s v="      "/>
    <m/>
    <m/>
    <m/>
    <m/>
  </r>
  <r>
    <m/>
    <x v="1"/>
    <x v="1"/>
    <m/>
    <m/>
    <x v="1"/>
    <m/>
    <x v="1"/>
    <x v="1"/>
    <m/>
    <m/>
    <m/>
    <m/>
    <m/>
    <m/>
    <m/>
    <m/>
    <m/>
    <m/>
    <m/>
    <x v="1"/>
    <x v="1"/>
    <m/>
    <m/>
    <s v="      "/>
    <m/>
    <m/>
    <m/>
    <m/>
  </r>
  <r>
    <s v="NMNM137436"/>
    <x v="2"/>
    <x v="2"/>
    <d v="2017-09-07T00:00:00"/>
    <d v="2018-04-01T00:00:00"/>
    <x v="98"/>
    <n v="320"/>
    <x v="224"/>
    <x v="7"/>
    <m/>
    <n v="0.1"/>
    <n v="0.1"/>
    <m/>
    <n v="1280"/>
    <n v="640"/>
    <n v="1920"/>
    <n v="480"/>
    <m/>
    <m/>
    <m/>
    <x v="1"/>
    <x v="21"/>
    <s v="30S"/>
    <s v="270E"/>
    <s v="T30S R270E SEC 008 N2     "/>
    <m/>
    <m/>
    <m/>
    <m/>
  </r>
  <r>
    <s v="NMNM137450"/>
    <x v="2"/>
    <x v="2"/>
    <d v="2017-09-07T00:00:00"/>
    <d v="2018-04-01T00:00:00"/>
    <x v="98"/>
    <n v="120"/>
    <x v="224"/>
    <x v="7"/>
    <m/>
    <n v="0.1"/>
    <n v="0.1"/>
    <m/>
    <n v="580"/>
    <n v="1800"/>
    <n v="2380"/>
    <n v="180"/>
    <m/>
    <m/>
    <m/>
    <x v="1"/>
    <x v="21"/>
    <s v="70S"/>
    <s v="300E"/>
    <s v="T70S R300E SEC 035 SWNW,N2SW     "/>
    <m/>
    <m/>
    <m/>
    <m/>
  </r>
  <r>
    <s v="NMNM137451"/>
    <x v="2"/>
    <x v="2"/>
    <d v="2017-09-07T00:00:00"/>
    <d v="2018-04-01T00:00:00"/>
    <x v="98"/>
    <n v="40"/>
    <x v="224"/>
    <x v="7"/>
    <m/>
    <n v="0.1"/>
    <n v="0.1"/>
    <m/>
    <n v="300"/>
    <n v="1040"/>
    <n v="1340"/>
    <n v="60"/>
    <m/>
    <m/>
    <m/>
    <x v="1"/>
    <x v="21"/>
    <s v="70S"/>
    <s v="300E"/>
    <s v="T70S R300E SEC 035 SESE     "/>
    <m/>
    <m/>
    <m/>
    <m/>
  </r>
  <r>
    <s v="NMNM137452"/>
    <x v="2"/>
    <x v="2"/>
    <d v="2017-09-07T00:00:00"/>
    <d v="2018-04-01T00:00:00"/>
    <x v="98"/>
    <n v="320.05"/>
    <x v="224"/>
    <x v="7"/>
    <m/>
    <n v="0.1"/>
    <n v="0.1"/>
    <m/>
    <n v="1283.5"/>
    <n v="7704"/>
    <n v="8987.5"/>
    <n v="481.5"/>
    <m/>
    <m/>
    <m/>
    <x v="1"/>
    <x v="21"/>
    <s v="80S"/>
    <s v="300E"/>
    <s v="T80S R300E SEC 001 LOTS 3,4; SEC 001 S2NW,SW     "/>
    <m/>
    <m/>
    <m/>
    <m/>
  </r>
  <r>
    <s v="NMNM137456"/>
    <x v="2"/>
    <x v="2"/>
    <d v="2017-09-07T00:00:00"/>
    <d v="2018-04-01T00:00:00"/>
    <x v="98"/>
    <n v="80"/>
    <x v="63"/>
    <x v="7"/>
    <m/>
    <n v="0.1"/>
    <n v="0.1"/>
    <m/>
    <n v="440"/>
    <n v="25200"/>
    <n v="25640"/>
    <n v="120"/>
    <m/>
    <m/>
    <m/>
    <x v="1"/>
    <x v="21"/>
    <s v="120S"/>
    <s v="320E"/>
    <s v="T120S R320E SEC 014 S2NE     "/>
    <m/>
    <m/>
    <m/>
    <m/>
  </r>
  <r>
    <s v="NMNM137478"/>
    <x v="2"/>
    <x v="2"/>
    <d v="2017-09-07T00:00:00"/>
    <d v="2018-04-01T00:00:00"/>
    <x v="98"/>
    <n v="160"/>
    <x v="63"/>
    <x v="7"/>
    <m/>
    <n v="0.1"/>
    <n v="0.1"/>
    <m/>
    <n v="720"/>
    <n v="35200"/>
    <n v="35920"/>
    <n v="240"/>
    <m/>
    <m/>
    <m/>
    <x v="1"/>
    <x v="21"/>
    <s v="190S"/>
    <s v="380E"/>
    <s v="T190S R380E SEC 013 SW     "/>
    <m/>
    <m/>
    <m/>
    <m/>
  </r>
  <r>
    <s v="NMNM137479"/>
    <x v="2"/>
    <x v="2"/>
    <d v="2017-09-07T00:00:00"/>
    <d v="2018-04-01T00:00:00"/>
    <x v="98"/>
    <n v="240"/>
    <x v="63"/>
    <x v="7"/>
    <m/>
    <n v="0.1"/>
    <n v="0.1"/>
    <m/>
    <n v="1000"/>
    <n v="56880"/>
    <n v="57880"/>
    <n v="360"/>
    <m/>
    <m/>
    <m/>
    <x v="1"/>
    <x v="21"/>
    <s v="190S"/>
    <s v="380E"/>
    <s v="T190S R380E SEC 020 NE,N2SE     "/>
    <m/>
    <m/>
    <m/>
    <m/>
  </r>
  <r>
    <s v="NMNM137480"/>
    <x v="2"/>
    <x v="2"/>
    <d v="2017-09-07T00:00:00"/>
    <d v="2018-04-01T00:00:00"/>
    <x v="98"/>
    <n v="200"/>
    <x v="63"/>
    <x v="7"/>
    <m/>
    <n v="0.1"/>
    <n v="0.1"/>
    <m/>
    <n v="860"/>
    <n v="59800"/>
    <n v="60660"/>
    <n v="300"/>
    <m/>
    <m/>
    <m/>
    <x v="1"/>
    <x v="21"/>
    <s v="260S"/>
    <s v="380E"/>
    <s v="T260S R380E SEC 020 SESE; SEC 029 E2E2     "/>
    <m/>
    <m/>
    <m/>
    <m/>
  </r>
  <r>
    <s v="NMNM137482"/>
    <x v="2"/>
    <x v="2"/>
    <d v="2017-09-07T00:00:00"/>
    <d v="2018-04-01T00:00:00"/>
    <x v="98"/>
    <n v="320"/>
    <x v="63"/>
    <x v="7"/>
    <m/>
    <n v="0.1"/>
    <n v="0.1"/>
    <m/>
    <n v="1280"/>
    <n v="127680"/>
    <n v="128960"/>
    <n v="480"/>
    <m/>
    <m/>
    <m/>
    <x v="1"/>
    <x v="21"/>
    <s v="260S"/>
    <s v="380E"/>
    <s v="T260S R380E SEC 030 N2     "/>
    <m/>
    <m/>
    <m/>
    <m/>
  </r>
  <r>
    <s v="NMNM137483"/>
    <x v="2"/>
    <x v="2"/>
    <d v="2017-09-07T00:00:00"/>
    <d v="2018-04-01T00:00:00"/>
    <x v="98"/>
    <n v="376.15"/>
    <x v="63"/>
    <x v="7"/>
    <m/>
    <n v="0.1"/>
    <n v="0.1"/>
    <m/>
    <n v="1479.5"/>
    <n v="131573"/>
    <n v="133052.5"/>
    <n v="565.5"/>
    <m/>
    <m/>
    <m/>
    <x v="1"/>
    <x v="21"/>
    <s v="260S"/>
    <s v="380E"/>
    <s v="T260S R380E SEC 030 SW; SEC 031 LOTS 2,3,4; SEC 031 NWNE,N2NW     "/>
    <m/>
    <m/>
    <m/>
    <m/>
  </r>
  <r>
    <s v="NMNM137484"/>
    <x v="2"/>
    <x v="2"/>
    <d v="2017-09-07T00:00:00"/>
    <d v="2018-04-01T00:00:00"/>
    <x v="98"/>
    <n v="275.8"/>
    <x v="63"/>
    <x v="7"/>
    <m/>
    <n v="0.1"/>
    <n v="0.1"/>
    <m/>
    <n v="1126"/>
    <n v="110124"/>
    <n v="111250"/>
    <n v="414"/>
    <m/>
    <m/>
    <m/>
    <x v="1"/>
    <x v="21"/>
    <s v="260S"/>
    <s v="380E"/>
    <s v="T260S R380E SEC 021 LOTS 1-4; SEC 021 NW,S2SW     "/>
    <m/>
    <m/>
    <m/>
    <m/>
  </r>
  <r>
    <m/>
    <x v="1"/>
    <x v="1"/>
    <m/>
    <m/>
    <x v="1"/>
    <m/>
    <x v="1"/>
    <x v="1"/>
    <m/>
    <m/>
    <m/>
    <m/>
    <n v="10349"/>
    <n v="557641"/>
    <n v="567990"/>
    <m/>
    <m/>
    <m/>
    <m/>
    <x v="1"/>
    <x v="1"/>
    <m/>
    <m/>
    <s v="      "/>
    <m/>
    <m/>
    <m/>
    <m/>
  </r>
  <r>
    <m/>
    <x v="1"/>
    <x v="1"/>
    <m/>
    <m/>
    <x v="1"/>
    <m/>
    <x v="1"/>
    <x v="1"/>
    <m/>
    <m/>
    <m/>
    <m/>
    <m/>
    <m/>
    <m/>
    <m/>
    <m/>
    <m/>
    <m/>
    <x v="1"/>
    <x v="1"/>
    <m/>
    <m/>
    <s v="      "/>
    <m/>
    <m/>
    <m/>
    <m/>
  </r>
  <r>
    <s v="MTM110399"/>
    <x v="2"/>
    <x v="2"/>
    <d v="2018-03-12T00:00:00"/>
    <d v="2018-05-01T00:00:00"/>
    <x v="99"/>
    <n v="480"/>
    <x v="225"/>
    <x v="19"/>
    <m/>
    <n v="0.1"/>
    <n v="0.1"/>
    <m/>
    <n v="1840"/>
    <n v="4320"/>
    <n v="6160"/>
    <n v="720"/>
    <m/>
    <m/>
    <m/>
    <x v="1"/>
    <x v="21"/>
    <s v="9N"/>
    <s v="23E"/>
    <s v="T9N R23E Sec 9, S1/2; Sec 15 SW1/4     "/>
    <m/>
    <m/>
    <m/>
    <m/>
  </r>
  <r>
    <s v="MTM110400"/>
    <x v="2"/>
    <x v="2"/>
    <d v="2018-03-12T00:00:00"/>
    <d v="2018-05-01T00:00:00"/>
    <x v="99"/>
    <n v="160"/>
    <x v="225"/>
    <x v="19"/>
    <m/>
    <n v="0.1"/>
    <n v="0.1"/>
    <m/>
    <n v="720"/>
    <n v="1600"/>
    <n v="2320"/>
    <n v="240"/>
    <m/>
    <m/>
    <m/>
    <x v="1"/>
    <x v="21"/>
    <s v="9N"/>
    <s v="23E"/>
    <s v="T9N R23E Sec 20 NE1/4NE1/4, SE1/4NW1/4, S1/2SE1/4     "/>
    <m/>
    <m/>
    <m/>
    <m/>
  </r>
  <r>
    <s v="MTM110401"/>
    <x v="2"/>
    <x v="2"/>
    <d v="2018-03-12T00:00:00"/>
    <d v="2018-05-01T00:00:00"/>
    <x v="99"/>
    <n v="160"/>
    <x v="225"/>
    <x v="19"/>
    <m/>
    <n v="0.1"/>
    <n v="0.1"/>
    <m/>
    <n v="720"/>
    <n v="1600"/>
    <n v="2320"/>
    <n v="240"/>
    <m/>
    <m/>
    <m/>
    <x v="1"/>
    <x v="21"/>
    <s v="9N"/>
    <s v="24E"/>
    <s v="T9N R24E Sec 28 NE1/4     "/>
    <m/>
    <m/>
    <m/>
    <m/>
  </r>
  <r>
    <s v="MTM110402"/>
    <x v="2"/>
    <x v="2"/>
    <d v="2018-03-12T00:00:00"/>
    <d v="2018-05-01T00:00:00"/>
    <x v="99"/>
    <n v="160"/>
    <x v="225"/>
    <x v="19"/>
    <m/>
    <n v="0.1"/>
    <n v="0.1"/>
    <m/>
    <n v="720"/>
    <n v="2400"/>
    <n v="3120"/>
    <n v="240"/>
    <m/>
    <m/>
    <m/>
    <x v="1"/>
    <x v="21"/>
    <s v="9N"/>
    <s v="24E"/>
    <s v="T9N R24E Sec 34 SW1/4     "/>
    <m/>
    <m/>
    <m/>
    <m/>
  </r>
  <r>
    <s v="MTM110403"/>
    <x v="2"/>
    <x v="2"/>
    <d v="2018-03-12T00:00:00"/>
    <d v="2018-05-01T00:00:00"/>
    <x v="99"/>
    <n v="640"/>
    <x v="225"/>
    <x v="19"/>
    <m/>
    <n v="0.1"/>
    <n v="0.1"/>
    <m/>
    <n v="2400"/>
    <n v="0"/>
    <n v="2400"/>
    <n v="960"/>
    <m/>
    <m/>
    <m/>
    <x v="1"/>
    <x v="21"/>
    <s v="10N"/>
    <s v="25E"/>
    <s v="T10N R25E Sec 11     "/>
    <m/>
    <m/>
    <m/>
    <m/>
  </r>
  <r>
    <s v="MTM110404"/>
    <x v="2"/>
    <x v="2"/>
    <d v="2018-03-12T00:00:00"/>
    <d v="2018-05-01T00:00:00"/>
    <x v="99"/>
    <n v="880"/>
    <x v="225"/>
    <x v="19"/>
    <m/>
    <n v="0.1"/>
    <n v="0.1"/>
    <m/>
    <n v="3240"/>
    <n v="0"/>
    <n v="3240"/>
    <n v="1320"/>
    <m/>
    <m/>
    <m/>
    <x v="1"/>
    <x v="21"/>
    <s v="9N"/>
    <s v="26E"/>
    <s v="T9N R26E Sec 11; Sec 15 N1/2NE1/4. NW1/4     "/>
    <m/>
    <m/>
    <m/>
    <m/>
  </r>
  <r>
    <s v="MTM110405"/>
    <x v="2"/>
    <x v="2"/>
    <d v="2018-03-12T00:00:00"/>
    <d v="2018-05-01T00:00:00"/>
    <x v="99"/>
    <n v="160"/>
    <x v="225"/>
    <x v="19"/>
    <m/>
    <n v="0.1"/>
    <n v="0.1"/>
    <m/>
    <n v="720"/>
    <n v="0"/>
    <n v="720"/>
    <n v="240"/>
    <m/>
    <m/>
    <m/>
    <x v="1"/>
    <x v="21"/>
    <s v="9N"/>
    <s v="26E"/>
    <s v="T9N R26E Sec 12 S1/2SW1/4, S1/2SE1/4     "/>
    <m/>
    <m/>
    <m/>
    <m/>
  </r>
  <r>
    <s v="MTM110406"/>
    <x v="2"/>
    <x v="2"/>
    <d v="2018-03-12T00:00:00"/>
    <d v="2018-05-01T00:00:00"/>
    <x v="99"/>
    <n v="1120"/>
    <x v="225"/>
    <x v="19"/>
    <m/>
    <n v="0.1"/>
    <n v="0.1"/>
    <m/>
    <n v="4080"/>
    <n v="0"/>
    <n v="4080"/>
    <n v="1680"/>
    <m/>
    <m/>
    <m/>
    <x v="1"/>
    <x v="21"/>
    <s v="9N"/>
    <s v="26E"/>
    <s v="T9N R26E Sec 13; Sec 14 E1/2; Sec 24 NE1/4     "/>
    <m/>
    <m/>
    <m/>
    <m/>
  </r>
  <r>
    <s v="MTM110407"/>
    <x v="2"/>
    <x v="2"/>
    <d v="2018-03-12T00:00:00"/>
    <d v="2018-05-01T00:00:00"/>
    <x v="99"/>
    <n v="160"/>
    <x v="225"/>
    <x v="19"/>
    <m/>
    <n v="0.1"/>
    <n v="0.1"/>
    <m/>
    <n v="720"/>
    <n v="0"/>
    <n v="720"/>
    <n v="240"/>
    <m/>
    <m/>
    <m/>
    <x v="1"/>
    <x v="21"/>
    <s v="9N"/>
    <s v="26E"/>
    <s v="T9N R26E Sec 22 SW1/4     "/>
    <m/>
    <m/>
    <m/>
    <m/>
  </r>
  <r>
    <s v="MTM110408"/>
    <x v="2"/>
    <x v="2"/>
    <d v="2018-03-12T00:00:00"/>
    <d v="2018-05-01T00:00:00"/>
    <x v="99"/>
    <n v="800"/>
    <x v="225"/>
    <x v="19"/>
    <m/>
    <n v="0.1"/>
    <n v="0.1"/>
    <m/>
    <n v="2960"/>
    <n v="1600"/>
    <n v="4560"/>
    <n v="1200"/>
    <m/>
    <m/>
    <m/>
    <x v="1"/>
    <x v="21"/>
    <s v="11N"/>
    <s v="30E"/>
    <s v="T11N R30E Sec 4 S1/2; Sec 10 N1/2, SE1/4     "/>
    <m/>
    <m/>
    <m/>
    <m/>
  </r>
  <r>
    <m/>
    <x v="1"/>
    <x v="1"/>
    <m/>
    <m/>
    <x v="1"/>
    <m/>
    <x v="1"/>
    <x v="1"/>
    <m/>
    <m/>
    <m/>
    <m/>
    <n v="18120"/>
    <n v="11520"/>
    <n v="29640"/>
    <m/>
    <m/>
    <m/>
    <m/>
    <x v="1"/>
    <x v="1"/>
    <m/>
    <m/>
    <s v="      "/>
    <m/>
    <m/>
    <m/>
    <m/>
  </r>
  <r>
    <m/>
    <x v="1"/>
    <x v="1"/>
    <m/>
    <m/>
    <x v="1"/>
    <m/>
    <x v="1"/>
    <x v="1"/>
    <m/>
    <m/>
    <m/>
    <m/>
    <m/>
    <m/>
    <m/>
    <m/>
    <m/>
    <m/>
    <m/>
    <x v="1"/>
    <x v="1"/>
    <m/>
    <m/>
    <s v="      "/>
    <m/>
    <m/>
    <m/>
    <m/>
  </r>
  <r>
    <s v="MTM110409"/>
    <x v="2"/>
    <x v="2"/>
    <d v="2018-03-13T00:00:00"/>
    <d v="2018-05-01T00:00:00"/>
    <x v="99"/>
    <n v="2559.56"/>
    <x v="226"/>
    <x v="19"/>
    <m/>
    <n v="0.1"/>
    <n v="0.1"/>
    <m/>
    <n v="9120"/>
    <n v="0"/>
    <n v="9120"/>
    <n v="3840"/>
    <m/>
    <m/>
    <m/>
    <x v="1"/>
    <x v="21"/>
    <s v="9S"/>
    <s v="22E"/>
    <s v="T9S R22E Sec 1; Sec 2; Sec 11; Sec 12     "/>
    <m/>
    <m/>
    <m/>
    <m/>
  </r>
  <r>
    <s v="MTM110410"/>
    <x v="2"/>
    <x v="2"/>
    <d v="2018-03-13T00:00:00"/>
    <d v="2018-05-01T00:00:00"/>
    <x v="99"/>
    <n v="2359.6999999999998"/>
    <x v="226"/>
    <x v="19"/>
    <m/>
    <n v="0.1"/>
    <n v="0.1"/>
    <m/>
    <n v="8420"/>
    <n v="4720"/>
    <n v="13140"/>
    <n v="3540"/>
    <m/>
    <m/>
    <m/>
    <x v="1"/>
    <x v="21"/>
    <s v="9S"/>
    <s v="22E"/>
    <s v="T9S R22E Sec 3, LOTS 1-3; Sec 3 S1/2NE1/4, SE1/4NW1/4, S1/2; Sec 4, SE1/4SE1/4; Sec 10; Sec 13 N1/2, SW1/4 Sec 14   "/>
    <m/>
    <m/>
    <m/>
    <m/>
  </r>
  <r>
    <s v="MTM110411"/>
    <x v="2"/>
    <x v="2"/>
    <d v="2018-03-13T00:00:00"/>
    <d v="2018-05-01T00:00:00"/>
    <x v="99"/>
    <n v="1120"/>
    <x v="226"/>
    <x v="19"/>
    <m/>
    <n v="0.1"/>
    <n v="0.1"/>
    <m/>
    <n v="4080"/>
    <n v="0"/>
    <n v="4080"/>
    <n v="1680"/>
    <m/>
    <m/>
    <m/>
    <x v="1"/>
    <x v="21"/>
    <s v="9S"/>
    <s v="22E"/>
    <s v="T9S R22E Sec 32 E1/2NE1/4,E1/2SE1/4; Sec 33; Sec 35 S1/2     "/>
    <m/>
    <m/>
    <m/>
    <m/>
  </r>
  <r>
    <s v="MTM110412"/>
    <x v="2"/>
    <x v="2"/>
    <d v="2018-03-13T00:00:00"/>
    <d v="2018-05-01T00:00:00"/>
    <x v="99"/>
    <n v="560"/>
    <x v="226"/>
    <x v="19"/>
    <m/>
    <n v="0.1"/>
    <n v="0.1"/>
    <m/>
    <n v="2120"/>
    <n v="0"/>
    <n v="2120"/>
    <n v="840"/>
    <m/>
    <m/>
    <m/>
    <x v="1"/>
    <x v="21"/>
    <s v="9S"/>
    <s v="22E"/>
    <s v="T9S R22E Sec 13 SE1/4; Sec 34 E1/2NE1/4; Sec 35 N1/2     "/>
    <m/>
    <m/>
    <m/>
    <m/>
  </r>
  <r>
    <s v="MTM110413"/>
    <x v="2"/>
    <x v="2"/>
    <d v="2018-03-13T00:00:00"/>
    <d v="2018-05-01T00:00:00"/>
    <x v="99"/>
    <n v="1184.33"/>
    <x v="226"/>
    <x v="19"/>
    <m/>
    <n v="0.1"/>
    <n v="0.1"/>
    <m/>
    <n v="4307.5"/>
    <n v="18960"/>
    <n v="23267.5"/>
    <n v="1777.5"/>
    <m/>
    <m/>
    <m/>
    <x v="1"/>
    <x v="21"/>
    <s v="9S"/>
    <s v="22E"/>
    <s v="T9S R22E Sec 20 E1/2NE1/4, SE1/4; Sec 21; Sec 28 SW1/4SW1/4 Sec 29 LOT 9; Sec 29 NE1/4, E1/2SE1/4    "/>
    <m/>
    <m/>
    <m/>
    <m/>
  </r>
  <r>
    <s v="MTM110414"/>
    <x v="2"/>
    <x v="2"/>
    <d v="2018-03-13T00:00:00"/>
    <d v="2018-05-01T00:00:00"/>
    <x v="99"/>
    <n v="1000"/>
    <x v="226"/>
    <x v="19"/>
    <m/>
    <n v="0.1"/>
    <n v="0.1"/>
    <m/>
    <n v="3660"/>
    <n v="26000"/>
    <n v="29660"/>
    <n v="1500"/>
    <m/>
    <m/>
    <m/>
    <x v="1"/>
    <x v="21"/>
    <s v="9S"/>
    <s v="22E"/>
    <s v="T9S R22E Sec 25; Sec 27 E1/2, SE1/4SW1/4     "/>
    <m/>
    <m/>
    <m/>
    <m/>
  </r>
  <r>
    <s v="MTM110415"/>
    <x v="2"/>
    <x v="2"/>
    <d v="2018-03-13T00:00:00"/>
    <d v="2018-05-01T00:00:00"/>
    <x v="99"/>
    <n v="880"/>
    <x v="226"/>
    <x v="19"/>
    <m/>
    <n v="0.1"/>
    <n v="0.1"/>
    <m/>
    <n v="3240"/>
    <n v="0"/>
    <n v="3240"/>
    <n v="1320"/>
    <m/>
    <m/>
    <m/>
    <x v="1"/>
    <x v="21"/>
    <s v="7S"/>
    <s v="23E"/>
    <s v="T7S R23E Sec 13 W1/2SW1/4; Sec 14 SE1/4NE1/4, S1/2SW1/4 Sec 22, NE1/4, E1/2NW1/4; Sec 23 NW1/4 Sec 24 NW1/4; Sec 26, N1/2NE1/4, SE1/4NE1/4   "/>
    <m/>
    <m/>
    <m/>
    <m/>
  </r>
  <r>
    <s v="MTM110416"/>
    <x v="2"/>
    <x v="2"/>
    <d v="2018-03-13T00:00:00"/>
    <d v="2018-05-01T00:00:00"/>
    <x v="99"/>
    <n v="2000"/>
    <x v="226"/>
    <x v="19"/>
    <m/>
    <n v="0.1"/>
    <n v="0.1"/>
    <m/>
    <n v="7160"/>
    <n v="0"/>
    <n v="7160"/>
    <n v="3000"/>
    <m/>
    <m/>
    <m/>
    <x v="1"/>
    <x v="21"/>
    <s v="7S"/>
    <s v="23E"/>
    <s v="T7S R23E Sec 27, NE1/4SW1/4,SE1/4; Sec 31 W1/2NE1/4; Sec 32 Sec 33 NE1/4,S 1/2; Sec 34 NW1/4NE1/4, SW1/4NW1/4, NW1/4SW1/4; Sec 35, E1/2 , E1/2NW1/4, E1/2SW1/4  "/>
    <m/>
    <m/>
    <m/>
    <m/>
  </r>
  <r>
    <s v="MTM110418"/>
    <x v="2"/>
    <x v="2"/>
    <d v="2018-03-13T00:00:00"/>
    <d v="2018-05-01T00:00:00"/>
    <x v="99"/>
    <n v="2320"/>
    <x v="226"/>
    <x v="19"/>
    <m/>
    <n v="0.1"/>
    <n v="0.1"/>
    <m/>
    <n v="8280"/>
    <n v="0"/>
    <n v="8280"/>
    <n v="3480"/>
    <m/>
    <m/>
    <m/>
    <x v="1"/>
    <x v="21"/>
    <s v="8S"/>
    <s v="23E"/>
    <s v="T8S R23E Sec 21 SW1/4SW1/4; Sec 27 NW1/4SW1/4, S1/2SW1/4 Sec 28 NW1/4NE1/4, S1/2NE1/4 NW1/4, S1/2; Sec 29 NE1/4, S1/2NW1/4, S1/2   "/>
    <m/>
    <m/>
    <m/>
    <m/>
  </r>
  <r>
    <s v="MTM110420"/>
    <x v="2"/>
    <x v="2"/>
    <d v="2018-03-13T00:00:00"/>
    <d v="2018-05-01T00:00:00"/>
    <x v="99"/>
    <n v="240"/>
    <x v="227"/>
    <x v="19"/>
    <m/>
    <n v="0.1"/>
    <n v="0.1"/>
    <m/>
    <n v="1000"/>
    <n v="0"/>
    <n v="1000"/>
    <n v="360"/>
    <m/>
    <m/>
    <m/>
    <x v="1"/>
    <x v="21"/>
    <s v="27N"/>
    <s v="3E"/>
    <s v="T27N R3E Sec 7 NE1/4SE1/4, S1/2SE1/4; Sec 8 W1/2SW1/4;  Sec 11 SE1/4NW1/4    "/>
    <m/>
    <m/>
    <m/>
    <m/>
  </r>
  <r>
    <s v="MTM110432"/>
    <x v="2"/>
    <x v="2"/>
    <d v="2018-03-13T00:00:00"/>
    <d v="2018-05-01T00:00:00"/>
    <x v="99"/>
    <n v="280"/>
    <x v="228"/>
    <x v="19"/>
    <m/>
    <n v="0.1"/>
    <n v="0.1"/>
    <m/>
    <n v="1140"/>
    <n v="8680"/>
    <n v="9820"/>
    <n v="420"/>
    <m/>
    <m/>
    <m/>
    <x v="1"/>
    <x v="21"/>
    <s v="37N"/>
    <s v="6W"/>
    <s v="T37N R6W Sec 26 SW1/4SE1/4; Sec 35 NE1/4, N1/2SE1/4     "/>
    <m/>
    <m/>
    <m/>
    <m/>
  </r>
  <r>
    <m/>
    <x v="1"/>
    <x v="1"/>
    <m/>
    <m/>
    <x v="1"/>
    <m/>
    <x v="1"/>
    <x v="1"/>
    <m/>
    <m/>
    <m/>
    <m/>
    <n v="52527.5"/>
    <n v="58360"/>
    <n v="110887.5"/>
    <m/>
    <m/>
    <m/>
    <m/>
    <x v="1"/>
    <x v="1"/>
    <m/>
    <m/>
    <s v="      "/>
    <m/>
    <m/>
    <m/>
    <m/>
  </r>
  <r>
    <m/>
    <x v="1"/>
    <x v="1"/>
    <m/>
    <m/>
    <x v="1"/>
    <m/>
    <x v="1"/>
    <x v="1"/>
    <m/>
    <m/>
    <m/>
    <m/>
    <m/>
    <m/>
    <m/>
    <m/>
    <m/>
    <m/>
    <m/>
    <x v="1"/>
    <x v="1"/>
    <m/>
    <m/>
    <s v="      "/>
    <m/>
    <m/>
    <m/>
    <m/>
  </r>
  <r>
    <s v="ARES059276"/>
    <x v="2"/>
    <x v="2"/>
    <d v="2018-06-21T00:00:00"/>
    <d v="2018-08-01T00:00:00"/>
    <x v="101"/>
    <n v="205"/>
    <x v="194"/>
    <x v="2"/>
    <m/>
    <n v="0.1"/>
    <n v="0.1"/>
    <m/>
    <n v="877.5"/>
    <n v="0"/>
    <n v="877.5"/>
    <n v="307.5"/>
    <m/>
    <m/>
    <m/>
    <x v="1"/>
    <x v="21"/>
    <s v="12N"/>
    <s v="10W"/>
    <s v="T12N R10W SEC 9 N2SW N2NESWSW N2NWSESW N2NWSWSW  NWSE N2SWSE SESWSE SESE    "/>
    <m/>
    <m/>
    <m/>
    <m/>
  </r>
  <r>
    <s v="ARES059277"/>
    <x v="2"/>
    <x v="2"/>
    <d v="2018-06-21T00:00:00"/>
    <d v="2018-08-01T00:00:00"/>
    <x v="101"/>
    <n v="120"/>
    <x v="194"/>
    <x v="2"/>
    <m/>
    <n v="0.1"/>
    <n v="0.1"/>
    <m/>
    <n v="580"/>
    <n v="0"/>
    <n v="580"/>
    <n v="180"/>
    <m/>
    <m/>
    <m/>
    <x v="1"/>
    <x v="21"/>
    <s v="12N"/>
    <s v="10W"/>
    <s v="T12N R10W SEC 15 NWSW SESW SWSE     "/>
    <m/>
    <m/>
    <m/>
    <m/>
  </r>
  <r>
    <s v="ARES059278"/>
    <x v="2"/>
    <x v="2"/>
    <d v="2018-06-21T00:00:00"/>
    <d v="2018-08-01T00:00:00"/>
    <x v="101"/>
    <n v="40"/>
    <x v="194"/>
    <x v="2"/>
    <m/>
    <n v="0.1"/>
    <n v="0.1"/>
    <m/>
    <n v="300"/>
    <n v="0"/>
    <n v="300"/>
    <n v="60"/>
    <m/>
    <m/>
    <m/>
    <x v="1"/>
    <x v="21"/>
    <s v="12N"/>
    <s v="12W"/>
    <s v="T12N R12W SEC 23 NESE     "/>
    <m/>
    <m/>
    <m/>
    <m/>
  </r>
  <r>
    <s v="ARES059279"/>
    <x v="2"/>
    <x v="2"/>
    <d v="2018-06-21T00:00:00"/>
    <d v="2018-08-01T00:00:00"/>
    <x v="101"/>
    <n v="65"/>
    <x v="72"/>
    <x v="2"/>
    <m/>
    <n v="0.1"/>
    <n v="0.1"/>
    <m/>
    <n v="387.5"/>
    <n v="0"/>
    <n v="387.5"/>
    <n v="97.5"/>
    <m/>
    <m/>
    <m/>
    <x v="1"/>
    <x v="21"/>
    <s v="9N"/>
    <s v="12W"/>
    <s v="T9N R12W SEC21 S2SE that part lying southerly of Cardon Creek     "/>
    <m/>
    <m/>
    <m/>
    <m/>
  </r>
  <r>
    <s v="ARES059280"/>
    <x v="2"/>
    <x v="2"/>
    <d v="2018-06-21T00:00:00"/>
    <d v="2018-08-01T00:00:00"/>
    <x v="101"/>
    <n v="39.799999999999997"/>
    <x v="72"/>
    <x v="2"/>
    <m/>
    <n v="0.1"/>
    <n v="0.1"/>
    <m/>
    <n v="300"/>
    <n v="0"/>
    <n v="300"/>
    <n v="60"/>
    <m/>
    <m/>
    <m/>
    <x v="1"/>
    <x v="21"/>
    <s v="11N"/>
    <s v="14W"/>
    <s v="T11N R14W SEC 2 NENW      "/>
    <m/>
    <m/>
    <m/>
    <m/>
  </r>
  <r>
    <s v="ARES059281"/>
    <x v="2"/>
    <x v="2"/>
    <d v="2018-06-21T00:00:00"/>
    <d v="2018-08-01T00:00:00"/>
    <x v="101"/>
    <n v="80"/>
    <x v="72"/>
    <x v="2"/>
    <m/>
    <n v="0.1"/>
    <n v="0.1"/>
    <m/>
    <n v="440"/>
    <n v="0"/>
    <n v="440"/>
    <n v="120"/>
    <m/>
    <m/>
    <m/>
    <x v="1"/>
    <x v="21"/>
    <s v="11N"/>
    <s v="14W"/>
    <s v="T11N R14W SEC 4 W2SE     "/>
    <m/>
    <m/>
    <m/>
    <m/>
  </r>
  <r>
    <s v="ARES059282"/>
    <x v="2"/>
    <x v="2"/>
    <d v="2018-06-21T00:00:00"/>
    <d v="2018-08-01T00:00:00"/>
    <x v="101"/>
    <n v="364.38"/>
    <x v="72"/>
    <x v="2"/>
    <m/>
    <n v="0.1"/>
    <n v="0.1"/>
    <m/>
    <n v="3992.5"/>
    <n v="0"/>
    <n v="3992.5"/>
    <n v="547.5"/>
    <m/>
    <m/>
    <m/>
    <x v="1"/>
    <x v="21"/>
    <s v="11N"/>
    <s v="14W"/>
    <s v="T11N R14W Sec 6 S2NW S2NE NWNE N2NW W2SW     "/>
    <m/>
    <m/>
    <m/>
    <m/>
  </r>
  <r>
    <s v="ARES059283"/>
    <x v="2"/>
    <x v="2"/>
    <d v="2018-06-21T00:00:00"/>
    <d v="2018-08-01T00:00:00"/>
    <x v="101"/>
    <n v="122.38"/>
    <x v="72"/>
    <x v="2"/>
    <m/>
    <n v="0.1"/>
    <n v="0.1"/>
    <m/>
    <n v="590.5"/>
    <n v="0"/>
    <n v="590.5"/>
    <n v="184.5"/>
    <m/>
    <m/>
    <m/>
    <x v="1"/>
    <x v="21"/>
    <s v="11N"/>
    <s v="14W"/>
    <s v="T11N R14W SEC 18 W2NW NESW     "/>
    <m/>
    <m/>
    <m/>
    <m/>
  </r>
  <r>
    <s v="ARES059285"/>
    <x v="2"/>
    <x v="2"/>
    <d v="2018-06-21T00:00:00"/>
    <d v="2018-08-01T00:00:00"/>
    <x v="101"/>
    <n v="40"/>
    <x v="72"/>
    <x v="2"/>
    <m/>
    <n v="0.1"/>
    <n v="0.1"/>
    <m/>
    <n v="300"/>
    <n v="0"/>
    <n v="300"/>
    <n v="60"/>
    <m/>
    <m/>
    <m/>
    <x v="1"/>
    <x v="21"/>
    <s v="11N"/>
    <s v="15W"/>
    <s v="T11N R15W SEC 13 NENE     "/>
    <m/>
    <m/>
    <m/>
    <m/>
  </r>
  <r>
    <s v="ARES059286"/>
    <x v="2"/>
    <x v="2"/>
    <d v="2018-06-21T00:00:00"/>
    <d v="2018-08-01T00:00:00"/>
    <x v="101"/>
    <n v="67.5"/>
    <x v="72"/>
    <x v="2"/>
    <m/>
    <n v="0.1"/>
    <n v="0.1"/>
    <m/>
    <n v="398"/>
    <n v="0"/>
    <n v="398"/>
    <n v="102"/>
    <m/>
    <m/>
    <m/>
    <x v="1"/>
    <x v="21"/>
    <s v="11N"/>
    <s v="15W"/>
    <s v="T11N R15W SEC 20 SENW S2SWNW S2NWSWNW NWNWSWNW     "/>
    <m/>
    <m/>
    <m/>
    <m/>
  </r>
  <r>
    <s v="ARES059287"/>
    <x v="2"/>
    <x v="2"/>
    <d v="2018-06-21T00:00:00"/>
    <d v="2018-08-01T00:00:00"/>
    <x v="101"/>
    <n v="40"/>
    <x v="72"/>
    <x v="2"/>
    <m/>
    <n v="0.1"/>
    <n v="0.1"/>
    <m/>
    <n v="300"/>
    <n v="0"/>
    <n v="300"/>
    <n v="60"/>
    <m/>
    <m/>
    <m/>
    <x v="1"/>
    <x v="21"/>
    <s v="11N"/>
    <s v="15W"/>
    <s v="T11N R15W SEC 23 SWSE     "/>
    <m/>
    <m/>
    <m/>
    <m/>
  </r>
  <r>
    <s v="ARES059288"/>
    <x v="2"/>
    <x v="2"/>
    <d v="2018-06-21T00:00:00"/>
    <d v="2018-08-01T00:00:00"/>
    <x v="101"/>
    <n v="40"/>
    <x v="72"/>
    <x v="2"/>
    <m/>
    <n v="0.1"/>
    <n v="0.1"/>
    <m/>
    <n v="300"/>
    <n v="0"/>
    <n v="300"/>
    <n v="60"/>
    <m/>
    <m/>
    <m/>
    <x v="1"/>
    <x v="21"/>
    <s v="11N"/>
    <s v="15W"/>
    <s v="T11N R15W SEC 24 NWNE     "/>
    <m/>
    <m/>
    <m/>
    <m/>
  </r>
  <r>
    <s v="ARES059289"/>
    <x v="2"/>
    <x v="2"/>
    <d v="2018-06-21T00:00:00"/>
    <d v="2018-08-01T00:00:00"/>
    <x v="101"/>
    <n v="80"/>
    <x v="72"/>
    <x v="2"/>
    <m/>
    <n v="0.1"/>
    <n v="0.1"/>
    <m/>
    <n v="440"/>
    <n v="0"/>
    <n v="440"/>
    <n v="120"/>
    <m/>
    <m/>
    <m/>
    <x v="1"/>
    <x v="21"/>
    <s v="11N"/>
    <s v="15W"/>
    <s v="T11N R15W SEC 26 S2NW     "/>
    <m/>
    <m/>
    <m/>
    <m/>
  </r>
  <r>
    <s v="ARES059290"/>
    <x v="2"/>
    <x v="2"/>
    <d v="2018-06-21T00:00:00"/>
    <d v="2018-08-01T00:00:00"/>
    <x v="101"/>
    <n v="120"/>
    <x v="72"/>
    <x v="2"/>
    <m/>
    <n v="0.1"/>
    <n v="0.1"/>
    <m/>
    <n v="1300"/>
    <n v="0"/>
    <n v="1300"/>
    <n v="180"/>
    <m/>
    <m/>
    <m/>
    <x v="1"/>
    <x v="21"/>
    <s v="11N"/>
    <s v="15W"/>
    <s v="T11N R15W SEC 29 SESW S2SE     "/>
    <m/>
    <m/>
    <m/>
    <m/>
  </r>
  <r>
    <s v="ARES059291"/>
    <x v="2"/>
    <x v="2"/>
    <d v="2018-06-21T00:00:00"/>
    <d v="2018-08-01T00:00:00"/>
    <x v="101"/>
    <n v="80"/>
    <x v="72"/>
    <x v="2"/>
    <m/>
    <n v="0.1"/>
    <n v="0.1"/>
    <m/>
    <n v="440"/>
    <n v="0"/>
    <n v="440"/>
    <n v="120"/>
    <m/>
    <m/>
    <m/>
    <x v="1"/>
    <x v="21"/>
    <s v="12N"/>
    <s v="15W"/>
    <s v="T12N R15W SEC 15 W2NE     "/>
    <m/>
    <m/>
    <m/>
    <m/>
  </r>
  <r>
    <s v="ARES059292"/>
    <x v="2"/>
    <x v="2"/>
    <d v="2018-06-21T00:00:00"/>
    <d v="2018-08-01T00:00:00"/>
    <x v="101"/>
    <n v="40"/>
    <x v="72"/>
    <x v="2"/>
    <m/>
    <n v="0.1"/>
    <n v="0.1"/>
    <m/>
    <n v="300"/>
    <n v="0"/>
    <n v="300"/>
    <n v="60"/>
    <m/>
    <m/>
    <m/>
    <x v="1"/>
    <x v="21"/>
    <s v="12N"/>
    <s v="15W"/>
    <s v="T12N R15W SEC 26 NWNW     "/>
    <m/>
    <m/>
    <m/>
    <m/>
  </r>
  <r>
    <s v="ARES059293"/>
    <x v="2"/>
    <x v="2"/>
    <d v="2018-06-21T00:00:00"/>
    <d v="2018-08-01T00:00:00"/>
    <x v="101"/>
    <n v="86.03"/>
    <x v="194"/>
    <x v="2"/>
    <m/>
    <n v="0.1"/>
    <n v="0.1"/>
    <m/>
    <n v="464.5"/>
    <n v="0"/>
    <n v="464.5"/>
    <n v="130.5"/>
    <m/>
    <m/>
    <m/>
    <x v="1"/>
    <x v="21"/>
    <s v="9N"/>
    <s v="11W"/>
    <s v="T9N R11W SEC 6 N2NE     "/>
    <m/>
    <m/>
    <m/>
    <m/>
  </r>
  <r>
    <s v="ARES059299"/>
    <x v="2"/>
    <x v="2"/>
    <d v="2018-06-21T00:00:00"/>
    <d v="2018-08-01T00:00:00"/>
    <x v="101"/>
    <n v="39.590000000000003"/>
    <x v="72"/>
    <x v="2"/>
    <m/>
    <n v="0.1"/>
    <n v="0.1"/>
    <m/>
    <n v="300"/>
    <n v="0"/>
    <n v="300"/>
    <n v="60"/>
    <m/>
    <m/>
    <m/>
    <x v="1"/>
    <x v="21"/>
    <s v="11N"/>
    <s v="14W"/>
    <s v="T11N R14W SEC 1 SWSW     "/>
    <m/>
    <m/>
    <m/>
    <m/>
  </r>
  <r>
    <m/>
    <x v="1"/>
    <x v="1"/>
    <m/>
    <m/>
    <x v="1"/>
    <m/>
    <x v="1"/>
    <x v="1"/>
    <m/>
    <m/>
    <m/>
    <m/>
    <n v="12010.5"/>
    <n v="0"/>
    <n v="12010.5"/>
    <m/>
    <m/>
    <m/>
    <m/>
    <x v="1"/>
    <x v="1"/>
    <m/>
    <m/>
    <s v="      "/>
    <m/>
    <m/>
    <m/>
    <m/>
  </r>
  <r>
    <m/>
    <x v="1"/>
    <x v="1"/>
    <m/>
    <m/>
    <x v="1"/>
    <m/>
    <x v="1"/>
    <x v="1"/>
    <m/>
    <m/>
    <m/>
    <m/>
    <m/>
    <m/>
    <m/>
    <m/>
    <m/>
    <m/>
    <m/>
    <x v="1"/>
    <x v="1"/>
    <m/>
    <m/>
    <s v="      "/>
    <m/>
    <m/>
    <m/>
    <m/>
  </r>
  <r>
    <s v="NMNM138795"/>
    <x v="2"/>
    <x v="2"/>
    <d v="2018-09-05T00:00:00"/>
    <d v="2018-11-01T00:00:00"/>
    <x v="81"/>
    <n v="640"/>
    <x v="62"/>
    <x v="7"/>
    <m/>
    <n v="0.1"/>
    <n v="0.1"/>
    <m/>
    <n v="4480"/>
    <n v="0"/>
    <n v="4480"/>
    <n v="960"/>
    <m/>
    <m/>
    <m/>
    <x v="1"/>
    <x v="21"/>
    <s v="15S"/>
    <s v="22E"/>
    <s v="T15S R22E SEC 15 ALL     "/>
    <m/>
    <m/>
    <m/>
    <m/>
  </r>
  <r>
    <s v="NMNM138803"/>
    <x v="2"/>
    <x v="2"/>
    <d v="2018-09-05T00:00:00"/>
    <d v="2018-11-01T00:00:00"/>
    <x v="81"/>
    <n v="40"/>
    <x v="40"/>
    <x v="7"/>
    <m/>
    <n v="0.1"/>
    <n v="0.1"/>
    <m/>
    <n v="2960"/>
    <n v="0"/>
    <n v="2960"/>
    <n v="60"/>
    <m/>
    <m/>
    <m/>
    <x v="1"/>
    <x v="21"/>
    <s v="21S"/>
    <s v="23E"/>
    <s v="T21S R23E SEC 20 SESE     "/>
    <m/>
    <m/>
    <m/>
    <m/>
  </r>
  <r>
    <s v="NMNM138853"/>
    <x v="2"/>
    <x v="2"/>
    <d v="2018-09-05T00:00:00"/>
    <d v="2018-11-01T00:00:00"/>
    <x v="81"/>
    <n v="400"/>
    <x v="62"/>
    <x v="7"/>
    <m/>
    <n v="0.1"/>
    <n v="0.1"/>
    <m/>
    <n v="60400"/>
    <n v="0"/>
    <n v="60400"/>
    <n v="600"/>
    <m/>
    <m/>
    <m/>
    <x v="1"/>
    <x v="21"/>
    <s v="11S"/>
    <s v="31E"/>
    <s v="T11S R31E SEC 4 S2SE; SEC 9 N2     "/>
    <m/>
    <m/>
    <m/>
    <m/>
  </r>
  <r>
    <s v="NMNM138854"/>
    <x v="2"/>
    <x v="2"/>
    <d v="2018-09-05T00:00:00"/>
    <d v="2018-11-01T00:00:00"/>
    <x v="81"/>
    <n v="408.68"/>
    <x v="62"/>
    <x v="7"/>
    <m/>
    <n v="0.1"/>
    <n v="0.1"/>
    <m/>
    <n v="15951"/>
    <n v="0"/>
    <n v="15951"/>
    <n v="613.5"/>
    <m/>
    <m/>
    <m/>
    <x v="1"/>
    <x v="21"/>
    <s v="11S"/>
    <s v="31E"/>
    <s v="T11S R31E SEC 5 LOTS 1,2,3,4; SEC 5 S2;     "/>
    <m/>
    <m/>
    <m/>
    <m/>
  </r>
  <r>
    <s v="NMNM138857"/>
    <x v="2"/>
    <x v="2"/>
    <d v="2018-09-05T00:00:00"/>
    <d v="2018-11-01T00:00:00"/>
    <x v="81"/>
    <n v="600"/>
    <x v="62"/>
    <x v="7"/>
    <m/>
    <n v="0.1"/>
    <n v="0.1"/>
    <m/>
    <n v="32400"/>
    <n v="0"/>
    <n v="32400"/>
    <n v="900"/>
    <m/>
    <m/>
    <m/>
    <x v="1"/>
    <x v="21"/>
    <s v="11S"/>
    <s v="31E"/>
    <s v="T11S R31E SEC 17 N2, SW, N2SE, SWSE     "/>
    <m/>
    <m/>
    <m/>
    <m/>
  </r>
  <r>
    <s v="NMNM138858"/>
    <x v="2"/>
    <x v="2"/>
    <d v="2018-09-05T00:00:00"/>
    <d v="2018-11-01T00:00:00"/>
    <x v="81"/>
    <n v="240"/>
    <x v="62"/>
    <x v="7"/>
    <m/>
    <n v="0.1"/>
    <n v="0.1"/>
    <m/>
    <n v="23760"/>
    <n v="0"/>
    <n v="23760"/>
    <n v="360"/>
    <m/>
    <m/>
    <m/>
    <x v="1"/>
    <x v="21"/>
    <s v="11S"/>
    <s v="31E"/>
    <s v="T11S R31E SEC 34 NW, N2SW     "/>
    <m/>
    <m/>
    <m/>
    <m/>
  </r>
  <r>
    <s v="NMNM138863"/>
    <x v="2"/>
    <x v="2"/>
    <d v="2018-09-05T00:00:00"/>
    <d v="2018-11-01T00:00:00"/>
    <x v="81"/>
    <n v="480"/>
    <x v="40"/>
    <x v="7"/>
    <m/>
    <n v="0.1"/>
    <n v="0.1"/>
    <m/>
    <n v="73920"/>
    <n v="0"/>
    <n v="73920"/>
    <n v="720"/>
    <m/>
    <m/>
    <m/>
    <x v="1"/>
    <x v="21"/>
    <s v="16S"/>
    <s v="31E"/>
    <s v="T16S R31E SEC 26 N2NE, SWNE, W2, NWSE     "/>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1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8" rowHeaderCaption="ST/County" colHeaderCaption="Exp Year">
  <location ref="A3:F117" firstHeaderRow="1" firstDataRow="2" firstDataCol="1"/>
  <pivotFields count="30">
    <pivotField showAll="0"/>
    <pivotField multipleItemSelectionAllowed="1" showAll="0">
      <items count="4">
        <item h="1" x="0"/>
        <item x="2"/>
        <item h="1" x="1"/>
        <item t="default"/>
      </items>
    </pivotField>
    <pivotField showAll="0">
      <items count="4">
        <item x="2"/>
        <item x="0"/>
        <item x="1"/>
        <item t="default"/>
      </items>
    </pivotField>
    <pivotField showAll="0"/>
    <pivotField showAll="0"/>
    <pivotField axis="axisRow" showAll="0">
      <items count="7">
        <item sd="0" x="0"/>
        <item sd="0" x="1"/>
        <item sd="0" x="2"/>
        <item sd="0" x="3"/>
        <item sd="0" x="4"/>
        <item sd="0" x="5"/>
        <item t="default" sd="0"/>
      </items>
    </pivotField>
    <pivotField dataField="1" showAll="0"/>
    <pivotField axis="axisRow" showAll="0">
      <items count="230">
        <item sd="0" x="15"/>
        <item sd="0" x="122"/>
        <item sd="0" x="177"/>
        <item sd="0" x="33"/>
        <item sd="0" x="178"/>
        <item sd="0" x="28"/>
        <item sd="0" x="65"/>
        <item sd="0" x="155"/>
        <item sd="0" x="88"/>
        <item sd="0" x="198"/>
        <item sd="0" x="131"/>
        <item sd="0" x="150"/>
        <item sd="0" x="182"/>
        <item sd="0" x="206"/>
        <item sd="0" x="192"/>
        <item sd="0" x="188"/>
        <item sd="0" x="120"/>
        <item sd="0" x="66"/>
        <item sd="0" x="31"/>
        <item sd="0" x="86"/>
        <item sd="0" x="190"/>
        <item sd="0" x="10"/>
        <item sd="0" x="92"/>
        <item sd="0" x="95"/>
        <item sd="0" x="216"/>
        <item sd="0" x="226"/>
        <item sd="0" x="219"/>
        <item sd="0" x="62"/>
        <item sd="0" x="224"/>
        <item sd="0" x="128"/>
        <item sd="0" x="14"/>
        <item sd="0" x="227"/>
        <item sd="0" x="79"/>
        <item sd="0" x="54"/>
        <item sd="0" x="143"/>
        <item sd="0" x="146"/>
        <item sd="0" x="184"/>
        <item sd="0" x="194"/>
        <item sd="0" x="130"/>
        <item sd="0" x="223"/>
        <item sd="0" x="141"/>
        <item sd="0" x="187"/>
        <item sd="0" x="24"/>
        <item sd="0" x="51"/>
        <item sd="0" x="126"/>
        <item sd="0" x="41"/>
        <item sd="0" x="17"/>
        <item sd="0" x="144"/>
        <item sd="0" x="207"/>
        <item sd="0" x="201"/>
        <item sd="0" x="85"/>
        <item sd="0" x="30"/>
        <item sd="0" x="210"/>
        <item sd="0" x="67"/>
        <item sd="0" x="114"/>
        <item sd="0" x="40"/>
        <item sd="0" x="69"/>
        <item sd="0" x="183"/>
        <item sd="0" x="118"/>
        <item sd="0" x="195"/>
        <item sd="0" x="105"/>
        <item sd="0" x="212"/>
        <item sd="0" x="193"/>
        <item sd="0" x="214"/>
        <item sd="0" x="168"/>
        <item sd="0" x="185"/>
        <item sd="0" x="11"/>
        <item sd="0" x="38"/>
        <item sd="0" x="53"/>
        <item sd="0" x="137"/>
        <item sd="0" x="213"/>
        <item sd="0" x="164"/>
        <item sd="0" x="75"/>
        <item sd="0" x="228"/>
        <item sd="0" x="111"/>
        <item sd="0" x="179"/>
        <item sd="0" x="48"/>
        <item sd="0" x="139"/>
        <item sd="0" x="133"/>
        <item sd="0" x="160"/>
        <item sd="0" x="113"/>
        <item sd="0" x="196"/>
        <item sd="0" x="112"/>
        <item sd="0" x="78"/>
        <item sd="0" x="70"/>
        <item sd="0" x="56"/>
        <item sd="0" x="35"/>
        <item sd="0" x="166"/>
        <item sd="0" x="80"/>
        <item sd="0" x="5"/>
        <item sd="0" x="2"/>
        <item sd="0" x="57"/>
        <item sd="0" x="94"/>
        <item sd="0" x="18"/>
        <item sd="0" x="161"/>
        <item sd="0" x="87"/>
        <item sd="0" x="165"/>
        <item sd="0" x="169"/>
        <item sd="0" x="81"/>
        <item sd="0" x="36"/>
        <item sd="0" x="167"/>
        <item sd="0" x="3"/>
        <item sd="0" x="4"/>
        <item sd="0" x="220"/>
        <item sd="0" x="171"/>
        <item sd="0" x="74"/>
        <item sd="0" x="29"/>
        <item sd="0" x="136"/>
        <item sd="0" x="101"/>
        <item sd="0" x="63"/>
        <item sd="0" x="98"/>
        <item sd="0" x="115"/>
        <item sd="0" x="89"/>
        <item sd="0" x="82"/>
        <item sd="0" x="104"/>
        <item sd="0" x="83"/>
        <item sd="0" x="52"/>
        <item sd="0" x="157"/>
        <item sd="0" x="108"/>
        <item sd="0" x="152"/>
        <item sd="0" x="148"/>
        <item sd="0" x="125"/>
        <item sd="0" x="103"/>
        <item sd="0" x="102"/>
        <item sd="0" x="203"/>
        <item sd="0" x="47"/>
        <item sd="0" x="61"/>
        <item sd="0" x="205"/>
        <item sd="0" x="135"/>
        <item sd="0" x="37"/>
        <item sd="0" x="0"/>
        <item sd="0" x="49"/>
        <item sd="0" x="172"/>
        <item sd="0" x="204"/>
        <item sd="0" x="107"/>
        <item sd="0" x="99"/>
        <item sd="0" x="225"/>
        <item sd="0" x="174"/>
        <item sd="0" x="147"/>
        <item sd="0" x="149"/>
        <item sd="0" x="154"/>
        <item sd="0" x="189"/>
        <item sd="0" x="123"/>
        <item sd="0" x="134"/>
        <item sd="0" x="222"/>
        <item sd="0" x="124"/>
        <item sd="0" x="91"/>
        <item sd="0" x="25"/>
        <item sd="0" x="110"/>
        <item sd="0" x="39"/>
        <item sd="0" x="84"/>
        <item sd="0" x="163"/>
        <item sd="0" x="138"/>
        <item sd="0" x="197"/>
        <item sd="0" x="73"/>
        <item sd="0" x="202"/>
        <item sd="0" x="209"/>
        <item sd="0" x="119"/>
        <item sd="0" x="100"/>
        <item sd="0" x="116"/>
        <item sd="0" x="32"/>
        <item sd="0" x="208"/>
        <item sd="0" x="200"/>
        <item sd="0" x="64"/>
        <item sd="0" x="215"/>
        <item sd="0" x="43"/>
        <item sd="0" x="153"/>
        <item sd="0" x="175"/>
        <item sd="0" x="45"/>
        <item sd="0" x="58"/>
        <item sd="0" x="6"/>
        <item sd="0" x="180"/>
        <item sd="0" x="7"/>
        <item sd="0" x="8"/>
        <item sd="0" x="19"/>
        <item sd="0" x="173"/>
        <item sd="0" x="42"/>
        <item sd="0" x="221"/>
        <item sd="0" x="46"/>
        <item sd="0" x="218"/>
        <item sd="0" x="27"/>
        <item sd="0" x="9"/>
        <item sd="0" x="217"/>
        <item sd="0" x="59"/>
        <item sd="0" x="20"/>
        <item sd="0" x="127"/>
        <item sd="0" x="129"/>
        <item sd="0" x="142"/>
        <item sd="0" x="199"/>
        <item sd="0" x="55"/>
        <item sd="0" x="77"/>
        <item sd="0" x="16"/>
        <item sd="0" x="96"/>
        <item sd="0" x="93"/>
        <item sd="0" x="191"/>
        <item sd="0" x="34"/>
        <item sd="0" x="76"/>
        <item sd="0" x="145"/>
        <item sd="0" x="68"/>
        <item sd="0" x="60"/>
        <item sd="0" x="132"/>
        <item sd="0" x="211"/>
        <item sd="0" x="72"/>
        <item sd="0" x="23"/>
        <item sd="0" x="106"/>
        <item sd="0" x="170"/>
        <item sd="0" x="176"/>
        <item sd="0" x="109"/>
        <item sd="0" x="21"/>
        <item sd="0" x="22"/>
        <item sd="0" x="13"/>
        <item sd="0" x="12"/>
        <item sd="0" x="90"/>
        <item sd="0" x="181"/>
        <item sd="0" x="186"/>
        <item sd="0" x="156"/>
        <item sd="0" x="158"/>
        <item sd="0" x="162"/>
        <item sd="0" x="121"/>
        <item sd="0" x="151"/>
        <item sd="0" x="159"/>
        <item sd="0" x="140"/>
        <item sd="0" x="50"/>
        <item sd="0" x="117"/>
        <item sd="0" x="97"/>
        <item sd="0" x="71"/>
        <item sd="0" x="26"/>
        <item sd="0" x="44"/>
        <item sd="0" x="1"/>
        <item t="default" sd="0"/>
      </items>
    </pivotField>
    <pivotField axis="axisRow" showAll="0" sortType="ascending">
      <items count="24">
        <item x="6"/>
        <item x="2"/>
        <item x="21"/>
        <item x="13"/>
        <item x="8"/>
        <item x="12"/>
        <item x="3"/>
        <item x="9"/>
        <item x="4"/>
        <item x="19"/>
        <item x="16"/>
        <item x="7"/>
        <item x="20"/>
        <item x="14"/>
        <item x="5"/>
        <item x="15"/>
        <item x="17"/>
        <item x="0"/>
        <item x="18"/>
        <item x="10"/>
        <item x="11"/>
        <item x="22"/>
        <item x="1"/>
        <item t="default"/>
      </items>
    </pivotField>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multipleItemSelectionAllowed="1" showAll="0">
      <items count="126">
        <item x="90"/>
        <item x="91"/>
        <item x="74"/>
        <item x="107"/>
        <item x="113"/>
        <item x="76"/>
        <item x="111"/>
        <item x="117"/>
        <item x="114"/>
        <item x="112"/>
        <item x="115"/>
        <item x="118"/>
        <item x="116"/>
        <item x="58"/>
        <item x="109"/>
        <item x="45"/>
        <item x="47"/>
        <item x="22"/>
        <item x="89"/>
        <item x="95"/>
        <item x="94"/>
        <item x="77"/>
        <item x="28"/>
        <item x="79"/>
        <item x="80"/>
        <item x="44"/>
        <item x="101"/>
        <item x="27"/>
        <item x="21"/>
        <item x="20"/>
        <item x="14"/>
        <item x="110"/>
        <item x="93"/>
        <item x="119"/>
        <item x="120"/>
        <item x="121"/>
        <item x="40"/>
        <item x="42"/>
        <item x="43"/>
        <item x="41"/>
        <item h="1" x="48"/>
        <item h="1" x="98"/>
        <item h="1" x="96"/>
        <item h="1" x="97"/>
        <item x="26"/>
        <item x="73"/>
        <item x="37"/>
        <item x="86"/>
        <item x="103"/>
        <item x="59"/>
        <item x="3"/>
        <item x="0"/>
        <item x="4"/>
        <item x="5"/>
        <item x="2"/>
        <item x="6"/>
        <item x="7"/>
        <item x="15"/>
        <item x="8"/>
        <item x="17"/>
        <item x="18"/>
        <item x="19"/>
        <item x="24"/>
        <item x="25"/>
        <item x="29"/>
        <item x="30"/>
        <item x="33"/>
        <item x="46"/>
        <item x="72"/>
        <item x="123"/>
        <item x="122"/>
        <item x="35"/>
        <item x="64"/>
        <item x="9"/>
        <item x="10"/>
        <item x="23"/>
        <item x="68"/>
        <item x="81"/>
        <item h="1" x="60"/>
        <item x="78"/>
        <item x="32"/>
        <item h="1" x="61"/>
        <item h="1" x="105"/>
        <item h="1" x="54"/>
        <item x="53"/>
        <item x="71"/>
        <item x="31"/>
        <item x="104"/>
        <item x="84"/>
        <item x="102"/>
        <item x="124"/>
        <item x="57"/>
        <item h="1" x="34"/>
        <item x="63"/>
        <item x="62"/>
        <item x="39"/>
        <item x="50"/>
        <item x="108"/>
        <item x="106"/>
        <item h="1" x="83"/>
        <item x="67"/>
        <item x="52"/>
        <item x="65"/>
        <item x="70"/>
        <item x="12"/>
        <item x="13"/>
        <item x="82"/>
        <item h="1" x="87"/>
        <item h="1" x="85"/>
        <item h="1" x="88"/>
        <item x="66"/>
        <item x="100"/>
        <item x="51"/>
        <item x="75"/>
        <item x="16"/>
        <item x="55"/>
        <item x="36"/>
        <item x="49"/>
        <item x="38"/>
        <item x="99"/>
        <item x="92"/>
        <item x="56"/>
        <item x="11"/>
        <item x="69"/>
        <item x="1"/>
        <item t="default"/>
      </items>
    </pivotField>
    <pivotField showAll="0" defaultSubtotal="0">
      <items count="23">
        <item x="3"/>
        <item x="0"/>
        <item x="2"/>
        <item x="4"/>
        <item x="5"/>
        <item x="6"/>
        <item x="7"/>
        <item x="8"/>
        <item x="9"/>
        <item x="10"/>
        <item x="11"/>
        <item x="12"/>
        <item x="14"/>
        <item x="13"/>
        <item x="15"/>
        <item x="16"/>
        <item x="17"/>
        <item x="20"/>
        <item x="18"/>
        <item x="19"/>
        <item x="22"/>
        <item x="21"/>
        <item x="1"/>
      </items>
    </pivotField>
    <pivotField showAll="0"/>
    <pivotField showAll="0"/>
    <pivotField showAll="0"/>
    <pivotField showAll="0"/>
    <pivotField showAll="0"/>
    <pivotField showAll="0"/>
    <pivotField showAll="0"/>
    <pivotField axis="axisCol"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3">
    <field x="8"/>
    <field x="7"/>
    <field x="5"/>
  </rowFields>
  <rowItems count="113">
    <i>
      <x/>
    </i>
    <i r="1">
      <x v="7"/>
    </i>
    <i r="1">
      <x v="10"/>
    </i>
    <i r="1">
      <x v="38"/>
    </i>
    <i r="1">
      <x v="42"/>
    </i>
    <i r="1">
      <x v="60"/>
    </i>
    <i r="1">
      <x v="106"/>
    </i>
    <i r="1">
      <x v="151"/>
    </i>
    <i r="1">
      <x v="183"/>
    </i>
    <i r="1">
      <x v="200"/>
    </i>
    <i r="1">
      <x v="228"/>
    </i>
    <i>
      <x v="1"/>
    </i>
    <i r="1">
      <x v="67"/>
    </i>
    <i r="1">
      <x v="98"/>
    </i>
    <i r="1">
      <x v="154"/>
    </i>
    <i r="1">
      <x v="180"/>
    </i>
    <i>
      <x v="4"/>
    </i>
    <i r="1">
      <x v="120"/>
    </i>
    <i>
      <x v="5"/>
    </i>
    <i r="1">
      <x v="117"/>
    </i>
    <i r="1">
      <x v="215"/>
    </i>
    <i r="1">
      <x v="216"/>
    </i>
    <i>
      <x v="6"/>
    </i>
    <i r="1">
      <x v="11"/>
    </i>
    <i r="1">
      <x v="23"/>
    </i>
    <i r="1">
      <x v="33"/>
    </i>
    <i r="1">
      <x v="35"/>
    </i>
    <i r="1">
      <x v="77"/>
    </i>
    <i r="1">
      <x v="138"/>
    </i>
    <i r="1">
      <x v="139"/>
    </i>
    <i r="1">
      <x v="153"/>
    </i>
    <i r="1">
      <x v="160"/>
    </i>
    <i r="1">
      <x v="211"/>
    </i>
    <i r="1">
      <x v="218"/>
    </i>
    <i r="1">
      <x v="219"/>
    </i>
    <i r="1">
      <x v="220"/>
    </i>
    <i r="1">
      <x v="221"/>
    </i>
    <i>
      <x v="7"/>
    </i>
    <i r="1">
      <x v="119"/>
    </i>
    <i r="1">
      <x v="121"/>
    </i>
    <i r="1">
      <x v="145"/>
    </i>
    <i>
      <x v="8"/>
    </i>
    <i r="1">
      <x/>
    </i>
    <i r="1">
      <x v="3"/>
    </i>
    <i r="1">
      <x v="34"/>
    </i>
    <i r="1">
      <x v="40"/>
    </i>
    <i r="1">
      <x v="42"/>
    </i>
    <i r="1">
      <x v="66"/>
    </i>
    <i r="1">
      <x v="67"/>
    </i>
    <i r="1">
      <x v="78"/>
    </i>
    <i r="1">
      <x v="79"/>
    </i>
    <i r="1">
      <x v="85"/>
    </i>
    <i r="1">
      <x v="93"/>
    </i>
    <i r="1">
      <x v="94"/>
    </i>
    <i r="1">
      <x v="96"/>
    </i>
    <i r="1">
      <x v="107"/>
    </i>
    <i r="1">
      <x v="143"/>
    </i>
    <i r="1">
      <x v="147"/>
    </i>
    <i r="1">
      <x v="149"/>
    </i>
    <i r="1">
      <x v="180"/>
    </i>
    <i r="1">
      <x v="187"/>
    </i>
    <i r="1">
      <x v="189"/>
    </i>
    <i r="1">
      <x v="210"/>
    </i>
    <i r="1">
      <x v="217"/>
    </i>
    <i>
      <x v="9"/>
    </i>
    <i r="1">
      <x v="48"/>
    </i>
    <i r="1">
      <x v="49"/>
    </i>
    <i r="1">
      <x v="155"/>
    </i>
    <i r="1">
      <x v="156"/>
    </i>
    <i r="1">
      <x v="162"/>
    </i>
    <i>
      <x v="10"/>
    </i>
    <i r="1">
      <x v="9"/>
    </i>
    <i r="1">
      <x v="13"/>
    </i>
    <i r="1">
      <x v="124"/>
    </i>
    <i r="1">
      <x v="127"/>
    </i>
    <i r="1">
      <x v="133"/>
    </i>
    <i r="1">
      <x v="161"/>
    </i>
    <i r="1">
      <x v="188"/>
    </i>
    <i>
      <x v="11"/>
    </i>
    <i r="1">
      <x v="27"/>
    </i>
    <i r="1">
      <x v="45"/>
    </i>
    <i r="1">
      <x v="87"/>
    </i>
    <i r="1">
      <x v="109"/>
    </i>
    <i r="1">
      <x v="125"/>
    </i>
    <i r="1">
      <x v="159"/>
    </i>
    <i r="1">
      <x v="163"/>
    </i>
    <i r="1">
      <x v="166"/>
    </i>
    <i r="1">
      <x v="176"/>
    </i>
    <i r="1">
      <x v="178"/>
    </i>
    <i>
      <x v="13"/>
    </i>
    <i r="1">
      <x v="69"/>
    </i>
    <i r="1">
      <x v="107"/>
    </i>
    <i r="1">
      <x v="128"/>
    </i>
    <i r="1">
      <x v="209"/>
    </i>
    <i r="1">
      <x v="228"/>
    </i>
    <i>
      <x v="14"/>
    </i>
    <i r="1">
      <x v="71"/>
    </i>
    <i r="1">
      <x v="76"/>
    </i>
    <i r="1">
      <x v="100"/>
    </i>
    <i r="1">
      <x v="152"/>
    </i>
    <i>
      <x v="16"/>
    </i>
    <i r="1">
      <x v="62"/>
    </i>
    <i r="1">
      <x v="83"/>
    </i>
    <i>
      <x v="17"/>
    </i>
    <i r="1">
      <x v="47"/>
    </i>
    <i r="1">
      <x v="64"/>
    </i>
    <i r="1">
      <x v="88"/>
    </i>
    <i r="1">
      <x v="89"/>
    </i>
    <i r="1">
      <x v="97"/>
    </i>
    <i r="1">
      <x v="169"/>
    </i>
    <i r="1">
      <x v="183"/>
    </i>
    <i r="1">
      <x v="197"/>
    </i>
    <i t="grand">
      <x/>
    </i>
  </rowItems>
  <colFields count="1">
    <field x="29"/>
  </colFields>
  <colItems count="5">
    <i>
      <x v="18"/>
    </i>
    <i>
      <x v="19"/>
    </i>
    <i>
      <x v="20"/>
    </i>
    <i>
      <x v="21"/>
    </i>
    <i t="grand">
      <x/>
    </i>
  </colItems>
  <dataFields count="1">
    <dataField name="Acreage" fld="6" baseField="0" baseItem="16445112" numFmtId="3"/>
  </dataFields>
  <formats count="11">
    <format dxfId="2">
      <pivotArea dataOnly="0" labelOnly="1" fieldPosition="0">
        <references count="2">
          <reference field="7" count="8">
            <x v="9"/>
            <x v="13"/>
            <x v="14"/>
            <x v="124"/>
            <x v="127"/>
            <x v="133"/>
            <x v="161"/>
            <x v="188"/>
          </reference>
          <reference field="8" count="1" selected="0">
            <x v="10"/>
          </reference>
        </references>
      </pivotArea>
    </format>
    <format dxfId="3">
      <pivotArea dataOnly="0" labelOnly="1" fieldPosition="0">
        <references count="2">
          <reference field="7" count="2">
            <x v="62"/>
            <x v="83"/>
          </reference>
          <reference field="8" count="1" selected="0">
            <x v="16"/>
          </reference>
        </references>
      </pivotArea>
    </format>
    <format dxfId="4">
      <pivotArea collapsedLevelsAreSubtotals="1" fieldPosition="0">
        <references count="1">
          <reference field="8" count="1">
            <x v="9"/>
          </reference>
        </references>
      </pivotArea>
    </format>
    <format dxfId="5">
      <pivotArea collapsedLevelsAreSubtotals="1" fieldPosition="0">
        <references count="2">
          <reference field="7" count="11">
            <x v="25"/>
            <x v="31"/>
            <x v="48"/>
            <x v="49"/>
            <x v="63"/>
            <x v="70"/>
            <x v="73"/>
            <x v="136"/>
            <x v="155"/>
            <x v="156"/>
            <x v="162"/>
          </reference>
          <reference field="8" count="1" selected="0">
            <x v="9"/>
          </reference>
        </references>
      </pivotArea>
    </format>
    <format dxfId="6">
      <pivotArea collapsedLevelsAreSubtotals="1" fieldPosition="0">
        <references count="1">
          <reference field="8" count="1">
            <x v="10"/>
          </reference>
        </references>
      </pivotArea>
    </format>
    <format dxfId="7">
      <pivotArea collapsedLevelsAreSubtotals="1" fieldPosition="0">
        <references count="2">
          <reference field="7" count="8">
            <x v="9"/>
            <x v="13"/>
            <x v="14"/>
            <x v="124"/>
            <x v="127"/>
            <x v="133"/>
            <x v="161"/>
            <x v="188"/>
          </reference>
          <reference field="8" count="1" selected="0">
            <x v="10"/>
          </reference>
        </references>
      </pivotArea>
    </format>
    <format dxfId="8">
      <pivotArea collapsedLevelsAreSubtotals="1" fieldPosition="0">
        <references count="1">
          <reference field="8" count="1">
            <x v="16"/>
          </reference>
        </references>
      </pivotArea>
    </format>
    <format dxfId="9">
      <pivotArea collapsedLevelsAreSubtotals="1" fieldPosition="0">
        <references count="2">
          <reference field="7" count="2">
            <x v="62"/>
            <x v="83"/>
          </reference>
          <reference field="8" count="1" selected="0">
            <x v="16"/>
          </reference>
        </references>
      </pivotArea>
    </format>
    <format dxfId="10">
      <pivotArea dataOnly="0" labelOnly="1" fieldPosition="0">
        <references count="1">
          <reference field="8" count="0"/>
        </references>
      </pivotArea>
    </format>
    <format dxfId="11">
      <pivotArea dataOnly="0" labelOnly="1" fieldPosition="0">
        <references count="2">
          <reference field="7" count="21">
            <x v="9"/>
            <x v="13"/>
            <x v="14"/>
            <x v="25"/>
            <x v="31"/>
            <x v="48"/>
            <x v="49"/>
            <x v="62"/>
            <x v="63"/>
            <x v="70"/>
            <x v="73"/>
            <x v="83"/>
            <x v="124"/>
            <x v="127"/>
            <x v="133"/>
            <x v="136"/>
            <x v="155"/>
            <x v="156"/>
            <x v="161"/>
            <x v="162"/>
            <x v="188"/>
          </reference>
          <reference field="8" count="1" selected="0">
            <x v="9"/>
          </reference>
        </references>
      </pivotArea>
    </format>
    <format dxfId="1">
      <pivotArea dataOnly="0" outline="0" fieldPosition="0">
        <references count="1">
          <reference field="29" count="4">
            <x v="18"/>
            <x v="19"/>
            <x v="20"/>
            <x v="21"/>
          </reference>
        </references>
      </pivotArea>
    </format>
  </formats>
  <conditionalFormats count="3">
    <conditionalFormat priority="3">
      <pivotAreas count="1">
        <pivotArea outline="0" fieldPosition="0">
          <references count="1">
            <reference field="29" count="3">
              <x v="18"/>
              <x v="19"/>
              <x v="20"/>
            </reference>
          </references>
        </pivotArea>
      </pivotAreas>
    </conditionalFormat>
    <conditionalFormat priority="2">
      <pivotAreas count="1">
        <pivotArea grandCol="1" outline="0" fieldPosition="0"/>
      </pivotAreas>
    </conditionalFormat>
    <conditionalFormat priority="1">
      <pivotAreas count="1">
        <pivotArea outline="0" fieldPosition="0">
          <references count="1">
            <reference field="29" count="4">
              <x v="18"/>
              <x v="19"/>
              <x v="20"/>
              <x v="21"/>
            </reference>
          </references>
        </pivotArea>
      </pivotAreas>
    </conditionalFormat>
  </conditionalFormats>
  <chartFormats count="5">
    <chartFormat chart="1" format="11"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29" count="1" selected="0">
            <x v="18"/>
          </reference>
        </references>
      </pivotArea>
    </chartFormat>
    <chartFormat chart="7" format="5" series="1">
      <pivotArea type="data" outline="0" fieldPosition="0">
        <references count="2">
          <reference field="4294967294" count="1" selected="0">
            <x v="0"/>
          </reference>
          <reference field="29" count="1" selected="0">
            <x v="19"/>
          </reference>
        </references>
      </pivotArea>
    </chartFormat>
    <chartFormat chart="7" format="6" series="1">
      <pivotArea type="data" outline="0" fieldPosition="0">
        <references count="2">
          <reference field="4294967294" count="1" selected="0">
            <x v="0"/>
          </reference>
          <reference field="29" count="1" selected="0">
            <x v="20"/>
          </reference>
        </references>
      </pivotArea>
    </chartFormat>
    <chartFormat chart="7" format="7" series="1">
      <pivotArea type="data" outline="0" fieldPosition="0">
        <references count="2">
          <reference field="4294967294" count="1" selected="0">
            <x v="0"/>
          </reference>
          <reference field="29" count="1" selected="0">
            <x v="21"/>
          </reference>
        </references>
      </pivotArea>
    </chartFormat>
  </chartFormats>
  <pivotTableStyleInfo name="PivotStyleLight16" showRowHeaders="1" showColHeaders="1" showRowStripes="0" showColStripes="0" showLastColumn="1"/>
  <filters count="1">
    <filter fld="5" type="dateBetween" evalOrder="-1" id="5">
      <autoFilter ref="A1">
        <filterColumn colId="0">
          <customFilters and="1">
            <customFilter operator="greaterThanOrEqual" val="43831"/>
            <customFilter operator="lessThanOrEqual" val="4492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B0FB55-02CD-4690-9C10-07DC08941E8C}" name="Table2" displayName="Table2" ref="A10:AF2430" totalsRowCount="1" headerRowDxfId="60" dataDxfId="61" headerRowBorderDxfId="91" headerRowCellStyle="Normal 5">
  <autoFilter ref="A10:AF2429" xr:uid="{B75B870B-13F7-46AE-BD47-14162A167E79}">
    <filterColumn colId="7">
      <filters>
        <filter val="QUAY"/>
      </filters>
    </filterColumn>
  </autoFilter>
  <tableColumns count="32">
    <tableColumn id="1" xr3:uid="{D472AB45-7D10-47F9-9AE5-27C98517D6A7}" name="LEASE NO." totalsRowLabel="Total" dataDxfId="90" totalsRowDxfId="40"/>
    <tableColumn id="2" xr3:uid="{9A807B39-D3E3-4215-B55D-A8E9B2FC0B5F}" name="PLOTTED" dataDxfId="89" totalsRowDxfId="39">
      <calculatedColumnFormula>IF(COUNTIF(GIS,A11),"YES","NO")</calculatedColumnFormula>
    </tableColumn>
    <tableColumn id="3" xr3:uid="{036A78A4-736F-4062-998E-3150E2AE92FB}" name="GRANTEE"/>
    <tableColumn id="4" xr3:uid="{BA2F93DB-76E2-447F-A538-B5B35284CFBB}" name="SALE DATE" dataDxfId="88" totalsRowDxfId="38"/>
    <tableColumn id="5" xr3:uid="{ACC3719A-6968-4FAC-86F5-EB8ACE160415}" name="EFFECTIVE DATE OF LEASE" dataDxfId="87" totalsRowDxfId="37"/>
    <tableColumn id="6" xr3:uid="{C8F5B810-2BC9-41C0-9FE7-DE4570940EE8}" name="EXPIRATION DATE" dataDxfId="86" totalsRowDxfId="36" dataCellStyle="Normal 5" totalsRowCellStyle="Normal 5">
      <calculatedColumnFormula>DATE(YEAR(E11)+10,MONTH(E11),DAY(E11))</calculatedColumnFormula>
    </tableColumn>
    <tableColumn id="7" xr3:uid="{7189A9E7-7A47-4116-A5E0-FD996619EEC4}" name="ACRES" totalsRowFunction="sum" dataDxfId="85" totalsRowDxfId="12"/>
    <tableColumn id="8" xr3:uid="{03E9540F-009E-46E1-B136-248722DB7D9F}" name="COUNTY" dataDxfId="84" totalsRowDxfId="35"/>
    <tableColumn id="9" xr3:uid="{9A80CEA4-AEE9-4E45-B340-37E51FDBCE7F}" name="ST" dataDxfId="83" totalsRowDxfId="34"/>
    <tableColumn id="10" xr3:uid="{E2AC4044-1296-4DFA-93F4-FA63E7F478A9}" name="STATUS/COMMENTS" dataDxfId="82" totalsRowDxfId="33"/>
    <tableColumn id="11" xr3:uid="{4A188311-B311-4C69-B39B-2E083E5A768A}" name="EXPIRATION YEAR" dataDxfId="81" totalsRowDxfId="32" dataCellStyle="Normal 5" totalsRowCellStyle="Normal 5">
      <calculatedColumnFormula>YEAR(F11)</calculatedColumnFormula>
    </tableColumn>
    <tableColumn id="12" xr3:uid="{5810B113-52A7-46FA-BB65-5A6D273766E5}" name="TOWNSHIP" dataDxfId="80" totalsRowDxfId="31"/>
    <tableColumn id="13" xr3:uid="{4E22CC42-A623-4B53-86A9-E9FA710D2FAA}" name="RANGE" dataDxfId="79" totalsRowDxfId="30"/>
    <tableColumn id="14" xr3:uid="{A0CA074C-1F8C-491E-8287-B8C036E94074}" name="DESCRIPTION I" dataDxfId="78" totalsRowDxfId="29"/>
    <tableColumn id="15" xr3:uid="{1BDA5D28-538B-4948-9FFB-BC4761278D52}" name="DESCRIPTION II" dataDxfId="77" totalsRowDxfId="28"/>
    <tableColumn id="16" xr3:uid="{FD2087BE-1E40-4020-B7DD-987C9A44E403}" name="DESCRIPTION III" dataDxfId="76" totalsRowDxfId="27"/>
    <tableColumn id="17" xr3:uid="{570B74A5-3FA5-4513-BD7C-332BDBEE3674}" name="PARCEL NO" dataDxfId="75" totalsRowDxfId="26"/>
    <tableColumn id="18" xr3:uid="{78E641DC-01AA-4C00-80B1-8DF3BB3D5686}" name="DUE AT SALE" dataDxfId="74" totalsRowDxfId="25"/>
    <tableColumn id="19" xr3:uid="{16A53F10-46E0-43F9-B62F-1DD8FE93E6CF}" name="DUE AFTER SALE (REFUNDED)" dataDxfId="73" totalsRowDxfId="24">
      <calculatedColumnFormula>T11-R11</calculatedColumnFormula>
    </tableColumn>
    <tableColumn id="20" xr3:uid="{99869EDB-EDED-4ADC-9E12-8B4870100084}" name="TOTAL  PAID" dataDxfId="72" totalsRowDxfId="23"/>
    <tableColumn id="21" xr3:uid="{D14B4D91-672F-4943-A4EE-686099FA7272}" name="AMOUNT OF RENTAL" dataDxfId="71" totalsRowDxfId="22"/>
    <tableColumn id="22" xr3:uid="{CD379E12-AA76-4683-9E97-BBC52D294DE9}" name="YEARS RENEWED" dataDxfId="70" totalsRowDxfId="21" dataCellStyle="Normal 5" totalsRowCellStyle="Normal 5">
      <calculatedColumnFormula>IF(YEAR($W$3)-YEAR(E11)&gt;9,10,IF(MONTH($W$3)&lt;MONTH(E11),YEAR($W$3)-YEAR(E11),YEAR($W$3)-YEAR(E11)+1))</calculatedColumnFormula>
    </tableColumn>
    <tableColumn id="23" xr3:uid="{2398CACF-3E03-464D-A47B-2B1C72BC662C}" name=" RENTALS PAID UP TO DATE" dataDxfId="69" totalsRowDxfId="20" dataCellStyle="Normal 5" totalsRowCellStyle="Normal 5">
      <calculatedColumnFormula>IF(V11&lt;6, ROUNDUP(G11,0)*$W$6*V11, ROUNDUP(G11,0)*($W$6*5 + (V11-5)*$W$7))</calculatedColumnFormula>
    </tableColumn>
    <tableColumn id="24" xr3:uid="{726D5EB5-3E3B-4D3E-8B89-8313834BCA91}" name="TOTAL INVESTMENT (BONUS + RENTALS)" totalsRowFunction="sum" dataDxfId="68" totalsRowDxfId="13" dataCellStyle="Normal 5">
      <calculatedColumnFormula>IF(V11=0,T11,((T11-ROUNDUP(G11,0)*1.5)+W11))</calculatedColumnFormula>
    </tableColumn>
    <tableColumn id="25" xr3:uid="{50187F81-60B3-4869-AC7E-87363F7DC958}" name="UA %"/>
    <tableColumn id="26" xr3:uid="{0B707856-E8D6-4247-BF11-8F356C29F2BC}" name="RA%" dataDxfId="67" totalsRowDxfId="19" dataCellStyle="Percent" totalsRowCellStyle="Percent"/>
    <tableColumn id="27" xr3:uid="{48355991-3EE5-4CCD-9884-1E415DE4C760}" name="KA%" dataDxfId="66" totalsRowDxfId="18" dataCellStyle="Percent" totalsRowCellStyle="Percent"/>
    <tableColumn id="28" xr3:uid="{12F18F69-417D-496F-9532-C94A3E1FB428}" name="RECORDED LEASE  " dataDxfId="65" totalsRowDxfId="17"/>
    <tableColumn id="29" xr3:uid="{1263963F-62F0-47B2-AA1C-6FF3C02653DC}" name="DATE FILED (OVERRIDE)" dataDxfId="64" totalsRowDxfId="16"/>
    <tableColumn id="30" xr3:uid="{5DAB87AB-B8EE-470D-A106-BF4749A0AA1F}" name="% OF OVERRIDES" dataDxfId="63" totalsRowDxfId="15"/>
    <tableColumn id="31" xr3:uid="{E280FB0B-BD86-42BC-A257-2D3DA78217D6}" name="Assignment of ORRI" dataDxfId="62" totalsRowDxfId="14"/>
    <tableColumn id="32" xr3:uid="{3F96E7ED-CA43-4A74-B707-55FBEF5F0954}" name="Filter List" totalsRowFunction="sum">
      <calculatedColumnFormula>COUNTIF(FilterList,A11)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202" headerRowDxfId="121" dataDxfId="120">
  <autoFilter ref="A1:N1202" xr:uid="{00000000-0009-0000-0100-000001000000}">
    <filterColumn colId="6">
      <customFilters>
        <customFilter operator="greaterThan" val="43405"/>
      </customFilters>
    </filterColumn>
  </autoFilter>
  <tableColumns count="14">
    <tableColumn id="1" xr3:uid="{00000000-0010-0000-0000-000001000000}" name="FID" totalsRowFunction="count" dataDxfId="119" totalsRowDxfId="118"/>
    <tableColumn id="2" xr3:uid="{00000000-0010-0000-0000-000002000000}" name="Shape" dataDxfId="117" totalsRowDxfId="116"/>
    <tableColumn id="3" xr3:uid="{00000000-0010-0000-0000-000003000000}" name="LEASE_NO" dataDxfId="115" totalsRowDxfId="114"/>
    <tableColumn id="4" xr3:uid="{00000000-0010-0000-0000-000004000000}" name="COUNTY" dataDxfId="113" totalsRowDxfId="112"/>
    <tableColumn id="5" xr3:uid="{00000000-0010-0000-0000-000005000000}" name="ST" dataDxfId="111" totalsRowDxfId="110"/>
    <tableColumn id="6" xr3:uid="{00000000-0010-0000-0000-000006000000}" name="EFFECTIVE" dataDxfId="109" totalsRowDxfId="108"/>
    <tableColumn id="7" xr3:uid="{00000000-0010-0000-0000-000007000000}" name="DUE_DATE" dataDxfId="107" totalsRowDxfId="106"/>
    <tableColumn id="8" xr3:uid="{00000000-0010-0000-0000-000008000000}" name="NO__OF_ACR" dataDxfId="105" totalsRowDxfId="104"/>
    <tableColumn id="9" xr3:uid="{00000000-0010-0000-0000-000009000000}" name="HYPERLINK" dataDxfId="103" totalsRowDxfId="102"/>
    <tableColumn id="10" xr3:uid="{00000000-0010-0000-0000-00000A000000}" name="Shape_Leng" dataDxfId="101" totalsRowDxfId="100"/>
    <tableColumn id="11" xr3:uid="{00000000-0010-0000-0000-00000B000000}" name="Shape_Area" dataDxfId="99" totalsRowDxfId="98"/>
    <tableColumn id="12" xr3:uid="{00000000-0010-0000-0000-00000C000000}" name="GeneralLoc" dataDxfId="97" totalsRowDxfId="96"/>
    <tableColumn id="13" xr3:uid="{00000000-0010-0000-0000-00000D000000}" name="Due_Year" dataDxfId="95" totalsRowDxfId="94"/>
    <tableColumn id="14" xr3:uid="{00000000-0010-0000-0000-00000E000000}" name="Comments" totalsRowFunction="count" dataDxfId="93" totalsRowDxfId="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39997558519241921"/>
    <pageSetUpPr fitToPage="1"/>
  </sheetPr>
  <dimension ref="A1:AF2640"/>
  <sheetViews>
    <sheetView zoomScale="70" zoomScaleNormal="70" zoomScaleSheetLayoutView="70" workbookViewId="0">
      <pane xSplit="1" ySplit="10" topLeftCell="B11" activePane="bottomRight" state="frozen"/>
      <selection pane="topRight" activeCell="B1" sqref="B1"/>
      <selection pane="bottomLeft" activeCell="A11" sqref="A11"/>
      <selection pane="bottomRight" activeCell="H553" sqref="H553"/>
    </sheetView>
  </sheetViews>
  <sheetFormatPr defaultRowHeight="15" x14ac:dyDescent="0.25"/>
  <cols>
    <col min="1" max="1" width="19.5703125" style="324" customWidth="1"/>
    <col min="2" max="2" width="13.85546875" style="93" customWidth="1"/>
    <col min="3" max="3" width="18.85546875" style="93" bestFit="1" customWidth="1"/>
    <col min="4" max="4" width="15.85546875" style="93" customWidth="1"/>
    <col min="5" max="5" width="33.85546875" style="94" customWidth="1"/>
    <col min="6" max="6" width="23.85546875" style="94" customWidth="1"/>
    <col min="7" max="7" width="11.7109375" style="93" customWidth="1"/>
    <col min="8" max="8" width="23" style="93" customWidth="1"/>
    <col min="9" max="9" width="10.7109375" style="402" customWidth="1"/>
    <col min="10" max="10" width="39.85546875" style="265" customWidth="1"/>
    <col min="11" max="11" width="23.85546875" style="265" customWidth="1"/>
    <col min="12" max="12" width="15.28515625" style="399" customWidth="1"/>
    <col min="13" max="13" width="11.42578125" style="399" customWidth="1"/>
    <col min="14" max="14" width="30.5703125" style="166" customWidth="1"/>
    <col min="15" max="15" width="43.42578125" style="166" customWidth="1"/>
    <col min="16" max="16" width="38.28515625" style="283" customWidth="1"/>
    <col min="17" max="17" width="19.28515625" style="428" customWidth="1"/>
    <col min="18" max="18" width="19.140625" style="92" customWidth="1"/>
    <col min="19" max="19" width="38.140625" style="92" customWidth="1"/>
    <col min="20" max="20" width="18.7109375" style="92" customWidth="1"/>
    <col min="21" max="21" width="27.7109375" style="201" customWidth="1"/>
    <col min="22" max="22" width="23.85546875" style="92" customWidth="1"/>
    <col min="23" max="23" width="35.85546875" style="92" customWidth="1"/>
    <col min="24" max="24" width="49.85546875" style="201" customWidth="1"/>
    <col min="25" max="25" width="10.140625" style="93" customWidth="1"/>
    <col min="26" max="26" width="13.28515625" style="93" customWidth="1"/>
    <col min="27" max="27" width="13.140625" style="226" customWidth="1"/>
    <col min="28" max="28" width="52" style="312" customWidth="1"/>
    <col min="29" max="29" width="30.140625" style="312" customWidth="1"/>
    <col min="30" max="30" width="22.28515625" style="312" customWidth="1"/>
    <col min="31" max="31" width="40.42578125" style="312" customWidth="1"/>
    <col min="32" max="32" width="19.7109375" customWidth="1"/>
  </cols>
  <sheetData>
    <row r="1" spans="1:32" x14ac:dyDescent="0.25">
      <c r="A1" s="317"/>
      <c r="B1" s="251"/>
      <c r="C1" s="251"/>
      <c r="D1" s="251"/>
      <c r="E1" s="135"/>
      <c r="F1" s="135"/>
      <c r="G1" s="251"/>
      <c r="H1" s="251"/>
      <c r="I1" s="419"/>
      <c r="J1" s="290"/>
      <c r="K1" s="290"/>
      <c r="L1" s="403"/>
      <c r="M1" s="403"/>
      <c r="N1" s="294"/>
      <c r="O1" s="294"/>
      <c r="P1" s="295"/>
      <c r="Q1" s="426"/>
      <c r="R1" s="288"/>
      <c r="S1" s="288"/>
      <c r="T1" s="288"/>
      <c r="U1" s="291"/>
      <c r="V1" s="288"/>
      <c r="W1" s="288"/>
      <c r="X1" s="291"/>
      <c r="Y1" s="251"/>
      <c r="Z1" s="251"/>
      <c r="AA1" s="292"/>
      <c r="AB1" s="303"/>
      <c r="AC1" s="303"/>
      <c r="AD1" s="303"/>
      <c r="AE1" s="303"/>
      <c r="AF1" s="293"/>
    </row>
    <row r="2" spans="1:32" x14ac:dyDescent="0.25">
      <c r="A2" s="317"/>
      <c r="B2" s="251"/>
      <c r="C2" s="251"/>
      <c r="D2" s="251"/>
      <c r="E2" s="135"/>
      <c r="F2" s="135"/>
      <c r="G2" s="251"/>
      <c r="H2" s="251"/>
      <c r="I2" s="419"/>
      <c r="J2" s="290"/>
      <c r="K2" s="290"/>
      <c r="L2" s="403"/>
      <c r="M2" s="403"/>
      <c r="N2" s="294"/>
      <c r="O2" s="294"/>
      <c r="P2" s="295"/>
      <c r="Q2" s="426"/>
      <c r="R2" s="288"/>
      <c r="S2" s="288"/>
      <c r="T2" s="288"/>
      <c r="U2" s="291"/>
      <c r="V2" s="288"/>
      <c r="W2" s="288"/>
      <c r="X2" s="291"/>
      <c r="Y2" s="251"/>
      <c r="Z2" s="251"/>
      <c r="AA2" s="292"/>
      <c r="AB2" s="303"/>
      <c r="AC2" s="303"/>
      <c r="AD2" s="303"/>
      <c r="AE2" s="303"/>
      <c r="AF2" s="293"/>
    </row>
    <row r="3" spans="1:32" ht="15.75" x14ac:dyDescent="0.25">
      <c r="A3" s="317"/>
      <c r="B3" s="251"/>
      <c r="C3" s="251"/>
      <c r="D3" s="251"/>
      <c r="E3" s="135"/>
      <c r="F3" s="135"/>
      <c r="G3" s="251"/>
      <c r="H3" s="251"/>
      <c r="I3" s="419"/>
      <c r="J3" s="290"/>
      <c r="K3" s="290"/>
      <c r="L3" s="403"/>
      <c r="M3" s="403"/>
      <c r="N3" s="294"/>
      <c r="O3" s="294"/>
      <c r="P3" s="295"/>
      <c r="Q3" s="426"/>
      <c r="R3" s="288"/>
      <c r="S3" s="288"/>
      <c r="T3" s="288"/>
      <c r="U3" s="291"/>
      <c r="V3" s="249" t="s">
        <v>6198</v>
      </c>
      <c r="W3" s="252">
        <f ca="1">TODAY()</f>
        <v>43850</v>
      </c>
      <c r="X3" s="291"/>
      <c r="Y3" s="251"/>
      <c r="Z3" s="251"/>
      <c r="AA3" s="292"/>
      <c r="AB3" s="303"/>
      <c r="AC3" s="303"/>
      <c r="AD3" s="303"/>
      <c r="AE3" s="303"/>
      <c r="AF3" s="293"/>
    </row>
    <row r="4" spans="1:32" ht="20.25" x14ac:dyDescent="0.3">
      <c r="A4" s="318"/>
      <c r="B4" s="251"/>
      <c r="C4" s="135"/>
      <c r="D4" s="251"/>
      <c r="E4" s="102"/>
      <c r="F4" s="102"/>
      <c r="G4" s="296" t="s">
        <v>0</v>
      </c>
      <c r="H4" s="251"/>
      <c r="I4" s="420"/>
      <c r="J4" s="290"/>
      <c r="K4" s="290"/>
      <c r="L4" s="404"/>
      <c r="M4" s="404"/>
      <c r="N4" s="195"/>
      <c r="O4" s="195"/>
      <c r="P4" s="274"/>
      <c r="Q4" s="429"/>
      <c r="R4" s="102"/>
      <c r="S4" s="102"/>
      <c r="T4" s="102"/>
      <c r="U4" s="198"/>
      <c r="V4" s="102"/>
      <c r="W4" s="102"/>
      <c r="X4" s="198"/>
      <c r="Y4" s="100"/>
      <c r="Z4" s="100"/>
      <c r="AA4" s="216"/>
      <c r="AB4" s="304"/>
      <c r="AC4" s="304"/>
      <c r="AD4" s="304"/>
      <c r="AE4" s="304"/>
      <c r="AF4" s="90"/>
    </row>
    <row r="5" spans="1:32" ht="24.75" customHeight="1" x14ac:dyDescent="0.3">
      <c r="A5" s="318"/>
      <c r="B5" s="251"/>
      <c r="C5" s="135"/>
      <c r="D5" s="251"/>
      <c r="E5" s="102"/>
      <c r="F5" s="102"/>
      <c r="G5" s="296" t="s">
        <v>6197</v>
      </c>
      <c r="H5" s="251"/>
      <c r="I5" s="420"/>
      <c r="J5" s="262"/>
      <c r="K5" s="262"/>
      <c r="L5" s="404"/>
      <c r="M5" s="404"/>
      <c r="N5" s="195"/>
      <c r="O5" s="195"/>
      <c r="P5" s="274"/>
      <c r="Q5" s="429"/>
      <c r="R5" s="102"/>
      <c r="S5" s="102"/>
      <c r="T5" s="102"/>
      <c r="U5" s="198"/>
      <c r="V5" s="300" t="s">
        <v>6217</v>
      </c>
      <c r="W5" s="289"/>
      <c r="X5" s="198"/>
      <c r="Y5" s="100"/>
      <c r="Z5" s="100"/>
      <c r="AA5" s="216"/>
      <c r="AB5" s="304"/>
      <c r="AC5" s="304"/>
      <c r="AD5" s="304"/>
      <c r="AE5" s="304"/>
      <c r="AF5" s="90"/>
    </row>
    <row r="6" spans="1:32" ht="69" customHeight="1" x14ac:dyDescent="0.3">
      <c r="A6" s="319"/>
      <c r="B6" s="251"/>
      <c r="C6" s="135"/>
      <c r="D6" s="251"/>
      <c r="E6" s="102"/>
      <c r="F6" s="102"/>
      <c r="G6" s="296" t="s">
        <v>8199</v>
      </c>
      <c r="H6" s="251"/>
      <c r="I6" s="420"/>
      <c r="J6" s="196"/>
      <c r="K6" s="196"/>
      <c r="L6" s="405"/>
      <c r="M6" s="405"/>
      <c r="N6" s="196"/>
      <c r="O6" s="196"/>
      <c r="P6" s="275"/>
      <c r="Q6" s="429"/>
      <c r="R6" s="102"/>
      <c r="S6" s="102"/>
      <c r="T6" s="102"/>
      <c r="U6" s="198"/>
      <c r="V6" s="298" t="s">
        <v>6218</v>
      </c>
      <c r="W6" s="297">
        <v>1.5</v>
      </c>
      <c r="X6" s="198"/>
      <c r="Y6" s="101"/>
      <c r="Z6" s="101"/>
      <c r="AA6" s="217"/>
      <c r="AB6" s="305"/>
      <c r="AC6" s="305"/>
      <c r="AD6" s="305"/>
      <c r="AE6" s="305"/>
      <c r="AF6" s="102"/>
    </row>
    <row r="7" spans="1:32" ht="27" customHeight="1" x14ac:dyDescent="0.3">
      <c r="A7" s="319"/>
      <c r="B7" s="251"/>
      <c r="C7" s="135"/>
      <c r="D7" s="250"/>
      <c r="E7" s="102"/>
      <c r="F7" s="102"/>
      <c r="G7" s="102"/>
      <c r="H7" s="102"/>
      <c r="I7" s="420"/>
      <c r="J7" s="196"/>
      <c r="K7" s="196"/>
      <c r="L7" s="405"/>
      <c r="M7" s="405"/>
      <c r="N7" s="196"/>
      <c r="O7" s="196"/>
      <c r="P7" s="275"/>
      <c r="Q7" s="429"/>
      <c r="R7" s="102"/>
      <c r="S7" s="102"/>
      <c r="T7" s="102"/>
      <c r="U7" s="198"/>
      <c r="V7" s="299" t="s">
        <v>6219</v>
      </c>
      <c r="W7" s="297">
        <v>2</v>
      </c>
      <c r="X7" s="198"/>
      <c r="Y7" s="101"/>
      <c r="Z7" s="101"/>
      <c r="AA7" s="217"/>
      <c r="AB7" s="305"/>
      <c r="AC7" s="305"/>
      <c r="AD7" s="305"/>
      <c r="AE7" s="305"/>
      <c r="AF7" s="102"/>
    </row>
    <row r="8" spans="1:32" ht="9" customHeight="1" x14ac:dyDescent="0.25">
      <c r="A8" s="320"/>
      <c r="B8" s="253"/>
      <c r="C8" s="254"/>
      <c r="D8" s="255"/>
      <c r="E8" s="256"/>
      <c r="F8" s="256"/>
      <c r="G8" s="255"/>
      <c r="H8" s="257"/>
      <c r="I8" s="421"/>
      <c r="J8" s="263"/>
      <c r="K8" s="263"/>
      <c r="L8" s="406"/>
      <c r="M8" s="406"/>
      <c r="N8" s="261"/>
      <c r="O8" s="261"/>
      <c r="P8" s="276"/>
      <c r="Q8" s="427"/>
      <c r="R8" s="259"/>
      <c r="S8" s="259"/>
      <c r="T8" s="259"/>
      <c r="U8" s="260"/>
      <c r="V8" s="259"/>
      <c r="W8" s="259"/>
      <c r="X8" s="260"/>
      <c r="Y8" s="255"/>
      <c r="Z8" s="255"/>
      <c r="AA8" s="258"/>
      <c r="AB8" s="306"/>
      <c r="AC8" s="306"/>
      <c r="AD8" s="306"/>
      <c r="AE8" s="306"/>
      <c r="AF8" s="256"/>
    </row>
    <row r="9" spans="1:32" ht="20.25" customHeight="1" x14ac:dyDescent="0.25">
      <c r="A9" s="445" t="s">
        <v>6206</v>
      </c>
      <c r="B9" s="446"/>
      <c r="C9" s="446"/>
      <c r="D9" s="446"/>
      <c r="E9" s="446"/>
      <c r="F9" s="446"/>
      <c r="G9" s="446"/>
      <c r="H9" s="446"/>
      <c r="I9" s="449"/>
      <c r="J9" s="264"/>
      <c r="K9" s="264"/>
      <c r="L9" s="407"/>
      <c r="M9" s="407"/>
      <c r="N9" s="197"/>
      <c r="O9" s="197"/>
      <c r="P9" s="277"/>
      <c r="Q9" s="448" t="s">
        <v>6199</v>
      </c>
      <c r="R9" s="446"/>
      <c r="S9" s="446"/>
      <c r="T9" s="446"/>
      <c r="U9" s="447"/>
      <c r="V9" s="445" t="s">
        <v>6261</v>
      </c>
      <c r="W9" s="446"/>
      <c r="X9" s="447"/>
      <c r="Y9" s="446" t="s">
        <v>6200</v>
      </c>
      <c r="Z9" s="446"/>
      <c r="AA9" s="447"/>
      <c r="AB9" s="443" t="s">
        <v>6207</v>
      </c>
      <c r="AC9" s="444"/>
      <c r="AD9" s="444"/>
      <c r="AE9" s="444"/>
      <c r="AF9" s="286" t="s">
        <v>6215</v>
      </c>
    </row>
    <row r="10" spans="1:32" ht="55.5" customHeight="1" thickBot="1" x14ac:dyDescent="0.3">
      <c r="A10" s="321" t="s">
        <v>3</v>
      </c>
      <c r="B10" s="194" t="s">
        <v>5498</v>
      </c>
      <c r="C10" s="194" t="s">
        <v>5502</v>
      </c>
      <c r="D10" s="132" t="s">
        <v>7</v>
      </c>
      <c r="E10" s="132" t="s">
        <v>5492</v>
      </c>
      <c r="F10" s="132" t="s">
        <v>5499</v>
      </c>
      <c r="G10" s="132" t="s">
        <v>6220</v>
      </c>
      <c r="H10" s="132" t="s">
        <v>8</v>
      </c>
      <c r="I10" s="132" t="s">
        <v>9</v>
      </c>
      <c r="J10" s="132" t="s">
        <v>4777</v>
      </c>
      <c r="K10" s="132" t="s">
        <v>6203</v>
      </c>
      <c r="L10" s="132" t="s">
        <v>5500</v>
      </c>
      <c r="M10" s="132" t="s">
        <v>5501</v>
      </c>
      <c r="N10" s="132" t="s">
        <v>10</v>
      </c>
      <c r="O10" s="132" t="s">
        <v>11</v>
      </c>
      <c r="P10" s="210" t="s">
        <v>4829</v>
      </c>
      <c r="Q10" s="430" t="s">
        <v>5497</v>
      </c>
      <c r="R10" s="134" t="s">
        <v>5493</v>
      </c>
      <c r="S10" s="134" t="s">
        <v>5494</v>
      </c>
      <c r="T10" s="134" t="s">
        <v>5495</v>
      </c>
      <c r="U10" s="199" t="s">
        <v>5496</v>
      </c>
      <c r="V10" s="134" t="s">
        <v>6202</v>
      </c>
      <c r="W10" s="134" t="s">
        <v>6216</v>
      </c>
      <c r="X10" s="199" t="s">
        <v>6201</v>
      </c>
      <c r="Y10" s="133" t="s">
        <v>4</v>
      </c>
      <c r="Z10" s="133" t="s">
        <v>5</v>
      </c>
      <c r="AA10" s="218" t="s">
        <v>6</v>
      </c>
      <c r="AB10" s="132" t="s">
        <v>6222</v>
      </c>
      <c r="AC10" s="132" t="s">
        <v>6223</v>
      </c>
      <c r="AD10" s="132" t="s">
        <v>6221</v>
      </c>
      <c r="AE10" s="132" t="s">
        <v>5397</v>
      </c>
      <c r="AF10" s="132" t="s">
        <v>6214</v>
      </c>
    </row>
    <row r="11" spans="1:32" hidden="1" x14ac:dyDescent="0.25">
      <c r="A11" s="322" t="s">
        <v>12</v>
      </c>
      <c r="B11" s="93" t="str">
        <f>IF(COUNTIF(GIS,A11),"YES","NO")</f>
        <v>NO</v>
      </c>
      <c r="C11" s="93" t="s">
        <v>5503</v>
      </c>
      <c r="D11" s="2">
        <v>34991</v>
      </c>
      <c r="E11" s="2">
        <v>35034</v>
      </c>
      <c r="F11" s="2">
        <f>DATE(YEAR(E11)+10,MONTH(E11),DAY(E11))</f>
        <v>38687</v>
      </c>
      <c r="G11" s="6"/>
      <c r="H11" s="7" t="s">
        <v>14</v>
      </c>
      <c r="I11" s="7" t="s">
        <v>15</v>
      </c>
      <c r="J11" s="103" t="s">
        <v>4780</v>
      </c>
      <c r="K11" s="266">
        <f>YEAR(F11)</f>
        <v>2005</v>
      </c>
      <c r="L11" s="380"/>
      <c r="M11" s="380"/>
      <c r="N11" s="32" t="s">
        <v>16</v>
      </c>
      <c r="O11" s="32" t="s">
        <v>17</v>
      </c>
      <c r="P11" s="278"/>
      <c r="Q11" s="232"/>
      <c r="R11" s="75"/>
      <c r="S11" s="75">
        <v>790.5</v>
      </c>
      <c r="T11" s="75">
        <v>790.5</v>
      </c>
      <c r="U11" s="200"/>
      <c r="V11" s="287">
        <f ca="1">IF(YEAR($W$3)-YEAR(E11)&gt;9,10,IF(MONTH($W$3)&lt;MONTH(E11),YEAR($W$3)-YEAR(E11),YEAR($W$3)-YEAR(E11)+1))</f>
        <v>10</v>
      </c>
      <c r="W11" s="75">
        <f ca="1">IF(V11&lt;6, ROUNDUP(G11,0)*$W$6*V11, ROUNDUP(G11,0)*($W$6*5 + (V11-5)*$W$7))</f>
        <v>0</v>
      </c>
      <c r="X11" s="200">
        <f ca="1">IF(V11=0,T11,((T11-ROUNDUP(G11,0)*1.5)+W11))</f>
        <v>790.5</v>
      </c>
      <c r="Y11" s="1" t="s">
        <v>13</v>
      </c>
      <c r="Z11" s="1"/>
      <c r="AA11" s="219"/>
      <c r="AB11" s="302"/>
      <c r="AC11" s="302"/>
      <c r="AD11" s="302"/>
      <c r="AE11" s="302"/>
      <c r="AF11">
        <f t="shared" ref="AF11:AF74" si="0">COUNTIF(FilterList,A11)</f>
        <v>0</v>
      </c>
    </row>
    <row r="12" spans="1:32" hidden="1" x14ac:dyDescent="0.25">
      <c r="A12" s="323"/>
      <c r="D12" s="2"/>
      <c r="E12" s="2"/>
      <c r="F12" s="2"/>
      <c r="G12" s="6"/>
      <c r="H12" s="7"/>
      <c r="I12" s="7"/>
      <c r="J12" s="103"/>
      <c r="K12" s="103"/>
      <c r="L12" s="380"/>
      <c r="M12" s="380"/>
      <c r="N12" s="32"/>
      <c r="O12" s="32"/>
      <c r="P12" s="278"/>
      <c r="Q12" s="232"/>
      <c r="R12" s="75"/>
      <c r="S12" s="75"/>
      <c r="T12" s="75"/>
      <c r="U12" s="200"/>
      <c r="V12" s="75"/>
      <c r="W12" s="75"/>
      <c r="X12" s="200"/>
      <c r="Y12" s="1"/>
      <c r="Z12" s="1"/>
      <c r="AA12" s="219"/>
      <c r="AB12" s="302"/>
      <c r="AC12" s="302"/>
      <c r="AD12" s="302"/>
      <c r="AE12" s="302"/>
      <c r="AF12">
        <f t="shared" si="0"/>
        <v>0</v>
      </c>
    </row>
    <row r="13" spans="1:32" hidden="1" x14ac:dyDescent="0.25">
      <c r="A13" s="322" t="s">
        <v>18</v>
      </c>
      <c r="B13" s="93" t="str">
        <f>IF(COUNTIF(GIS,A13),"YES","NO")</f>
        <v>NO</v>
      </c>
      <c r="C13" s="93" t="s">
        <v>5503</v>
      </c>
      <c r="D13" s="2">
        <v>36293</v>
      </c>
      <c r="E13" s="2">
        <v>36342</v>
      </c>
      <c r="F13" s="2">
        <f t="shared" ref="F13:F75" si="1">DATE(YEAR(E13)+10,MONTH(E13),DAY(E13))</f>
        <v>39995</v>
      </c>
      <c r="G13" s="6"/>
      <c r="H13" s="7" t="s">
        <v>19</v>
      </c>
      <c r="I13" s="7" t="s">
        <v>15</v>
      </c>
      <c r="J13" s="105" t="s">
        <v>4781</v>
      </c>
      <c r="K13" s="266">
        <f>YEAR(F13)</f>
        <v>2009</v>
      </c>
      <c r="L13" s="381"/>
      <c r="M13" s="381"/>
      <c r="N13" s="32" t="s">
        <v>20</v>
      </c>
      <c r="O13" s="32" t="s">
        <v>16</v>
      </c>
      <c r="P13" s="278"/>
      <c r="Q13" s="233"/>
      <c r="R13" s="75"/>
      <c r="S13" s="75">
        <v>1253.5</v>
      </c>
      <c r="T13" s="75">
        <v>1253.5</v>
      </c>
      <c r="V13" s="287">
        <f ca="1">IF(YEAR($W$3)-YEAR(E13)&gt;9,10,IF(MONTH($W$3)&lt;MONTH(E13),YEAR($W$3)-YEAR(E13),YEAR($W$3)-YEAR(E13)+1))</f>
        <v>10</v>
      </c>
      <c r="W13" s="75">
        <f ca="1">IF(V13&lt;6, ROUNDUP(G13,0)*$W$6*V13, ROUNDUP(G13,0)*($W$6*5 + (V13-5)*$W$7))</f>
        <v>0</v>
      </c>
      <c r="X13" s="200">
        <f ca="1">IF(V13=0,T13,((T13-ROUNDUP(G13,0)*1.5)+W13))</f>
        <v>1253.5</v>
      </c>
      <c r="Y13" s="1">
        <v>0.5</v>
      </c>
      <c r="Z13" s="1"/>
      <c r="AA13" s="219"/>
      <c r="AB13" s="302"/>
      <c r="AC13" s="302"/>
      <c r="AD13" s="302"/>
      <c r="AE13" s="302"/>
      <c r="AF13">
        <f t="shared" si="0"/>
        <v>0</v>
      </c>
    </row>
    <row r="14" spans="1:32" hidden="1" x14ac:dyDescent="0.25">
      <c r="A14" s="323"/>
      <c r="D14" s="2"/>
      <c r="E14" s="2"/>
      <c r="F14" s="2"/>
      <c r="G14" s="6"/>
      <c r="H14" s="7"/>
      <c r="I14" s="7"/>
      <c r="J14" s="105"/>
      <c r="K14" s="105"/>
      <c r="L14" s="381"/>
      <c r="M14" s="381"/>
      <c r="N14" s="32"/>
      <c r="O14" s="32"/>
      <c r="P14" s="278"/>
      <c r="Q14" s="233"/>
      <c r="R14" s="75"/>
      <c r="S14" s="75"/>
      <c r="T14" s="75"/>
      <c r="U14" s="200"/>
      <c r="V14" s="75"/>
      <c r="W14" s="75"/>
      <c r="X14" s="200"/>
      <c r="Y14" s="1"/>
      <c r="Z14" s="1"/>
      <c r="AA14" s="219"/>
      <c r="AB14" s="302"/>
      <c r="AC14" s="302"/>
      <c r="AD14" s="302"/>
      <c r="AE14" s="302"/>
      <c r="AF14">
        <f t="shared" si="0"/>
        <v>0</v>
      </c>
    </row>
    <row r="15" spans="1:32" hidden="1" x14ac:dyDescent="0.25">
      <c r="A15" s="322" t="s">
        <v>21</v>
      </c>
      <c r="B15" s="93" t="str">
        <f t="shared" ref="B15:B74" si="2">IF(COUNTIF(GIS,A17),"YES","NO")</f>
        <v>NO</v>
      </c>
      <c r="C15" s="93" t="s">
        <v>5503</v>
      </c>
      <c r="D15" s="2">
        <v>34171</v>
      </c>
      <c r="E15" s="2">
        <v>34213</v>
      </c>
      <c r="F15" s="2">
        <f t="shared" si="1"/>
        <v>37865</v>
      </c>
      <c r="G15" s="6"/>
      <c r="H15" s="7" t="s">
        <v>22</v>
      </c>
      <c r="I15" s="7" t="s">
        <v>15</v>
      </c>
      <c r="J15" s="103" t="s">
        <v>4782</v>
      </c>
      <c r="K15" s="266">
        <f>YEAR(F15)</f>
        <v>2003</v>
      </c>
      <c r="L15" s="380"/>
      <c r="M15" s="380"/>
      <c r="N15" s="32" t="s">
        <v>23</v>
      </c>
      <c r="O15" s="268" t="s">
        <v>24</v>
      </c>
      <c r="P15" s="278" t="s">
        <v>25</v>
      </c>
      <c r="Q15" s="232"/>
      <c r="R15" s="75"/>
      <c r="S15" s="75">
        <v>4200</v>
      </c>
      <c r="T15" s="75">
        <v>4200</v>
      </c>
      <c r="U15" s="200"/>
      <c r="V15" s="287">
        <f ca="1">IF(YEAR($W$3)-YEAR(E15)&gt;9,10,IF(MONTH($W$3)&lt;MONTH(E15),YEAR($W$3)-YEAR(E15),YEAR($W$3)-YEAR(E15)+1))</f>
        <v>10</v>
      </c>
      <c r="W15" s="75">
        <f ca="1">IF(V15&lt;6, ROUNDUP(G15,0)*$W$6*V15, ROUNDUP(G15,0)*($W$6*5 + (V15-5)*$W$7))</f>
        <v>0</v>
      </c>
      <c r="X15" s="200">
        <f ca="1">IF(V15=0,T15,((T15-ROUNDUP(G15,0)*1.5)+W15))</f>
        <v>4200</v>
      </c>
      <c r="Y15" s="1">
        <v>0.5</v>
      </c>
      <c r="Z15" s="1"/>
      <c r="AA15" s="219"/>
      <c r="AB15" s="302"/>
      <c r="AC15" s="302"/>
      <c r="AD15" s="302"/>
      <c r="AE15" s="302"/>
      <c r="AF15">
        <f t="shared" si="0"/>
        <v>0</v>
      </c>
    </row>
    <row r="16" spans="1:32" hidden="1" x14ac:dyDescent="0.25">
      <c r="A16" s="323"/>
      <c r="D16" s="2"/>
      <c r="E16" s="2"/>
      <c r="F16" s="2"/>
      <c r="G16" s="6"/>
      <c r="H16" s="7"/>
      <c r="I16" s="7"/>
      <c r="J16" s="103"/>
      <c r="K16" s="103"/>
      <c r="L16" s="380"/>
      <c r="M16" s="380"/>
      <c r="N16" s="32"/>
      <c r="O16" s="268"/>
      <c r="P16" s="278"/>
      <c r="Q16" s="232"/>
      <c r="R16" s="75"/>
      <c r="S16" s="75"/>
      <c r="T16" s="75"/>
      <c r="U16" s="200"/>
      <c r="V16" s="75"/>
      <c r="W16" s="75"/>
      <c r="X16" s="200"/>
      <c r="Y16" s="1"/>
      <c r="Z16" s="1"/>
      <c r="AA16" s="219"/>
      <c r="AB16" s="302"/>
      <c r="AC16" s="302"/>
      <c r="AD16" s="302"/>
      <c r="AE16" s="302"/>
      <c r="AF16">
        <f t="shared" si="0"/>
        <v>0</v>
      </c>
    </row>
    <row r="17" spans="1:32" hidden="1" x14ac:dyDescent="0.25">
      <c r="A17" s="322" t="s">
        <v>26</v>
      </c>
      <c r="B17" s="93" t="str">
        <f t="shared" si="2"/>
        <v>NO</v>
      </c>
      <c r="C17" s="93" t="s">
        <v>5503</v>
      </c>
      <c r="D17" s="2">
        <v>36271</v>
      </c>
      <c r="E17" s="2">
        <v>36312</v>
      </c>
      <c r="F17" s="2">
        <f t="shared" si="1"/>
        <v>39965</v>
      </c>
      <c r="G17" s="6"/>
      <c r="H17" s="7" t="s">
        <v>27</v>
      </c>
      <c r="I17" s="7" t="s">
        <v>15</v>
      </c>
      <c r="J17" s="103" t="s">
        <v>4783</v>
      </c>
      <c r="K17" s="266">
        <f>YEAR(F17)</f>
        <v>2009</v>
      </c>
      <c r="L17" s="380"/>
      <c r="M17" s="380"/>
      <c r="N17" s="32" t="s">
        <v>28</v>
      </c>
      <c r="O17" s="32" t="s">
        <v>29</v>
      </c>
      <c r="P17" s="279"/>
      <c r="Q17" s="233">
        <v>9904002</v>
      </c>
      <c r="R17" s="75">
        <v>42612.5</v>
      </c>
      <c r="S17" s="75">
        <v>0</v>
      </c>
      <c r="T17" s="75">
        <v>42612.5</v>
      </c>
      <c r="U17" s="200"/>
      <c r="V17" s="287">
        <f ca="1">IF(YEAR($W$3)-YEAR(E17)&gt;9,10,IF(MONTH($W$3)&lt;MONTH(E17),YEAR($W$3)-YEAR(E17),YEAR($W$3)-YEAR(E17)+1))</f>
        <v>10</v>
      </c>
      <c r="W17" s="75">
        <f ca="1">IF(V17&lt;6, ROUNDUP(G17,0)*$W$6*V17, ROUNDUP(G17,0)*($W$6*5 + (V17-5)*$W$7))</f>
        <v>0</v>
      </c>
      <c r="X17" s="200">
        <f ca="1">IF(V17=0,T17,((T17-ROUNDUP(G17,0)*1.5)+W17))</f>
        <v>42612.5</v>
      </c>
      <c r="Y17" s="1">
        <v>0.5</v>
      </c>
      <c r="Z17" s="1"/>
      <c r="AA17" s="219"/>
      <c r="AB17" s="302"/>
      <c r="AC17" s="302"/>
      <c r="AD17" s="302"/>
      <c r="AE17" s="302"/>
      <c r="AF17">
        <f t="shared" si="0"/>
        <v>0</v>
      </c>
    </row>
    <row r="18" spans="1:32" hidden="1" x14ac:dyDescent="0.25">
      <c r="A18" s="323"/>
      <c r="D18" s="2"/>
      <c r="E18" s="2"/>
      <c r="F18" s="2"/>
      <c r="G18" s="6"/>
      <c r="H18" s="7"/>
      <c r="I18" s="7"/>
      <c r="J18" s="103"/>
      <c r="K18" s="103"/>
      <c r="L18" s="380"/>
      <c r="M18" s="380"/>
      <c r="N18" s="32"/>
      <c r="O18" s="32"/>
      <c r="P18" s="279"/>
      <c r="Q18" s="233"/>
      <c r="R18" s="75"/>
      <c r="S18" s="75"/>
      <c r="T18" s="75"/>
      <c r="U18" s="200"/>
      <c r="V18" s="75"/>
      <c r="W18" s="75"/>
      <c r="X18" s="200"/>
      <c r="Y18" s="1"/>
      <c r="Z18" s="1"/>
      <c r="AA18" s="219"/>
      <c r="AB18" s="302"/>
      <c r="AC18" s="302"/>
      <c r="AD18" s="302"/>
      <c r="AE18" s="302"/>
      <c r="AF18">
        <f t="shared" si="0"/>
        <v>0</v>
      </c>
    </row>
    <row r="19" spans="1:32" hidden="1" x14ac:dyDescent="0.25">
      <c r="A19" s="322" t="s">
        <v>30</v>
      </c>
      <c r="B19" s="93" t="str">
        <f t="shared" si="2"/>
        <v>NO</v>
      </c>
      <c r="C19" s="93" t="s">
        <v>5503</v>
      </c>
      <c r="D19" s="2">
        <v>36362</v>
      </c>
      <c r="E19" s="2">
        <v>36404</v>
      </c>
      <c r="F19" s="2">
        <f t="shared" si="1"/>
        <v>40057</v>
      </c>
      <c r="G19" s="6"/>
      <c r="H19" s="7" t="s">
        <v>19</v>
      </c>
      <c r="I19" s="7" t="s">
        <v>15</v>
      </c>
      <c r="J19" s="103" t="s">
        <v>4784</v>
      </c>
      <c r="K19" s="266">
        <f t="shared" ref="K19:K35" si="3">YEAR(F19)</f>
        <v>2009</v>
      </c>
      <c r="L19" s="380"/>
      <c r="M19" s="380"/>
      <c r="N19" s="32" t="s">
        <v>31</v>
      </c>
      <c r="O19" s="32" t="s">
        <v>32</v>
      </c>
      <c r="P19" s="279"/>
      <c r="Q19" s="233">
        <v>9907041</v>
      </c>
      <c r="R19" s="75">
        <v>1744.5</v>
      </c>
      <c r="S19" s="75">
        <v>0</v>
      </c>
      <c r="T19" s="75">
        <v>1744.5</v>
      </c>
      <c r="U19" s="200"/>
      <c r="V19" s="287">
        <f t="shared" ref="V19:V35" ca="1" si="4">IF(YEAR($W$3)-YEAR(E19)&gt;9,10,IF(MONTH($W$3)&lt;MONTH(E19),YEAR($W$3)-YEAR(E19),YEAR($W$3)-YEAR(E19)+1))</f>
        <v>10</v>
      </c>
      <c r="W19" s="75">
        <f t="shared" ref="W19:W35" ca="1" si="5">IF(V19&lt;6, ROUNDUP(G19,0)*$W$6*V19, ROUNDUP(G19,0)*($W$6*5 + (V19-5)*$W$7))</f>
        <v>0</v>
      </c>
      <c r="X19" s="200">
        <f t="shared" ref="X19:X35" ca="1" si="6">IF(V19=0,T19,((T19-ROUNDUP(G19,0)*1.5)+W19))</f>
        <v>1744.5</v>
      </c>
      <c r="Y19" s="1">
        <v>0.5</v>
      </c>
      <c r="Z19" s="1"/>
      <c r="AA19" s="219"/>
      <c r="AB19" s="302"/>
      <c r="AC19" s="302"/>
      <c r="AD19" s="302"/>
      <c r="AE19" s="302"/>
      <c r="AF19">
        <f t="shared" si="0"/>
        <v>0</v>
      </c>
    </row>
    <row r="20" spans="1:32" hidden="1" x14ac:dyDescent="0.25">
      <c r="A20" s="322" t="s">
        <v>33</v>
      </c>
      <c r="B20" s="93" t="str">
        <f t="shared" si="2"/>
        <v>NO</v>
      </c>
      <c r="C20" s="93" t="s">
        <v>5503</v>
      </c>
      <c r="D20" s="2">
        <v>36362</v>
      </c>
      <c r="E20" s="2">
        <v>36404</v>
      </c>
      <c r="F20" s="2">
        <f t="shared" si="1"/>
        <v>40057</v>
      </c>
      <c r="G20" s="6"/>
      <c r="H20" s="7" t="s">
        <v>19</v>
      </c>
      <c r="I20" s="7" t="s">
        <v>15</v>
      </c>
      <c r="J20" s="103" t="s">
        <v>4784</v>
      </c>
      <c r="K20" s="266">
        <f t="shared" si="3"/>
        <v>2009</v>
      </c>
      <c r="L20" s="380"/>
      <c r="M20" s="380"/>
      <c r="N20" s="32" t="s">
        <v>31</v>
      </c>
      <c r="O20" s="32" t="s">
        <v>34</v>
      </c>
      <c r="P20" s="278" t="s">
        <v>35</v>
      </c>
      <c r="Q20" s="233">
        <v>9907042</v>
      </c>
      <c r="R20" s="75">
        <v>1436.5</v>
      </c>
      <c r="S20" s="75">
        <v>0</v>
      </c>
      <c r="T20" s="75">
        <v>1436.5</v>
      </c>
      <c r="U20" s="200"/>
      <c r="V20" s="287">
        <f t="shared" ca="1" si="4"/>
        <v>10</v>
      </c>
      <c r="W20" s="75">
        <f t="shared" ca="1" si="5"/>
        <v>0</v>
      </c>
      <c r="X20" s="200">
        <f t="shared" ca="1" si="6"/>
        <v>1436.5</v>
      </c>
      <c r="Y20" s="1">
        <v>0.5</v>
      </c>
      <c r="Z20" s="1"/>
      <c r="AA20" s="219"/>
      <c r="AB20" s="302"/>
      <c r="AC20" s="302"/>
      <c r="AD20" s="302"/>
      <c r="AE20" s="302"/>
      <c r="AF20">
        <f t="shared" si="0"/>
        <v>0</v>
      </c>
    </row>
    <row r="21" spans="1:32" hidden="1" x14ac:dyDescent="0.25">
      <c r="A21" s="322" t="s">
        <v>36</v>
      </c>
      <c r="B21" s="93" t="str">
        <f t="shared" si="2"/>
        <v>NO</v>
      </c>
      <c r="C21" s="93" t="s">
        <v>5503</v>
      </c>
      <c r="D21" s="2">
        <v>36362</v>
      </c>
      <c r="E21" s="2">
        <v>36404</v>
      </c>
      <c r="F21" s="2">
        <f t="shared" si="1"/>
        <v>40057</v>
      </c>
      <c r="G21" s="6"/>
      <c r="H21" s="7" t="s">
        <v>37</v>
      </c>
      <c r="I21" s="7" t="s">
        <v>15</v>
      </c>
      <c r="J21" s="103" t="s">
        <v>4784</v>
      </c>
      <c r="K21" s="266">
        <f t="shared" si="3"/>
        <v>2009</v>
      </c>
      <c r="L21" s="380"/>
      <c r="M21" s="380"/>
      <c r="N21" s="32" t="s">
        <v>31</v>
      </c>
      <c r="O21" s="32" t="s">
        <v>38</v>
      </c>
      <c r="P21" s="278"/>
      <c r="Q21" s="233">
        <v>9907043</v>
      </c>
      <c r="R21" s="75">
        <v>2265</v>
      </c>
      <c r="S21" s="75">
        <v>0</v>
      </c>
      <c r="T21" s="75">
        <v>2265</v>
      </c>
      <c r="U21" s="200"/>
      <c r="V21" s="287">
        <f t="shared" ca="1" si="4"/>
        <v>10</v>
      </c>
      <c r="W21" s="75">
        <f t="shared" ca="1" si="5"/>
        <v>0</v>
      </c>
      <c r="X21" s="200">
        <f t="shared" ca="1" si="6"/>
        <v>2265</v>
      </c>
      <c r="Y21" s="1">
        <v>0.5</v>
      </c>
      <c r="Z21" s="1"/>
      <c r="AA21" s="219"/>
      <c r="AB21" s="302"/>
      <c r="AC21" s="302"/>
      <c r="AD21" s="302"/>
      <c r="AE21" s="302"/>
      <c r="AF21">
        <f t="shared" si="0"/>
        <v>0</v>
      </c>
    </row>
    <row r="22" spans="1:32" hidden="1" x14ac:dyDescent="0.25">
      <c r="A22" s="322" t="s">
        <v>39</v>
      </c>
      <c r="B22" s="93" t="str">
        <f t="shared" si="2"/>
        <v>NO</v>
      </c>
      <c r="C22" s="93" t="s">
        <v>5503</v>
      </c>
      <c r="D22" s="2">
        <v>36362</v>
      </c>
      <c r="E22" s="2">
        <v>36404</v>
      </c>
      <c r="F22" s="2">
        <f t="shared" si="1"/>
        <v>40057</v>
      </c>
      <c r="G22" s="6"/>
      <c r="H22" s="7" t="s">
        <v>19</v>
      </c>
      <c r="I22" s="7" t="s">
        <v>15</v>
      </c>
      <c r="J22" s="103" t="s">
        <v>4784</v>
      </c>
      <c r="K22" s="266">
        <f t="shared" si="3"/>
        <v>2009</v>
      </c>
      <c r="L22" s="380"/>
      <c r="M22" s="380"/>
      <c r="N22" s="32" t="s">
        <v>31</v>
      </c>
      <c r="O22" s="32" t="s">
        <v>40</v>
      </c>
      <c r="P22" s="278"/>
      <c r="Q22" s="233">
        <v>9907052</v>
      </c>
      <c r="R22" s="75">
        <v>565</v>
      </c>
      <c r="S22" s="75">
        <v>0</v>
      </c>
      <c r="T22" s="75">
        <v>565</v>
      </c>
      <c r="U22" s="200"/>
      <c r="V22" s="287">
        <f t="shared" ca="1" si="4"/>
        <v>10</v>
      </c>
      <c r="W22" s="75">
        <f t="shared" ca="1" si="5"/>
        <v>0</v>
      </c>
      <c r="X22" s="200">
        <f t="shared" ca="1" si="6"/>
        <v>565</v>
      </c>
      <c r="Y22" s="1">
        <v>0.5</v>
      </c>
      <c r="Z22" s="1"/>
      <c r="AA22" s="219"/>
      <c r="AB22" s="302"/>
      <c r="AC22" s="302"/>
      <c r="AD22" s="302"/>
      <c r="AE22" s="302"/>
      <c r="AF22">
        <f t="shared" si="0"/>
        <v>0</v>
      </c>
    </row>
    <row r="23" spans="1:32" hidden="1" x14ac:dyDescent="0.25">
      <c r="A23" s="322" t="s">
        <v>41</v>
      </c>
      <c r="B23" s="93" t="str">
        <f t="shared" si="2"/>
        <v>NO</v>
      </c>
      <c r="C23" s="93" t="s">
        <v>5503</v>
      </c>
      <c r="D23" s="2">
        <v>36362</v>
      </c>
      <c r="E23" s="2">
        <v>36404</v>
      </c>
      <c r="F23" s="2">
        <f t="shared" si="1"/>
        <v>40057</v>
      </c>
      <c r="G23" s="6"/>
      <c r="H23" s="7" t="s">
        <v>19</v>
      </c>
      <c r="I23" s="7" t="s">
        <v>15</v>
      </c>
      <c r="J23" s="103" t="s">
        <v>4784</v>
      </c>
      <c r="K23" s="266">
        <f t="shared" si="3"/>
        <v>2009</v>
      </c>
      <c r="L23" s="380"/>
      <c r="M23" s="380"/>
      <c r="N23" s="32" t="s">
        <v>31</v>
      </c>
      <c r="O23" s="32" t="s">
        <v>42</v>
      </c>
      <c r="P23" s="278"/>
      <c r="Q23" s="233">
        <v>9907053</v>
      </c>
      <c r="R23" s="75">
        <v>162.5</v>
      </c>
      <c r="S23" s="75">
        <v>0</v>
      </c>
      <c r="T23" s="75">
        <v>162.5</v>
      </c>
      <c r="U23" s="200"/>
      <c r="V23" s="287">
        <f t="shared" ca="1" si="4"/>
        <v>10</v>
      </c>
      <c r="W23" s="75">
        <f t="shared" ca="1" si="5"/>
        <v>0</v>
      </c>
      <c r="X23" s="200">
        <f t="shared" ca="1" si="6"/>
        <v>162.5</v>
      </c>
      <c r="Y23" s="1">
        <v>0.5</v>
      </c>
      <c r="Z23" s="1"/>
      <c r="AA23" s="219"/>
      <c r="AB23" s="302"/>
      <c r="AC23" s="302"/>
      <c r="AD23" s="302"/>
      <c r="AE23" s="302"/>
      <c r="AF23">
        <f t="shared" si="0"/>
        <v>0</v>
      </c>
    </row>
    <row r="24" spans="1:32" hidden="1" x14ac:dyDescent="0.25">
      <c r="A24" s="322" t="s">
        <v>43</v>
      </c>
      <c r="B24" s="93" t="str">
        <f t="shared" si="2"/>
        <v>NO</v>
      </c>
      <c r="C24" s="93" t="s">
        <v>5503</v>
      </c>
      <c r="D24" s="2">
        <v>36362</v>
      </c>
      <c r="E24" s="2">
        <v>36404</v>
      </c>
      <c r="F24" s="2">
        <f t="shared" si="1"/>
        <v>40057</v>
      </c>
      <c r="G24" s="6"/>
      <c r="H24" s="7" t="s">
        <v>37</v>
      </c>
      <c r="I24" s="7" t="s">
        <v>15</v>
      </c>
      <c r="J24" s="103" t="s">
        <v>4784</v>
      </c>
      <c r="K24" s="266">
        <f t="shared" si="3"/>
        <v>2009</v>
      </c>
      <c r="L24" s="380"/>
      <c r="M24" s="380"/>
      <c r="N24" s="32" t="s">
        <v>31</v>
      </c>
      <c r="O24" s="32" t="s">
        <v>44</v>
      </c>
      <c r="P24" s="278"/>
      <c r="Q24" s="233">
        <v>9907055</v>
      </c>
      <c r="R24" s="75">
        <v>585</v>
      </c>
      <c r="S24" s="75">
        <v>0</v>
      </c>
      <c r="T24" s="75">
        <v>585</v>
      </c>
      <c r="U24" s="200"/>
      <c r="V24" s="287">
        <f t="shared" ca="1" si="4"/>
        <v>10</v>
      </c>
      <c r="W24" s="75">
        <f t="shared" ca="1" si="5"/>
        <v>0</v>
      </c>
      <c r="X24" s="200">
        <f t="shared" ca="1" si="6"/>
        <v>585</v>
      </c>
      <c r="Y24" s="1">
        <v>0.5</v>
      </c>
      <c r="Z24" s="1"/>
      <c r="AA24" s="219"/>
      <c r="AB24" s="302"/>
      <c r="AC24" s="302"/>
      <c r="AD24" s="302"/>
      <c r="AE24" s="302"/>
      <c r="AF24">
        <f t="shared" si="0"/>
        <v>0</v>
      </c>
    </row>
    <row r="25" spans="1:32" hidden="1" x14ac:dyDescent="0.25">
      <c r="A25" s="322" t="s">
        <v>45</v>
      </c>
      <c r="B25" s="93" t="str">
        <f t="shared" si="2"/>
        <v>NO</v>
      </c>
      <c r="C25" s="93" t="s">
        <v>5503</v>
      </c>
      <c r="D25" s="2">
        <v>36362</v>
      </c>
      <c r="E25" s="2">
        <v>36404</v>
      </c>
      <c r="F25" s="2">
        <f t="shared" si="1"/>
        <v>40057</v>
      </c>
      <c r="G25" s="6"/>
      <c r="H25" s="7" t="s">
        <v>37</v>
      </c>
      <c r="I25" s="7" t="s">
        <v>15</v>
      </c>
      <c r="J25" s="103" t="s">
        <v>4784</v>
      </c>
      <c r="K25" s="266">
        <f t="shared" si="3"/>
        <v>2009</v>
      </c>
      <c r="L25" s="380"/>
      <c r="M25" s="380"/>
      <c r="N25" s="32" t="s">
        <v>31</v>
      </c>
      <c r="O25" s="32" t="s">
        <v>46</v>
      </c>
      <c r="P25" s="278"/>
      <c r="Q25" s="233">
        <v>9907056</v>
      </c>
      <c r="R25" s="75">
        <v>204.5</v>
      </c>
      <c r="S25" s="75">
        <v>0</v>
      </c>
      <c r="T25" s="75">
        <v>204.5</v>
      </c>
      <c r="U25" s="200"/>
      <c r="V25" s="287">
        <f t="shared" ca="1" si="4"/>
        <v>10</v>
      </c>
      <c r="W25" s="75">
        <f t="shared" ca="1" si="5"/>
        <v>0</v>
      </c>
      <c r="X25" s="200">
        <f t="shared" ca="1" si="6"/>
        <v>204.5</v>
      </c>
      <c r="Y25" s="1">
        <v>0.5</v>
      </c>
      <c r="Z25" s="1"/>
      <c r="AA25" s="219"/>
      <c r="AB25" s="302"/>
      <c r="AC25" s="302"/>
      <c r="AD25" s="302"/>
      <c r="AE25" s="302"/>
      <c r="AF25">
        <f t="shared" si="0"/>
        <v>0</v>
      </c>
    </row>
    <row r="26" spans="1:32" hidden="1" x14ac:dyDescent="0.25">
      <c r="A26" s="322" t="s">
        <v>47</v>
      </c>
      <c r="B26" s="93" t="str">
        <f t="shared" si="2"/>
        <v>NO</v>
      </c>
      <c r="C26" s="93" t="s">
        <v>5503</v>
      </c>
      <c r="D26" s="2">
        <v>36362</v>
      </c>
      <c r="E26" s="2">
        <v>36404</v>
      </c>
      <c r="F26" s="2">
        <f t="shared" si="1"/>
        <v>40057</v>
      </c>
      <c r="G26" s="6"/>
      <c r="H26" s="7" t="s">
        <v>48</v>
      </c>
      <c r="I26" s="7" t="s">
        <v>15</v>
      </c>
      <c r="J26" s="103" t="s">
        <v>4783</v>
      </c>
      <c r="K26" s="266">
        <f t="shared" si="3"/>
        <v>2009</v>
      </c>
      <c r="L26" s="380"/>
      <c r="M26" s="380"/>
      <c r="N26" s="32" t="s">
        <v>49</v>
      </c>
      <c r="O26" s="32" t="s">
        <v>50</v>
      </c>
      <c r="P26" s="278"/>
      <c r="Q26" s="233">
        <v>9907061</v>
      </c>
      <c r="R26" s="75">
        <v>3004.5</v>
      </c>
      <c r="S26" s="75">
        <v>0</v>
      </c>
      <c r="T26" s="75">
        <v>3004.5</v>
      </c>
      <c r="U26" s="200"/>
      <c r="V26" s="287">
        <f t="shared" ca="1" si="4"/>
        <v>10</v>
      </c>
      <c r="W26" s="75">
        <f t="shared" ca="1" si="5"/>
        <v>0</v>
      </c>
      <c r="X26" s="200">
        <f t="shared" ca="1" si="6"/>
        <v>3004.5</v>
      </c>
      <c r="Y26" s="1">
        <v>0.5</v>
      </c>
      <c r="Z26" s="1"/>
      <c r="AA26" s="219"/>
      <c r="AB26" s="302"/>
      <c r="AC26" s="302"/>
      <c r="AD26" s="302"/>
      <c r="AE26" s="302"/>
      <c r="AF26">
        <f t="shared" si="0"/>
        <v>0</v>
      </c>
    </row>
    <row r="27" spans="1:32" hidden="1" x14ac:dyDescent="0.25">
      <c r="A27" s="322" t="s">
        <v>51</v>
      </c>
      <c r="B27" s="93" t="str">
        <f t="shared" si="2"/>
        <v>NO</v>
      </c>
      <c r="C27" s="93" t="s">
        <v>5503</v>
      </c>
      <c r="D27" s="2">
        <v>36362</v>
      </c>
      <c r="E27" s="2">
        <v>36404</v>
      </c>
      <c r="F27" s="2">
        <f t="shared" si="1"/>
        <v>40057</v>
      </c>
      <c r="G27" s="6"/>
      <c r="H27" s="7" t="s">
        <v>48</v>
      </c>
      <c r="I27" s="7" t="s">
        <v>15</v>
      </c>
      <c r="J27" s="103" t="s">
        <v>4783</v>
      </c>
      <c r="K27" s="266">
        <f t="shared" si="3"/>
        <v>2009</v>
      </c>
      <c r="L27" s="380"/>
      <c r="M27" s="380"/>
      <c r="N27" s="32" t="s">
        <v>49</v>
      </c>
      <c r="O27" s="32" t="s">
        <v>52</v>
      </c>
      <c r="P27" s="278" t="s">
        <v>53</v>
      </c>
      <c r="Q27" s="233">
        <v>9907062</v>
      </c>
      <c r="R27" s="75">
        <v>4457</v>
      </c>
      <c r="S27" s="75">
        <v>0</v>
      </c>
      <c r="T27" s="75">
        <v>4457</v>
      </c>
      <c r="U27" s="200"/>
      <c r="V27" s="287">
        <f t="shared" ca="1" si="4"/>
        <v>10</v>
      </c>
      <c r="W27" s="75">
        <f t="shared" ca="1" si="5"/>
        <v>0</v>
      </c>
      <c r="X27" s="200">
        <f t="shared" ca="1" si="6"/>
        <v>4457</v>
      </c>
      <c r="Y27" s="1">
        <v>0.5</v>
      </c>
      <c r="Z27" s="1"/>
      <c r="AA27" s="219"/>
      <c r="AB27" s="302"/>
      <c r="AC27" s="302"/>
      <c r="AD27" s="302"/>
      <c r="AE27" s="302"/>
      <c r="AF27">
        <f t="shared" si="0"/>
        <v>0</v>
      </c>
    </row>
    <row r="28" spans="1:32" hidden="1" x14ac:dyDescent="0.25">
      <c r="A28" s="322" t="s">
        <v>54</v>
      </c>
      <c r="B28" s="93" t="str">
        <f t="shared" si="2"/>
        <v>NO</v>
      </c>
      <c r="C28" s="93" t="s">
        <v>5503</v>
      </c>
      <c r="D28" s="2">
        <v>36362</v>
      </c>
      <c r="E28" s="2">
        <v>36404</v>
      </c>
      <c r="F28" s="2">
        <f t="shared" si="1"/>
        <v>40057</v>
      </c>
      <c r="G28" s="6"/>
      <c r="H28" s="7" t="s">
        <v>55</v>
      </c>
      <c r="I28" s="7" t="s">
        <v>15</v>
      </c>
      <c r="J28" s="103" t="s">
        <v>4783</v>
      </c>
      <c r="K28" s="266">
        <f t="shared" si="3"/>
        <v>2009</v>
      </c>
      <c r="L28" s="380"/>
      <c r="M28" s="380"/>
      <c r="N28" s="32" t="s">
        <v>56</v>
      </c>
      <c r="O28" s="32" t="s">
        <v>57</v>
      </c>
      <c r="P28" s="278"/>
      <c r="Q28" s="233">
        <v>9907072</v>
      </c>
      <c r="R28" s="75">
        <v>603.5</v>
      </c>
      <c r="S28" s="75">
        <v>0</v>
      </c>
      <c r="T28" s="75">
        <v>603.5</v>
      </c>
      <c r="U28" s="200"/>
      <c r="V28" s="287">
        <f t="shared" ca="1" si="4"/>
        <v>10</v>
      </c>
      <c r="W28" s="75">
        <f t="shared" ca="1" si="5"/>
        <v>0</v>
      </c>
      <c r="X28" s="200">
        <f t="shared" ca="1" si="6"/>
        <v>603.5</v>
      </c>
      <c r="Y28" s="1">
        <v>0.5</v>
      </c>
      <c r="Z28" s="1"/>
      <c r="AA28" s="219"/>
      <c r="AB28" s="302"/>
      <c r="AC28" s="302"/>
      <c r="AD28" s="302"/>
      <c r="AE28" s="302"/>
      <c r="AF28">
        <f t="shared" si="0"/>
        <v>0</v>
      </c>
    </row>
    <row r="29" spans="1:32" hidden="1" x14ac:dyDescent="0.25">
      <c r="A29" s="322" t="s">
        <v>58</v>
      </c>
      <c r="B29" s="93" t="str">
        <f t="shared" si="2"/>
        <v>NO</v>
      </c>
      <c r="C29" s="93" t="s">
        <v>5503</v>
      </c>
      <c r="D29" s="2">
        <v>36362</v>
      </c>
      <c r="E29" s="2">
        <v>36404</v>
      </c>
      <c r="F29" s="2">
        <f t="shared" si="1"/>
        <v>40057</v>
      </c>
      <c r="G29" s="6"/>
      <c r="H29" s="7" t="s">
        <v>55</v>
      </c>
      <c r="I29" s="7" t="s">
        <v>15</v>
      </c>
      <c r="J29" s="103" t="s">
        <v>4783</v>
      </c>
      <c r="K29" s="266">
        <f t="shared" si="3"/>
        <v>2009</v>
      </c>
      <c r="L29" s="380"/>
      <c r="M29" s="380"/>
      <c r="N29" s="32" t="s">
        <v>56</v>
      </c>
      <c r="O29" s="32" t="s">
        <v>59</v>
      </c>
      <c r="P29" s="278"/>
      <c r="Q29" s="233">
        <v>9907073</v>
      </c>
      <c r="R29" s="75">
        <v>911.5</v>
      </c>
      <c r="S29" s="75">
        <v>0</v>
      </c>
      <c r="T29" s="75">
        <v>911.5</v>
      </c>
      <c r="U29" s="200"/>
      <c r="V29" s="287">
        <f t="shared" ca="1" si="4"/>
        <v>10</v>
      </c>
      <c r="W29" s="75">
        <f t="shared" ca="1" si="5"/>
        <v>0</v>
      </c>
      <c r="X29" s="200">
        <f t="shared" ca="1" si="6"/>
        <v>911.5</v>
      </c>
      <c r="Y29" s="1">
        <v>0.5</v>
      </c>
      <c r="Z29" s="1"/>
      <c r="AA29" s="219"/>
      <c r="AB29" s="302"/>
      <c r="AC29" s="302"/>
      <c r="AD29" s="302"/>
      <c r="AE29" s="302"/>
      <c r="AF29">
        <f t="shared" si="0"/>
        <v>0</v>
      </c>
    </row>
    <row r="30" spans="1:32" hidden="1" x14ac:dyDescent="0.25">
      <c r="A30" s="322" t="s">
        <v>60</v>
      </c>
      <c r="B30" s="93" t="str">
        <f t="shared" si="2"/>
        <v>NO</v>
      </c>
      <c r="C30" s="93" t="s">
        <v>5503</v>
      </c>
      <c r="D30" s="2">
        <v>36362</v>
      </c>
      <c r="E30" s="2">
        <v>36404</v>
      </c>
      <c r="F30" s="2">
        <f t="shared" si="1"/>
        <v>40057</v>
      </c>
      <c r="G30" s="7"/>
      <c r="H30" s="7" t="s">
        <v>61</v>
      </c>
      <c r="I30" s="7" t="s">
        <v>15</v>
      </c>
      <c r="J30" s="103" t="s">
        <v>4783</v>
      </c>
      <c r="K30" s="266">
        <f t="shared" si="3"/>
        <v>2009</v>
      </c>
      <c r="L30" s="380"/>
      <c r="M30" s="380"/>
      <c r="N30" s="32" t="s">
        <v>49</v>
      </c>
      <c r="O30" s="32" t="s">
        <v>62</v>
      </c>
      <c r="P30" s="278"/>
      <c r="Q30" s="233">
        <v>9907081</v>
      </c>
      <c r="R30" s="75">
        <v>3774.5</v>
      </c>
      <c r="S30" s="75">
        <v>0</v>
      </c>
      <c r="T30" s="75">
        <v>3774.5</v>
      </c>
      <c r="U30" s="200"/>
      <c r="V30" s="287">
        <f t="shared" ca="1" si="4"/>
        <v>10</v>
      </c>
      <c r="W30" s="75">
        <f t="shared" ca="1" si="5"/>
        <v>0</v>
      </c>
      <c r="X30" s="200">
        <f t="shared" ca="1" si="6"/>
        <v>3774.5</v>
      </c>
      <c r="Y30" s="1">
        <v>0.5</v>
      </c>
      <c r="Z30" s="1"/>
      <c r="AA30" s="219"/>
      <c r="AB30" s="302"/>
      <c r="AC30" s="302"/>
      <c r="AD30" s="302"/>
      <c r="AE30" s="302"/>
      <c r="AF30">
        <f t="shared" si="0"/>
        <v>0</v>
      </c>
    </row>
    <row r="31" spans="1:32" hidden="1" x14ac:dyDescent="0.25">
      <c r="A31" s="322" t="s">
        <v>63</v>
      </c>
      <c r="B31" s="93" t="str">
        <f t="shared" si="2"/>
        <v>NO</v>
      </c>
      <c r="C31" s="93" t="s">
        <v>5503</v>
      </c>
      <c r="D31" s="2">
        <v>36362</v>
      </c>
      <c r="E31" s="2">
        <v>36404</v>
      </c>
      <c r="F31" s="2">
        <f t="shared" si="1"/>
        <v>40057</v>
      </c>
      <c r="G31" s="7"/>
      <c r="H31" s="7" t="s">
        <v>19</v>
      </c>
      <c r="I31" s="7" t="s">
        <v>15</v>
      </c>
      <c r="J31" s="103" t="s">
        <v>4784</v>
      </c>
      <c r="K31" s="266">
        <f t="shared" si="3"/>
        <v>2009</v>
      </c>
      <c r="L31" s="380"/>
      <c r="M31" s="380"/>
      <c r="N31" s="32" t="s">
        <v>31</v>
      </c>
      <c r="O31" s="32" t="s">
        <v>64</v>
      </c>
      <c r="P31" s="278" t="s">
        <v>65</v>
      </c>
      <c r="Q31" s="233">
        <v>9907035</v>
      </c>
      <c r="R31" s="75">
        <v>3898.5</v>
      </c>
      <c r="S31" s="75">
        <v>0</v>
      </c>
      <c r="T31" s="75">
        <v>3898.5</v>
      </c>
      <c r="U31" s="200"/>
      <c r="V31" s="287">
        <f t="shared" ca="1" si="4"/>
        <v>10</v>
      </c>
      <c r="W31" s="75">
        <f t="shared" ca="1" si="5"/>
        <v>0</v>
      </c>
      <c r="X31" s="200">
        <f t="shared" ca="1" si="6"/>
        <v>3898.5</v>
      </c>
      <c r="Y31" s="1">
        <v>0.5</v>
      </c>
      <c r="Z31" s="1"/>
      <c r="AA31" s="219"/>
      <c r="AB31" s="302"/>
      <c r="AC31" s="302"/>
      <c r="AD31" s="302"/>
      <c r="AE31" s="302"/>
      <c r="AF31">
        <f t="shared" si="0"/>
        <v>0</v>
      </c>
    </row>
    <row r="32" spans="1:32" hidden="1" x14ac:dyDescent="0.25">
      <c r="A32" s="322" t="s">
        <v>66</v>
      </c>
      <c r="B32" s="93" t="str">
        <f t="shared" si="2"/>
        <v>NO</v>
      </c>
      <c r="C32" s="93" t="s">
        <v>5503</v>
      </c>
      <c r="D32" s="2">
        <v>36362</v>
      </c>
      <c r="E32" s="2">
        <v>36404</v>
      </c>
      <c r="F32" s="2">
        <f t="shared" si="1"/>
        <v>40057</v>
      </c>
      <c r="G32" s="7"/>
      <c r="H32" s="7" t="s">
        <v>19</v>
      </c>
      <c r="I32" s="7" t="s">
        <v>15</v>
      </c>
      <c r="J32" s="103" t="s">
        <v>4784</v>
      </c>
      <c r="K32" s="266">
        <f t="shared" si="3"/>
        <v>2009</v>
      </c>
      <c r="L32" s="380"/>
      <c r="M32" s="380"/>
      <c r="N32" s="32" t="s">
        <v>31</v>
      </c>
      <c r="O32" s="32" t="s">
        <v>67</v>
      </c>
      <c r="P32" s="278" t="s">
        <v>68</v>
      </c>
      <c r="Q32" s="233">
        <v>9907036</v>
      </c>
      <c r="R32" s="75">
        <v>3871.5</v>
      </c>
      <c r="S32" s="75">
        <v>0</v>
      </c>
      <c r="T32" s="75">
        <v>3871.5</v>
      </c>
      <c r="U32" s="200"/>
      <c r="V32" s="287">
        <f t="shared" ca="1" si="4"/>
        <v>10</v>
      </c>
      <c r="W32" s="75">
        <f t="shared" ca="1" si="5"/>
        <v>0</v>
      </c>
      <c r="X32" s="200">
        <f t="shared" ca="1" si="6"/>
        <v>3871.5</v>
      </c>
      <c r="Y32" s="1">
        <v>0.5</v>
      </c>
      <c r="Z32" s="1"/>
      <c r="AA32" s="219"/>
      <c r="AB32" s="302"/>
      <c r="AC32" s="302"/>
      <c r="AD32" s="302"/>
      <c r="AE32" s="302"/>
      <c r="AF32">
        <f t="shared" si="0"/>
        <v>0</v>
      </c>
    </row>
    <row r="33" spans="1:32" ht="39" hidden="1" x14ac:dyDescent="0.25">
      <c r="A33" s="322" t="s">
        <v>69</v>
      </c>
      <c r="B33" s="93" t="str">
        <f t="shared" si="2"/>
        <v>NO</v>
      </c>
      <c r="C33" s="93" t="s">
        <v>5503</v>
      </c>
      <c r="D33" s="2">
        <v>36426</v>
      </c>
      <c r="E33" s="2">
        <v>36465</v>
      </c>
      <c r="F33" s="2">
        <f t="shared" si="1"/>
        <v>40118</v>
      </c>
      <c r="G33" s="6"/>
      <c r="H33" s="7" t="s">
        <v>71</v>
      </c>
      <c r="I33" s="7" t="s">
        <v>72</v>
      </c>
      <c r="J33" s="103" t="s">
        <v>4785</v>
      </c>
      <c r="K33" s="266">
        <f t="shared" si="3"/>
        <v>2009</v>
      </c>
      <c r="L33" s="382"/>
      <c r="M33" s="382"/>
      <c r="N33" s="32" t="s">
        <v>73</v>
      </c>
      <c r="O33" s="32" t="s">
        <v>74</v>
      </c>
      <c r="P33" s="278" t="s">
        <v>75</v>
      </c>
      <c r="Q33" s="233" t="s">
        <v>70</v>
      </c>
      <c r="R33" s="75">
        <v>215</v>
      </c>
      <c r="S33" s="75">
        <v>1720</v>
      </c>
      <c r="T33" s="75">
        <v>1935</v>
      </c>
      <c r="U33" s="200"/>
      <c r="V33" s="287">
        <f t="shared" ca="1" si="4"/>
        <v>10</v>
      </c>
      <c r="W33" s="75">
        <f t="shared" ca="1" si="5"/>
        <v>0</v>
      </c>
      <c r="X33" s="200">
        <f t="shared" ca="1" si="6"/>
        <v>1935</v>
      </c>
      <c r="Y33" s="1">
        <v>0.5</v>
      </c>
      <c r="Z33" s="1"/>
      <c r="AA33" s="219"/>
      <c r="AB33" s="302"/>
      <c r="AC33" s="302"/>
      <c r="AD33" s="302"/>
      <c r="AE33" s="302"/>
      <c r="AF33">
        <f t="shared" si="0"/>
        <v>0</v>
      </c>
    </row>
    <row r="34" spans="1:32" hidden="1" x14ac:dyDescent="0.25">
      <c r="A34" s="322" t="s">
        <v>76</v>
      </c>
      <c r="B34" s="93" t="str">
        <f t="shared" si="2"/>
        <v>NO</v>
      </c>
      <c r="C34" s="93" t="s">
        <v>5503</v>
      </c>
      <c r="D34" s="2">
        <v>36426</v>
      </c>
      <c r="E34" s="2">
        <v>36465</v>
      </c>
      <c r="F34" s="2">
        <f t="shared" si="1"/>
        <v>40118</v>
      </c>
      <c r="G34" s="6"/>
      <c r="H34" s="7" t="s">
        <v>78</v>
      </c>
      <c r="I34" s="7" t="s">
        <v>79</v>
      </c>
      <c r="J34" s="103" t="s">
        <v>4783</v>
      </c>
      <c r="K34" s="266">
        <f t="shared" si="3"/>
        <v>2009</v>
      </c>
      <c r="L34" s="380"/>
      <c r="M34" s="380"/>
      <c r="N34" s="32" t="s">
        <v>80</v>
      </c>
      <c r="O34" s="268" t="s">
        <v>81</v>
      </c>
      <c r="P34" s="278" t="s">
        <v>82</v>
      </c>
      <c r="Q34" s="233" t="s">
        <v>77</v>
      </c>
      <c r="R34" s="75">
        <v>222</v>
      </c>
      <c r="S34" s="75">
        <v>15666</v>
      </c>
      <c r="T34" s="75">
        <v>15888</v>
      </c>
      <c r="U34" s="200"/>
      <c r="V34" s="287">
        <f t="shared" ca="1" si="4"/>
        <v>10</v>
      </c>
      <c r="W34" s="75">
        <f t="shared" ca="1" si="5"/>
        <v>0</v>
      </c>
      <c r="X34" s="200">
        <f t="shared" ca="1" si="6"/>
        <v>15888</v>
      </c>
      <c r="Y34" s="1">
        <v>0.5</v>
      </c>
      <c r="Z34" s="1"/>
      <c r="AA34" s="219"/>
      <c r="AB34" s="302"/>
      <c r="AC34" s="302"/>
      <c r="AD34" s="302"/>
      <c r="AE34" s="302"/>
      <c r="AF34">
        <f t="shared" si="0"/>
        <v>0</v>
      </c>
    </row>
    <row r="35" spans="1:32" hidden="1" x14ac:dyDescent="0.25">
      <c r="A35" s="322" t="s">
        <v>83</v>
      </c>
      <c r="B35" s="93" t="str">
        <f t="shared" si="2"/>
        <v>NO</v>
      </c>
      <c r="C35" s="93" t="s">
        <v>5503</v>
      </c>
      <c r="D35" s="2">
        <v>36426</v>
      </c>
      <c r="E35" s="2">
        <v>36465</v>
      </c>
      <c r="F35" s="2">
        <f t="shared" si="1"/>
        <v>40118</v>
      </c>
      <c r="G35" s="6"/>
      <c r="H35" s="7" t="s">
        <v>85</v>
      </c>
      <c r="I35" s="7" t="s">
        <v>86</v>
      </c>
      <c r="J35" s="103" t="s">
        <v>4783</v>
      </c>
      <c r="K35" s="266">
        <f t="shared" si="3"/>
        <v>2009</v>
      </c>
      <c r="L35" s="408"/>
      <c r="M35" s="408"/>
      <c r="N35" s="32" t="s">
        <v>87</v>
      </c>
      <c r="O35" s="32" t="s">
        <v>88</v>
      </c>
      <c r="P35" s="278" t="s">
        <v>89</v>
      </c>
      <c r="Q35" s="233" t="s">
        <v>84</v>
      </c>
      <c r="R35" s="75">
        <v>638.5</v>
      </c>
      <c r="S35" s="75">
        <v>11753</v>
      </c>
      <c r="T35" s="75">
        <v>12391.5</v>
      </c>
      <c r="U35" s="200"/>
      <c r="V35" s="287">
        <f t="shared" ca="1" si="4"/>
        <v>10</v>
      </c>
      <c r="W35" s="75">
        <f t="shared" ca="1" si="5"/>
        <v>0</v>
      </c>
      <c r="X35" s="200">
        <f t="shared" ca="1" si="6"/>
        <v>12391.5</v>
      </c>
      <c r="Y35" s="1">
        <v>0.5</v>
      </c>
      <c r="Z35" s="1"/>
      <c r="AA35" s="219"/>
      <c r="AB35" s="302"/>
      <c r="AC35" s="302"/>
      <c r="AD35" s="302"/>
      <c r="AE35" s="302"/>
      <c r="AF35">
        <f t="shared" si="0"/>
        <v>0</v>
      </c>
    </row>
    <row r="36" spans="1:32" hidden="1" x14ac:dyDescent="0.25">
      <c r="A36" s="323"/>
      <c r="D36" s="2"/>
      <c r="E36" s="2"/>
      <c r="F36" s="2"/>
      <c r="G36" s="6"/>
      <c r="H36" s="7"/>
      <c r="I36" s="7"/>
      <c r="J36" s="103"/>
      <c r="K36" s="103"/>
      <c r="L36" s="380"/>
      <c r="M36" s="380"/>
      <c r="N36" s="32"/>
      <c r="O36" s="32"/>
      <c r="P36" s="278"/>
      <c r="Q36" s="233"/>
      <c r="R36" s="75"/>
      <c r="S36" s="75"/>
      <c r="T36" s="75"/>
      <c r="U36" s="200"/>
      <c r="V36" s="75"/>
      <c r="W36" s="75"/>
      <c r="X36" s="200"/>
      <c r="Y36" s="1"/>
      <c r="Z36" s="1"/>
      <c r="AA36" s="219"/>
      <c r="AB36" s="302"/>
      <c r="AC36" s="302"/>
      <c r="AD36" s="302"/>
      <c r="AE36" s="302"/>
      <c r="AF36">
        <f t="shared" si="0"/>
        <v>0</v>
      </c>
    </row>
    <row r="37" spans="1:32" hidden="1" x14ac:dyDescent="0.25">
      <c r="A37" s="322" t="s">
        <v>90</v>
      </c>
      <c r="B37" s="93" t="str">
        <f t="shared" si="2"/>
        <v>NO</v>
      </c>
      <c r="C37" s="93" t="s">
        <v>5503</v>
      </c>
      <c r="D37" s="2">
        <v>36510</v>
      </c>
      <c r="E37" s="2">
        <v>36557</v>
      </c>
      <c r="F37" s="2">
        <f t="shared" si="1"/>
        <v>40210</v>
      </c>
      <c r="G37" s="6">
        <v>199.75</v>
      </c>
      <c r="H37" s="7" t="s">
        <v>92</v>
      </c>
      <c r="I37" s="7" t="s">
        <v>79</v>
      </c>
      <c r="J37" s="103" t="s">
        <v>4778</v>
      </c>
      <c r="K37" s="266">
        <f>YEAR(F37)</f>
        <v>2010</v>
      </c>
      <c r="L37" s="380"/>
      <c r="M37" s="380"/>
      <c r="N37" s="32" t="s">
        <v>80</v>
      </c>
      <c r="O37" s="32" t="s">
        <v>93</v>
      </c>
      <c r="P37" s="278" t="s">
        <v>94</v>
      </c>
      <c r="Q37" s="233" t="s">
        <v>91</v>
      </c>
      <c r="R37" s="75">
        <v>775</v>
      </c>
      <c r="S37" s="75">
        <v>54600</v>
      </c>
      <c r="T37" s="75">
        <v>55375</v>
      </c>
      <c r="U37" s="200">
        <v>400</v>
      </c>
      <c r="V37" s="287">
        <f ca="1">IF(YEAR($W$3)-YEAR(E37)&gt;9,10,IF(MONTH($W$3)&lt;MONTH(E37),YEAR($W$3)-YEAR(E37),YEAR($W$3)-YEAR(E37)+1))</f>
        <v>10</v>
      </c>
      <c r="W37" s="75">
        <f t="shared" ref="W37:W41" ca="1" si="7">IF(V37&lt;6, ROUNDUP(G37,0)*$W$6*V37, ROUNDUP(G37,0)*($W$6*5 + (V37-5)*$W$7))</f>
        <v>3500</v>
      </c>
      <c r="X37" s="200">
        <f t="shared" ref="X37:X41" ca="1" si="8">IF(V37=0,T37,((T37-ROUNDUP(G37,0)*1.5)+W37))</f>
        <v>58575</v>
      </c>
      <c r="Y37" s="1">
        <v>0.5</v>
      </c>
      <c r="Z37" s="1"/>
      <c r="AA37" s="219"/>
      <c r="AB37" s="302"/>
      <c r="AC37" s="302"/>
      <c r="AD37" s="302"/>
      <c r="AE37" s="302"/>
      <c r="AF37">
        <f t="shared" si="0"/>
        <v>0</v>
      </c>
    </row>
    <row r="38" spans="1:32" ht="26.25" hidden="1" x14ac:dyDescent="0.25">
      <c r="A38" s="322" t="s">
        <v>95</v>
      </c>
      <c r="B38" s="93" t="str">
        <f t="shared" si="2"/>
        <v>NO</v>
      </c>
      <c r="C38" s="93" t="s">
        <v>5503</v>
      </c>
      <c r="D38" s="2">
        <v>36510</v>
      </c>
      <c r="E38" s="2">
        <v>36557</v>
      </c>
      <c r="F38" s="2">
        <f t="shared" si="1"/>
        <v>40210</v>
      </c>
      <c r="G38" s="6">
        <v>433.54</v>
      </c>
      <c r="H38" s="7" t="s">
        <v>97</v>
      </c>
      <c r="I38" s="7" t="s">
        <v>86</v>
      </c>
      <c r="J38" s="103" t="s">
        <v>4786</v>
      </c>
      <c r="K38" s="266">
        <f>YEAR(F38)</f>
        <v>2010</v>
      </c>
      <c r="L38" s="408"/>
      <c r="M38" s="408"/>
      <c r="N38" s="32" t="s">
        <v>80</v>
      </c>
      <c r="O38" s="32" t="s">
        <v>98</v>
      </c>
      <c r="P38" s="278" t="s">
        <v>99</v>
      </c>
      <c r="Q38" s="233" t="s">
        <v>96</v>
      </c>
      <c r="R38" s="75">
        <v>1594</v>
      </c>
      <c r="S38" s="75">
        <v>42532</v>
      </c>
      <c r="T38" s="75">
        <v>44126</v>
      </c>
      <c r="U38" s="200">
        <v>868</v>
      </c>
      <c r="V38" s="287">
        <f ca="1">IF(YEAR($W$3)-YEAR(E38)&gt;9,10,IF(MONTH($W$3)&lt;MONTH(E38),YEAR($W$3)-YEAR(E38),YEAR($W$3)-YEAR(E38)+1))</f>
        <v>10</v>
      </c>
      <c r="W38" s="75">
        <f t="shared" ca="1" si="7"/>
        <v>7595</v>
      </c>
      <c r="X38" s="200">
        <f t="shared" ca="1" si="8"/>
        <v>51070</v>
      </c>
      <c r="Y38" s="1">
        <v>0.5</v>
      </c>
      <c r="Z38" s="1"/>
      <c r="AA38" s="219"/>
      <c r="AB38" s="302"/>
      <c r="AC38" s="302"/>
      <c r="AD38" s="302"/>
      <c r="AE38" s="302"/>
      <c r="AF38">
        <f t="shared" si="0"/>
        <v>0</v>
      </c>
    </row>
    <row r="39" spans="1:32" ht="51.75" hidden="1" x14ac:dyDescent="0.25">
      <c r="A39" s="322" t="s">
        <v>100</v>
      </c>
      <c r="B39" s="93" t="str">
        <f t="shared" si="2"/>
        <v>NO</v>
      </c>
      <c r="C39" s="93" t="s">
        <v>5503</v>
      </c>
      <c r="D39" s="2">
        <v>36510</v>
      </c>
      <c r="E39" s="2">
        <v>36557</v>
      </c>
      <c r="F39" s="2">
        <f t="shared" si="1"/>
        <v>40210</v>
      </c>
      <c r="G39" s="104"/>
      <c r="H39" s="7" t="s">
        <v>102</v>
      </c>
      <c r="I39" s="7" t="s">
        <v>86</v>
      </c>
      <c r="J39" s="105" t="s">
        <v>4787</v>
      </c>
      <c r="K39" s="266">
        <f>YEAR(F39)</f>
        <v>2010</v>
      </c>
      <c r="L39" s="409"/>
      <c r="M39" s="409"/>
      <c r="N39" s="32" t="s">
        <v>103</v>
      </c>
      <c r="O39" s="32" t="s">
        <v>104</v>
      </c>
      <c r="P39" s="278" t="s">
        <v>105</v>
      </c>
      <c r="Q39" s="233" t="s">
        <v>101</v>
      </c>
      <c r="R39" s="75">
        <v>1664</v>
      </c>
      <c r="S39" s="75">
        <v>6356</v>
      </c>
      <c r="T39" s="75">
        <v>8020</v>
      </c>
      <c r="U39" s="200"/>
      <c r="V39" s="287">
        <f ca="1">IF(YEAR($W$3)-YEAR(E39)&gt;9,10,IF(MONTH($W$3)&lt;MONTH(E39),YEAR($W$3)-YEAR(E39),YEAR($W$3)-YEAR(E39)+1))</f>
        <v>10</v>
      </c>
      <c r="W39" s="75">
        <f t="shared" ca="1" si="7"/>
        <v>0</v>
      </c>
      <c r="X39" s="200">
        <f t="shared" ca="1" si="8"/>
        <v>8020</v>
      </c>
      <c r="Y39" s="1">
        <v>0.5</v>
      </c>
      <c r="Z39" s="1"/>
      <c r="AA39" s="219"/>
      <c r="AB39" s="302"/>
      <c r="AC39" s="302"/>
      <c r="AD39" s="302"/>
      <c r="AE39" s="302"/>
      <c r="AF39">
        <f t="shared" si="0"/>
        <v>0</v>
      </c>
    </row>
    <row r="40" spans="1:32" hidden="1" x14ac:dyDescent="0.25">
      <c r="A40" s="323"/>
      <c r="D40" s="2">
        <v>36525</v>
      </c>
      <c r="E40" s="2">
        <v>36525</v>
      </c>
      <c r="F40" s="2">
        <f t="shared" si="1"/>
        <v>40178</v>
      </c>
      <c r="G40" s="12"/>
      <c r="H40" s="12"/>
      <c r="I40" s="12"/>
      <c r="J40" s="105" t="s">
        <v>4788</v>
      </c>
      <c r="K40" s="105"/>
      <c r="L40" s="381"/>
      <c r="M40" s="381"/>
      <c r="N40" s="268"/>
      <c r="O40" s="269"/>
      <c r="P40" s="278"/>
      <c r="Q40" s="234"/>
      <c r="S40" s="85">
        <v>577.51</v>
      </c>
      <c r="T40" s="86">
        <v>577.51</v>
      </c>
      <c r="U40" s="211"/>
      <c r="V40" s="287">
        <f ca="1">IF(YEAR($W$3)-YEAR(E40)&gt;9,10,IF(MONTH($W$3)&lt;MONTH(E40),YEAR($W$3)-YEAR(E40),YEAR($W$3)-YEAR(E40)+1))</f>
        <v>10</v>
      </c>
      <c r="W40" s="75">
        <f t="shared" ca="1" si="7"/>
        <v>0</v>
      </c>
      <c r="X40" s="200">
        <f t="shared" ca="1" si="8"/>
        <v>577.51</v>
      </c>
      <c r="Y40" s="1"/>
      <c r="Z40" s="1"/>
      <c r="AA40" s="219"/>
      <c r="AB40" s="307"/>
      <c r="AC40" s="307"/>
      <c r="AD40" s="307"/>
      <c r="AE40" s="307"/>
      <c r="AF40">
        <f t="shared" si="0"/>
        <v>0</v>
      </c>
    </row>
    <row r="41" spans="1:32" hidden="1" x14ac:dyDescent="0.25">
      <c r="A41" s="323"/>
      <c r="D41" s="2">
        <v>36525</v>
      </c>
      <c r="E41" s="2">
        <v>36525</v>
      </c>
      <c r="F41" s="2">
        <f t="shared" si="1"/>
        <v>40178</v>
      </c>
      <c r="G41" s="12"/>
      <c r="H41" s="12"/>
      <c r="I41" s="12"/>
      <c r="J41" s="105" t="s">
        <v>4789</v>
      </c>
      <c r="K41" s="105"/>
      <c r="L41" s="381"/>
      <c r="M41" s="381"/>
      <c r="N41" s="268"/>
      <c r="O41" s="269"/>
      <c r="P41" s="278"/>
      <c r="Q41" s="234"/>
      <c r="S41" s="86">
        <v>300</v>
      </c>
      <c r="T41" s="86">
        <v>300</v>
      </c>
      <c r="U41" s="211"/>
      <c r="V41" s="287">
        <f ca="1">IF(YEAR($W$3)-YEAR(E41)&gt;9,10,IF(MONTH($W$3)&lt;MONTH(E41),YEAR($W$3)-YEAR(E41),YEAR($W$3)-YEAR(E41)+1))</f>
        <v>10</v>
      </c>
      <c r="W41" s="75">
        <f t="shared" ca="1" si="7"/>
        <v>0</v>
      </c>
      <c r="X41" s="200">
        <f t="shared" ca="1" si="8"/>
        <v>300</v>
      </c>
      <c r="Y41" s="1"/>
      <c r="Z41" s="1"/>
      <c r="AA41" s="219"/>
      <c r="AB41" s="307"/>
      <c r="AC41" s="307"/>
      <c r="AD41" s="307"/>
      <c r="AE41" s="307"/>
      <c r="AF41">
        <f t="shared" si="0"/>
        <v>0</v>
      </c>
    </row>
    <row r="42" spans="1:32" hidden="1" x14ac:dyDescent="0.25">
      <c r="A42" s="323"/>
      <c r="D42" s="2"/>
      <c r="E42" s="2"/>
      <c r="F42" s="2"/>
      <c r="G42" s="12"/>
      <c r="H42" s="12"/>
      <c r="I42" s="12"/>
      <c r="J42" s="105"/>
      <c r="K42" s="105"/>
      <c r="L42" s="381"/>
      <c r="M42" s="381"/>
      <c r="N42" s="268"/>
      <c r="O42" s="269"/>
      <c r="P42" s="278"/>
      <c r="Q42" s="234"/>
      <c r="S42" s="86"/>
      <c r="T42" s="86"/>
      <c r="U42" s="211"/>
      <c r="V42" s="248"/>
      <c r="W42" s="248"/>
      <c r="X42" s="211"/>
      <c r="Y42" s="1"/>
      <c r="Z42" s="1"/>
      <c r="AA42" s="219"/>
      <c r="AB42" s="307"/>
      <c r="AC42" s="307"/>
      <c r="AD42" s="307"/>
      <c r="AE42" s="307"/>
      <c r="AF42">
        <f t="shared" si="0"/>
        <v>0</v>
      </c>
    </row>
    <row r="43" spans="1:32" hidden="1" x14ac:dyDescent="0.25">
      <c r="A43" s="322" t="s">
        <v>107</v>
      </c>
      <c r="B43" s="93" t="str">
        <f t="shared" si="2"/>
        <v>NO</v>
      </c>
      <c r="C43" s="93" t="s">
        <v>5503</v>
      </c>
      <c r="D43" s="2">
        <v>36608</v>
      </c>
      <c r="F43" s="2"/>
      <c r="G43" s="3"/>
      <c r="H43" s="3"/>
      <c r="I43" s="7" t="s">
        <v>86</v>
      </c>
      <c r="J43" s="185" t="s">
        <v>4790</v>
      </c>
      <c r="K43" s="266"/>
      <c r="L43" s="410"/>
      <c r="M43" s="410"/>
      <c r="N43" s="32"/>
      <c r="O43" s="32"/>
      <c r="P43" s="278"/>
      <c r="Q43" s="233"/>
      <c r="R43" s="75">
        <v>298.5</v>
      </c>
      <c r="S43" s="75">
        <v>-223.5</v>
      </c>
      <c r="T43" s="75">
        <v>75</v>
      </c>
      <c r="U43" s="200"/>
      <c r="V43" s="75"/>
      <c r="W43" s="75"/>
      <c r="X43" s="200"/>
      <c r="Y43" s="1"/>
      <c r="Z43" s="1"/>
      <c r="AA43" s="219"/>
      <c r="AB43" s="302"/>
      <c r="AC43" s="302"/>
      <c r="AD43" s="302"/>
      <c r="AE43" s="302"/>
      <c r="AF43">
        <f t="shared" si="0"/>
        <v>0</v>
      </c>
    </row>
    <row r="44" spans="1:32" hidden="1" x14ac:dyDescent="0.25">
      <c r="A44" s="322" t="s">
        <v>108</v>
      </c>
      <c r="B44" s="93" t="str">
        <f t="shared" si="2"/>
        <v>NO</v>
      </c>
      <c r="C44" s="93" t="s">
        <v>5503</v>
      </c>
      <c r="D44" s="2">
        <v>36608</v>
      </c>
      <c r="F44" s="2"/>
      <c r="G44" s="3"/>
      <c r="H44" s="3"/>
      <c r="I44" s="7" t="s">
        <v>86</v>
      </c>
      <c r="J44" s="185" t="s">
        <v>4791</v>
      </c>
      <c r="K44" s="266"/>
      <c r="L44" s="410"/>
      <c r="M44" s="410"/>
      <c r="N44" s="32"/>
      <c r="O44" s="32"/>
      <c r="P44" s="278"/>
      <c r="Q44" s="233"/>
      <c r="R44" s="75">
        <v>745.5</v>
      </c>
      <c r="S44" s="75">
        <v>-670.5</v>
      </c>
      <c r="T44" s="75">
        <v>75</v>
      </c>
      <c r="U44" s="200"/>
      <c r="V44" s="75"/>
      <c r="W44" s="75"/>
      <c r="X44" s="200"/>
      <c r="Y44" s="1"/>
      <c r="Z44" s="1"/>
      <c r="AA44" s="219"/>
      <c r="AB44" s="302"/>
      <c r="AC44" s="302"/>
      <c r="AD44" s="302"/>
      <c r="AE44" s="302"/>
      <c r="AF44">
        <f t="shared" si="0"/>
        <v>0</v>
      </c>
    </row>
    <row r="45" spans="1:32" hidden="1" x14ac:dyDescent="0.25">
      <c r="A45" s="322" t="s">
        <v>109</v>
      </c>
      <c r="B45" s="93" t="str">
        <f t="shared" si="2"/>
        <v>NO</v>
      </c>
      <c r="C45" s="93" t="s">
        <v>5503</v>
      </c>
      <c r="D45" s="2">
        <v>36608</v>
      </c>
      <c r="E45" s="2">
        <v>36617</v>
      </c>
      <c r="F45" s="2">
        <f t="shared" si="1"/>
        <v>40269</v>
      </c>
      <c r="G45" s="6">
        <v>376.8</v>
      </c>
      <c r="H45" s="9" t="s">
        <v>111</v>
      </c>
      <c r="I45" s="9" t="s">
        <v>86</v>
      </c>
      <c r="J45" s="103" t="s">
        <v>4778</v>
      </c>
      <c r="K45" s="266">
        <f>YEAR(F45)</f>
        <v>2010</v>
      </c>
      <c r="L45" s="408"/>
      <c r="M45" s="408"/>
      <c r="N45" s="268" t="s">
        <v>112</v>
      </c>
      <c r="O45" s="32" t="s">
        <v>113</v>
      </c>
      <c r="P45" s="278" t="s">
        <v>114</v>
      </c>
      <c r="Q45" s="233" t="s">
        <v>110</v>
      </c>
      <c r="R45" s="75">
        <v>640.5</v>
      </c>
      <c r="S45" s="75">
        <v>0</v>
      </c>
      <c r="T45" s="75">
        <v>640.5</v>
      </c>
      <c r="U45" s="200">
        <v>754</v>
      </c>
      <c r="V45" s="287">
        <f ca="1">IF(YEAR($W$3)-YEAR(E45)&gt;9,10,IF(MONTH($W$3)&lt;MONTH(E45),YEAR($W$3)-YEAR(E45),YEAR($W$3)-YEAR(E45)+1))</f>
        <v>10</v>
      </c>
      <c r="W45" s="75">
        <f ca="1">IF(V45&lt;6, ROUNDUP(G45,0)*$W$6*V45, ROUNDUP(G45,0)*($W$6*5 + (V45-5)*$W$7))</f>
        <v>6597.5</v>
      </c>
      <c r="X45" s="200">
        <f ca="1">IF(V45=0,T45,((T45-ROUNDUP(G45,0)*1.5)+W45))</f>
        <v>6672.5</v>
      </c>
      <c r="Y45" s="1">
        <v>0.5</v>
      </c>
      <c r="Z45" s="1"/>
      <c r="AA45" s="219"/>
      <c r="AB45" s="302"/>
      <c r="AC45" s="302"/>
      <c r="AD45" s="302"/>
      <c r="AE45" s="302"/>
      <c r="AF45">
        <f t="shared" si="0"/>
        <v>0</v>
      </c>
    </row>
    <row r="46" spans="1:32" hidden="1" x14ac:dyDescent="0.25">
      <c r="A46" s="322" t="s">
        <v>115</v>
      </c>
      <c r="B46" s="93" t="str">
        <f t="shared" si="2"/>
        <v>NO</v>
      </c>
      <c r="C46" s="93" t="s">
        <v>5503</v>
      </c>
      <c r="D46" s="2">
        <v>36608</v>
      </c>
      <c r="F46" s="2"/>
      <c r="G46" s="3"/>
      <c r="H46" s="3"/>
      <c r="I46" s="7" t="s">
        <v>86</v>
      </c>
      <c r="J46" s="185" t="s">
        <v>4799</v>
      </c>
      <c r="K46" s="266"/>
      <c r="L46" s="410"/>
      <c r="M46" s="410"/>
      <c r="N46" s="32"/>
      <c r="O46" s="32" t="s">
        <v>106</v>
      </c>
      <c r="P46" s="278" t="s">
        <v>106</v>
      </c>
      <c r="Q46" s="233"/>
      <c r="R46" s="75">
        <v>586.5</v>
      </c>
      <c r="S46" s="75">
        <v>-511.5</v>
      </c>
      <c r="T46" s="75">
        <v>75</v>
      </c>
      <c r="U46" s="200"/>
      <c r="V46" s="75"/>
      <c r="W46" s="75"/>
      <c r="X46" s="200"/>
      <c r="Y46" s="1"/>
      <c r="Z46" s="1"/>
      <c r="AA46" s="219"/>
      <c r="AB46" s="302"/>
      <c r="AC46" s="302"/>
      <c r="AD46" s="302"/>
      <c r="AE46" s="302"/>
      <c r="AF46">
        <f t="shared" si="0"/>
        <v>0</v>
      </c>
    </row>
    <row r="47" spans="1:32" hidden="1" x14ac:dyDescent="0.25">
      <c r="A47" s="322" t="s">
        <v>116</v>
      </c>
      <c r="B47" s="93" t="str">
        <f t="shared" si="2"/>
        <v>NO</v>
      </c>
      <c r="C47" s="93" t="s">
        <v>5503</v>
      </c>
      <c r="D47" s="2">
        <v>36608</v>
      </c>
      <c r="E47" s="2">
        <v>36617</v>
      </c>
      <c r="F47" s="2">
        <f t="shared" si="1"/>
        <v>40269</v>
      </c>
      <c r="G47" s="6">
        <v>152.11000000000001</v>
      </c>
      <c r="H47" s="9" t="s">
        <v>111</v>
      </c>
      <c r="I47" s="9" t="s">
        <v>86</v>
      </c>
      <c r="J47" s="103" t="s">
        <v>4778</v>
      </c>
      <c r="K47" s="266">
        <f>YEAR(F47)</f>
        <v>2010</v>
      </c>
      <c r="L47" s="408"/>
      <c r="M47" s="408"/>
      <c r="N47" s="268" t="s">
        <v>112</v>
      </c>
      <c r="O47" s="32" t="s">
        <v>113</v>
      </c>
      <c r="P47" s="278" t="s">
        <v>118</v>
      </c>
      <c r="Q47" s="233" t="s">
        <v>117</v>
      </c>
      <c r="R47" s="75">
        <v>304.5</v>
      </c>
      <c r="S47" s="75">
        <v>0</v>
      </c>
      <c r="T47" s="75">
        <v>304.5</v>
      </c>
      <c r="U47" s="200">
        <v>306</v>
      </c>
      <c r="V47" s="287">
        <f ca="1">IF(YEAR($W$3)-YEAR(E47)&gt;9,10,IF(MONTH($W$3)&lt;MONTH(E47),YEAR($W$3)-YEAR(E47),YEAR($W$3)-YEAR(E47)+1))</f>
        <v>10</v>
      </c>
      <c r="W47" s="75">
        <f t="shared" ref="W47:W48" ca="1" si="9">IF(V47&lt;6, ROUNDUP(G47,0)*$W$6*V47, ROUNDUP(G47,0)*($W$6*5 + (V47-5)*$W$7))</f>
        <v>2677.5</v>
      </c>
      <c r="X47" s="200">
        <f t="shared" ref="X47:X48" ca="1" si="10">IF(V47=0,T47,((T47-ROUNDUP(G47,0)*1.5)+W47))</f>
        <v>2752.5</v>
      </c>
      <c r="Y47" s="1">
        <v>0.5</v>
      </c>
      <c r="Z47" s="1"/>
      <c r="AA47" s="219"/>
      <c r="AB47" s="302"/>
      <c r="AC47" s="302"/>
      <c r="AD47" s="302"/>
      <c r="AE47" s="302"/>
      <c r="AF47">
        <f t="shared" si="0"/>
        <v>0</v>
      </c>
    </row>
    <row r="48" spans="1:32" hidden="1" x14ac:dyDescent="0.25">
      <c r="A48" s="322" t="s">
        <v>119</v>
      </c>
      <c r="B48" s="93" t="str">
        <f t="shared" si="2"/>
        <v>NO</v>
      </c>
      <c r="C48" s="93" t="s">
        <v>5503</v>
      </c>
      <c r="D48" s="2">
        <v>36608</v>
      </c>
      <c r="E48" s="2">
        <v>36617</v>
      </c>
      <c r="F48" s="2">
        <f t="shared" si="1"/>
        <v>40269</v>
      </c>
      <c r="G48" s="6">
        <v>39.65</v>
      </c>
      <c r="H48" s="7" t="s">
        <v>97</v>
      </c>
      <c r="I48" s="7" t="s">
        <v>86</v>
      </c>
      <c r="J48" s="103" t="s">
        <v>4778</v>
      </c>
      <c r="K48" s="266">
        <f>YEAR(F48)</f>
        <v>2010</v>
      </c>
      <c r="L48" s="408"/>
      <c r="M48" s="408"/>
      <c r="N48" s="32" t="s">
        <v>87</v>
      </c>
      <c r="O48" s="32" t="s">
        <v>121</v>
      </c>
      <c r="P48" s="278" t="s">
        <v>122</v>
      </c>
      <c r="Q48" s="233" t="s">
        <v>120</v>
      </c>
      <c r="R48" s="75">
        <v>13135</v>
      </c>
      <c r="S48" s="75">
        <v>0</v>
      </c>
      <c r="T48" s="75">
        <v>13135</v>
      </c>
      <c r="U48" s="200">
        <v>80</v>
      </c>
      <c r="V48" s="287">
        <f ca="1">IF(YEAR($W$3)-YEAR(E48)&gt;9,10,IF(MONTH($W$3)&lt;MONTH(E48),YEAR($W$3)-YEAR(E48),YEAR($W$3)-YEAR(E48)+1))</f>
        <v>10</v>
      </c>
      <c r="W48" s="75">
        <f t="shared" ca="1" si="9"/>
        <v>700</v>
      </c>
      <c r="X48" s="200">
        <f t="shared" ca="1" si="10"/>
        <v>13775</v>
      </c>
      <c r="Y48" s="1">
        <v>0.5</v>
      </c>
      <c r="Z48" s="1"/>
      <c r="AA48" s="219"/>
      <c r="AB48" s="302"/>
      <c r="AC48" s="302"/>
      <c r="AD48" s="302"/>
      <c r="AE48" s="302"/>
      <c r="AF48">
        <f t="shared" si="0"/>
        <v>0</v>
      </c>
    </row>
    <row r="49" spans="1:32" hidden="1" x14ac:dyDescent="0.25">
      <c r="A49" s="323"/>
      <c r="D49" s="2"/>
      <c r="E49" s="2"/>
      <c r="F49" s="2"/>
      <c r="G49" s="6"/>
      <c r="H49" s="7"/>
      <c r="I49" s="7"/>
      <c r="J49" s="103"/>
      <c r="K49" s="103"/>
      <c r="L49" s="380"/>
      <c r="M49" s="380"/>
      <c r="N49" s="32"/>
      <c r="O49" s="32"/>
      <c r="P49" s="278"/>
      <c r="Q49" s="233"/>
      <c r="R49" s="75"/>
      <c r="S49" s="75"/>
      <c r="T49" s="75"/>
      <c r="U49" s="200"/>
      <c r="V49" s="75"/>
      <c r="W49" s="75"/>
      <c r="X49" s="200"/>
      <c r="Y49" s="1"/>
      <c r="Z49" s="1"/>
      <c r="AA49" s="219"/>
      <c r="AB49" s="302"/>
      <c r="AC49" s="302"/>
      <c r="AD49" s="302"/>
      <c r="AE49" s="302"/>
      <c r="AF49">
        <f t="shared" si="0"/>
        <v>0</v>
      </c>
    </row>
    <row r="50" spans="1:32" hidden="1" x14ac:dyDescent="0.25">
      <c r="A50" s="322" t="s">
        <v>123</v>
      </c>
      <c r="B50" s="93" t="str">
        <f t="shared" si="2"/>
        <v>NO</v>
      </c>
      <c r="C50" s="93" t="s">
        <v>5503</v>
      </c>
      <c r="D50" s="2">
        <v>36706</v>
      </c>
      <c r="E50" s="2">
        <v>36800</v>
      </c>
      <c r="F50" s="2">
        <f t="shared" si="1"/>
        <v>40452</v>
      </c>
      <c r="G50" s="6">
        <v>80</v>
      </c>
      <c r="H50" s="7" t="s">
        <v>125</v>
      </c>
      <c r="I50" s="7" t="s">
        <v>79</v>
      </c>
      <c r="J50" s="103" t="s">
        <v>4778</v>
      </c>
      <c r="K50" s="266">
        <f t="shared" ref="K50:K72" si="11">YEAR(F50)</f>
        <v>2010</v>
      </c>
      <c r="L50" s="380"/>
      <c r="M50" s="380"/>
      <c r="N50" s="32" t="s">
        <v>80</v>
      </c>
      <c r="O50" s="32" t="s">
        <v>126</v>
      </c>
      <c r="P50" s="278" t="s">
        <v>127</v>
      </c>
      <c r="Q50" s="233" t="s">
        <v>124</v>
      </c>
      <c r="R50" s="75">
        <v>355</v>
      </c>
      <c r="S50" s="75">
        <v>15840</v>
      </c>
      <c r="T50" s="75">
        <v>16195</v>
      </c>
      <c r="U50" s="200">
        <v>160</v>
      </c>
      <c r="V50" s="287">
        <f t="shared" ref="V50:V72" ca="1" si="12">IF(YEAR($W$3)-YEAR(E50)&gt;9,10,IF(MONTH($W$3)&lt;MONTH(E50),YEAR($W$3)-YEAR(E50),YEAR($W$3)-YEAR(E50)+1))</f>
        <v>10</v>
      </c>
      <c r="W50" s="75">
        <f t="shared" ref="W50:W72" ca="1" si="13">IF(V50&lt;6, ROUNDUP(G50,0)*$W$6*V50, ROUNDUP(G50,0)*($W$6*5 + (V50-5)*$W$7))</f>
        <v>1400</v>
      </c>
      <c r="X50" s="200">
        <f t="shared" ref="X50:X72" ca="1" si="14">IF(V50=0,T50,((T50-ROUNDUP(G50,0)*1.5)+W50))</f>
        <v>17475</v>
      </c>
      <c r="Y50" s="1">
        <v>0.5</v>
      </c>
      <c r="Z50" s="1"/>
      <c r="AA50" s="219"/>
      <c r="AB50" s="302"/>
      <c r="AC50" s="302"/>
      <c r="AD50" s="302"/>
      <c r="AE50" s="302"/>
      <c r="AF50">
        <f t="shared" si="0"/>
        <v>0</v>
      </c>
    </row>
    <row r="51" spans="1:32" hidden="1" x14ac:dyDescent="0.25">
      <c r="A51" s="322" t="s">
        <v>128</v>
      </c>
      <c r="B51" s="93" t="str">
        <f t="shared" si="2"/>
        <v>NO</v>
      </c>
      <c r="C51" s="93" t="s">
        <v>5503</v>
      </c>
      <c r="D51" s="2">
        <v>36706</v>
      </c>
      <c r="E51" s="2">
        <v>36739</v>
      </c>
      <c r="F51" s="2">
        <f t="shared" si="1"/>
        <v>40391</v>
      </c>
      <c r="G51" s="6">
        <v>600</v>
      </c>
      <c r="H51" s="7" t="s">
        <v>97</v>
      </c>
      <c r="I51" s="7" t="s">
        <v>86</v>
      </c>
      <c r="J51" s="103" t="s">
        <v>4778</v>
      </c>
      <c r="K51" s="266">
        <f t="shared" si="11"/>
        <v>2010</v>
      </c>
      <c r="L51" s="408"/>
      <c r="M51" s="408"/>
      <c r="N51" s="32" t="s">
        <v>87</v>
      </c>
      <c r="O51" s="32" t="s">
        <v>130</v>
      </c>
      <c r="P51" s="278" t="s">
        <v>131</v>
      </c>
      <c r="Q51" s="233" t="s">
        <v>129</v>
      </c>
      <c r="R51" s="75">
        <v>2175</v>
      </c>
      <c r="S51" s="75">
        <v>0</v>
      </c>
      <c r="T51" s="75">
        <v>2175</v>
      </c>
      <c r="U51" s="200">
        <v>1200</v>
      </c>
      <c r="V51" s="287">
        <f t="shared" ca="1" si="12"/>
        <v>10</v>
      </c>
      <c r="W51" s="75">
        <f t="shared" ca="1" si="13"/>
        <v>10500</v>
      </c>
      <c r="X51" s="200">
        <f t="shared" ca="1" si="14"/>
        <v>11775</v>
      </c>
      <c r="Y51" s="1">
        <v>0.5</v>
      </c>
      <c r="Z51" s="1"/>
      <c r="AA51" s="219"/>
      <c r="AB51" s="302"/>
      <c r="AC51" s="302"/>
      <c r="AD51" s="302"/>
      <c r="AE51" s="302"/>
      <c r="AF51">
        <f t="shared" si="0"/>
        <v>0</v>
      </c>
    </row>
    <row r="52" spans="1:32" hidden="1" x14ac:dyDescent="0.25">
      <c r="A52" s="322" t="s">
        <v>132</v>
      </c>
      <c r="B52" s="93" t="str">
        <f t="shared" si="2"/>
        <v>NO</v>
      </c>
      <c r="C52" s="93" t="s">
        <v>5503</v>
      </c>
      <c r="D52" s="2">
        <v>36706</v>
      </c>
      <c r="E52" s="2">
        <v>36739</v>
      </c>
      <c r="F52" s="2">
        <f t="shared" si="1"/>
        <v>40391</v>
      </c>
      <c r="G52" s="6">
        <v>160.4</v>
      </c>
      <c r="H52" s="7" t="s">
        <v>97</v>
      </c>
      <c r="I52" s="7" t="s">
        <v>86</v>
      </c>
      <c r="J52" s="103" t="s">
        <v>4778</v>
      </c>
      <c r="K52" s="266">
        <f t="shared" si="11"/>
        <v>2010</v>
      </c>
      <c r="L52" s="408"/>
      <c r="M52" s="408"/>
      <c r="N52" s="32" t="s">
        <v>87</v>
      </c>
      <c r="O52" s="32" t="s">
        <v>130</v>
      </c>
      <c r="P52" s="278" t="s">
        <v>134</v>
      </c>
      <c r="Q52" s="233" t="s">
        <v>133</v>
      </c>
      <c r="R52" s="75">
        <v>638.5</v>
      </c>
      <c r="S52" s="75">
        <v>644</v>
      </c>
      <c r="T52" s="75">
        <v>1282.5</v>
      </c>
      <c r="U52" s="200">
        <v>322</v>
      </c>
      <c r="V52" s="287">
        <f t="shared" ca="1" si="12"/>
        <v>10</v>
      </c>
      <c r="W52" s="75">
        <f t="shared" ca="1" si="13"/>
        <v>2817.5</v>
      </c>
      <c r="X52" s="200">
        <f t="shared" ca="1" si="14"/>
        <v>3858.5</v>
      </c>
      <c r="Y52" s="1">
        <v>0.5</v>
      </c>
      <c r="Z52" s="1"/>
      <c r="AA52" s="219"/>
      <c r="AB52" s="302"/>
      <c r="AC52" s="302"/>
      <c r="AD52" s="302"/>
      <c r="AE52" s="302"/>
      <c r="AF52">
        <f t="shared" si="0"/>
        <v>0</v>
      </c>
    </row>
    <row r="53" spans="1:32" hidden="1" x14ac:dyDescent="0.25">
      <c r="A53" s="322" t="s">
        <v>135</v>
      </c>
      <c r="B53" s="93" t="str">
        <f t="shared" si="2"/>
        <v>NO</v>
      </c>
      <c r="C53" s="93" t="s">
        <v>5503</v>
      </c>
      <c r="D53" s="2">
        <v>36706</v>
      </c>
      <c r="E53" s="2">
        <v>36739</v>
      </c>
      <c r="F53" s="2">
        <f t="shared" si="1"/>
        <v>40391</v>
      </c>
      <c r="G53" s="6">
        <v>561.13800000000003</v>
      </c>
      <c r="H53" s="7" t="s">
        <v>97</v>
      </c>
      <c r="I53" s="7" t="s">
        <v>86</v>
      </c>
      <c r="J53" s="103" t="s">
        <v>4778</v>
      </c>
      <c r="K53" s="266">
        <f t="shared" si="11"/>
        <v>2010</v>
      </c>
      <c r="L53" s="408"/>
      <c r="M53" s="408"/>
      <c r="N53" s="32" t="s">
        <v>87</v>
      </c>
      <c r="O53" s="32" t="s">
        <v>130</v>
      </c>
      <c r="P53" s="278" t="s">
        <v>137</v>
      </c>
      <c r="Q53" s="233" t="s">
        <v>136</v>
      </c>
      <c r="R53" s="75">
        <v>2042</v>
      </c>
      <c r="S53" s="75">
        <v>1124</v>
      </c>
      <c r="T53" s="75">
        <v>3166</v>
      </c>
      <c r="U53" s="200">
        <v>1124</v>
      </c>
      <c r="V53" s="287">
        <f t="shared" ca="1" si="12"/>
        <v>10</v>
      </c>
      <c r="W53" s="75">
        <f t="shared" ca="1" si="13"/>
        <v>9835</v>
      </c>
      <c r="X53" s="200">
        <f t="shared" ca="1" si="14"/>
        <v>12158</v>
      </c>
      <c r="Y53" s="1">
        <v>0.5</v>
      </c>
      <c r="Z53" s="1"/>
      <c r="AA53" s="219"/>
      <c r="AB53" s="302"/>
      <c r="AC53" s="302"/>
      <c r="AD53" s="302"/>
      <c r="AE53" s="302"/>
      <c r="AF53">
        <f t="shared" si="0"/>
        <v>0</v>
      </c>
    </row>
    <row r="54" spans="1:32" hidden="1" x14ac:dyDescent="0.25">
      <c r="A54" s="322" t="s">
        <v>138</v>
      </c>
      <c r="B54" s="93" t="str">
        <f t="shared" si="2"/>
        <v>NO</v>
      </c>
      <c r="C54" s="93" t="s">
        <v>5503</v>
      </c>
      <c r="D54" s="2">
        <v>36706</v>
      </c>
      <c r="E54" s="2">
        <v>36739</v>
      </c>
      <c r="F54" s="2">
        <f t="shared" si="1"/>
        <v>40391</v>
      </c>
      <c r="G54" s="6">
        <v>639.5</v>
      </c>
      <c r="H54" s="7" t="s">
        <v>97</v>
      </c>
      <c r="I54" s="7" t="s">
        <v>86</v>
      </c>
      <c r="J54" s="103" t="s">
        <v>4778</v>
      </c>
      <c r="K54" s="266">
        <f t="shared" si="11"/>
        <v>2010</v>
      </c>
      <c r="L54" s="408"/>
      <c r="M54" s="408"/>
      <c r="N54" s="32" t="s">
        <v>87</v>
      </c>
      <c r="O54" s="32" t="s">
        <v>140</v>
      </c>
      <c r="P54" s="278" t="s">
        <v>141</v>
      </c>
      <c r="Q54" s="233" t="s">
        <v>139</v>
      </c>
      <c r="R54" s="75">
        <v>2315</v>
      </c>
      <c r="S54" s="75">
        <v>2560</v>
      </c>
      <c r="T54" s="75">
        <v>4875</v>
      </c>
      <c r="U54" s="200">
        <v>1280</v>
      </c>
      <c r="V54" s="287">
        <f t="shared" ca="1" si="12"/>
        <v>10</v>
      </c>
      <c r="W54" s="75">
        <f t="shared" ca="1" si="13"/>
        <v>11200</v>
      </c>
      <c r="X54" s="200">
        <f t="shared" ca="1" si="14"/>
        <v>15115</v>
      </c>
      <c r="Y54" s="1">
        <v>0.5</v>
      </c>
      <c r="Z54" s="1"/>
      <c r="AA54" s="219"/>
      <c r="AB54" s="302"/>
      <c r="AC54" s="302"/>
      <c r="AD54" s="302"/>
      <c r="AE54" s="302"/>
      <c r="AF54">
        <f t="shared" si="0"/>
        <v>0</v>
      </c>
    </row>
    <row r="55" spans="1:32" hidden="1" x14ac:dyDescent="0.25">
      <c r="A55" s="322" t="s">
        <v>142</v>
      </c>
      <c r="B55" s="93" t="str">
        <f t="shared" si="2"/>
        <v>NO</v>
      </c>
      <c r="C55" s="93" t="s">
        <v>5503</v>
      </c>
      <c r="D55" s="2">
        <v>36706</v>
      </c>
      <c r="E55" s="2">
        <v>36739</v>
      </c>
      <c r="F55" s="2">
        <f t="shared" si="1"/>
        <v>40391</v>
      </c>
      <c r="G55" s="6">
        <v>481.05</v>
      </c>
      <c r="H55" s="7" t="s">
        <v>97</v>
      </c>
      <c r="I55" s="7" t="s">
        <v>86</v>
      </c>
      <c r="J55" s="103" t="s">
        <v>4778</v>
      </c>
      <c r="K55" s="266">
        <f t="shared" si="11"/>
        <v>2010</v>
      </c>
      <c r="L55" s="408"/>
      <c r="M55" s="408"/>
      <c r="N55" s="32" t="s">
        <v>87</v>
      </c>
      <c r="O55" s="32" t="s">
        <v>140</v>
      </c>
      <c r="P55" s="278" t="s">
        <v>144</v>
      </c>
      <c r="Q55" s="233" t="s">
        <v>143</v>
      </c>
      <c r="R55" s="75">
        <v>1762</v>
      </c>
      <c r="S55" s="75">
        <v>0</v>
      </c>
      <c r="T55" s="75">
        <v>1762</v>
      </c>
      <c r="U55" s="200">
        <v>964</v>
      </c>
      <c r="V55" s="287">
        <f t="shared" ca="1" si="12"/>
        <v>10</v>
      </c>
      <c r="W55" s="75">
        <f t="shared" ca="1" si="13"/>
        <v>8435</v>
      </c>
      <c r="X55" s="200">
        <f t="shared" ca="1" si="14"/>
        <v>9474</v>
      </c>
      <c r="Y55" s="1">
        <v>0.5</v>
      </c>
      <c r="Z55" s="1"/>
      <c r="AA55" s="219"/>
      <c r="AB55" s="302"/>
      <c r="AC55" s="302"/>
      <c r="AD55" s="302"/>
      <c r="AE55" s="302"/>
      <c r="AF55">
        <f t="shared" si="0"/>
        <v>0</v>
      </c>
    </row>
    <row r="56" spans="1:32" hidden="1" x14ac:dyDescent="0.25">
      <c r="A56" s="322" t="s">
        <v>145</v>
      </c>
      <c r="B56" s="93" t="str">
        <f t="shared" si="2"/>
        <v>NO</v>
      </c>
      <c r="C56" s="93" t="s">
        <v>5503</v>
      </c>
      <c r="D56" s="2">
        <v>36706</v>
      </c>
      <c r="E56" s="2">
        <v>36739</v>
      </c>
      <c r="F56" s="2">
        <f t="shared" si="1"/>
        <v>40391</v>
      </c>
      <c r="G56" s="6">
        <v>479.25</v>
      </c>
      <c r="H56" s="7" t="s">
        <v>97</v>
      </c>
      <c r="I56" s="7" t="s">
        <v>86</v>
      </c>
      <c r="J56" s="103" t="s">
        <v>4778</v>
      </c>
      <c r="K56" s="266">
        <f t="shared" si="11"/>
        <v>2010</v>
      </c>
      <c r="L56" s="408"/>
      <c r="M56" s="408"/>
      <c r="N56" s="32" t="s">
        <v>87</v>
      </c>
      <c r="O56" s="32" t="s">
        <v>140</v>
      </c>
      <c r="P56" s="278" t="s">
        <v>147</v>
      </c>
      <c r="Q56" s="233" t="s">
        <v>146</v>
      </c>
      <c r="R56" s="75">
        <v>1755</v>
      </c>
      <c r="S56" s="75">
        <v>1920</v>
      </c>
      <c r="T56" s="75">
        <v>3675</v>
      </c>
      <c r="U56" s="200">
        <v>960</v>
      </c>
      <c r="V56" s="287">
        <f t="shared" ca="1" si="12"/>
        <v>10</v>
      </c>
      <c r="W56" s="75">
        <f t="shared" ca="1" si="13"/>
        <v>8400</v>
      </c>
      <c r="X56" s="200">
        <f t="shared" ca="1" si="14"/>
        <v>11355</v>
      </c>
      <c r="Y56" s="1">
        <v>0.5</v>
      </c>
      <c r="Z56" s="1"/>
      <c r="AA56" s="219"/>
      <c r="AB56" s="302"/>
      <c r="AC56" s="302"/>
      <c r="AD56" s="302"/>
      <c r="AE56" s="302"/>
      <c r="AF56">
        <f t="shared" si="0"/>
        <v>0</v>
      </c>
    </row>
    <row r="57" spans="1:32" hidden="1" x14ac:dyDescent="0.25">
      <c r="A57" s="322" t="s">
        <v>148</v>
      </c>
      <c r="B57" s="93" t="str">
        <f t="shared" si="2"/>
        <v>NO</v>
      </c>
      <c r="C57" s="93" t="s">
        <v>5503</v>
      </c>
      <c r="D57" s="2">
        <v>36706</v>
      </c>
      <c r="E57" s="2">
        <v>36739</v>
      </c>
      <c r="F57" s="2">
        <f t="shared" si="1"/>
        <v>40391</v>
      </c>
      <c r="G57" s="6">
        <v>437.93799999999999</v>
      </c>
      <c r="H57" s="7" t="s">
        <v>97</v>
      </c>
      <c r="I57" s="7" t="s">
        <v>86</v>
      </c>
      <c r="J57" s="103" t="s">
        <v>4778</v>
      </c>
      <c r="K57" s="266">
        <f t="shared" si="11"/>
        <v>2010</v>
      </c>
      <c r="L57" s="408"/>
      <c r="M57" s="408"/>
      <c r="N57" s="32" t="s">
        <v>87</v>
      </c>
      <c r="O57" s="32" t="s">
        <v>140</v>
      </c>
      <c r="P57" s="278" t="s">
        <v>150</v>
      </c>
      <c r="Q57" s="233" t="s">
        <v>149</v>
      </c>
      <c r="R57" s="75">
        <v>1608</v>
      </c>
      <c r="S57" s="75">
        <v>3066</v>
      </c>
      <c r="T57" s="75">
        <v>4674</v>
      </c>
      <c r="U57" s="200">
        <v>876</v>
      </c>
      <c r="V57" s="287">
        <f t="shared" ca="1" si="12"/>
        <v>10</v>
      </c>
      <c r="W57" s="75">
        <f t="shared" ca="1" si="13"/>
        <v>7665</v>
      </c>
      <c r="X57" s="200">
        <f t="shared" ca="1" si="14"/>
        <v>11682</v>
      </c>
      <c r="Y57" s="1">
        <v>0.5</v>
      </c>
      <c r="Z57" s="1"/>
      <c r="AA57" s="219"/>
      <c r="AB57" s="302"/>
      <c r="AC57" s="302"/>
      <c r="AD57" s="302"/>
      <c r="AE57" s="302"/>
      <c r="AF57">
        <f t="shared" si="0"/>
        <v>0</v>
      </c>
    </row>
    <row r="58" spans="1:32" hidden="1" x14ac:dyDescent="0.25">
      <c r="A58" s="322" t="s">
        <v>151</v>
      </c>
      <c r="B58" s="93" t="str">
        <f t="shared" si="2"/>
        <v>NO</v>
      </c>
      <c r="C58" s="93" t="s">
        <v>5503</v>
      </c>
      <c r="D58" s="2">
        <v>36706</v>
      </c>
      <c r="E58" s="2">
        <v>36739</v>
      </c>
      <c r="F58" s="2">
        <f t="shared" si="1"/>
        <v>40391</v>
      </c>
      <c r="G58" s="6">
        <v>39.813000000000002</v>
      </c>
      <c r="H58" s="7" t="s">
        <v>97</v>
      </c>
      <c r="I58" s="7" t="s">
        <v>86</v>
      </c>
      <c r="J58" s="103" t="s">
        <v>4778</v>
      </c>
      <c r="K58" s="266">
        <f t="shared" si="11"/>
        <v>2010</v>
      </c>
      <c r="L58" s="408"/>
      <c r="M58" s="408"/>
      <c r="N58" s="32" t="s">
        <v>87</v>
      </c>
      <c r="O58" s="32" t="s">
        <v>140</v>
      </c>
      <c r="P58" s="278" t="s">
        <v>153</v>
      </c>
      <c r="Q58" s="233" t="s">
        <v>152</v>
      </c>
      <c r="R58" s="75">
        <v>215</v>
      </c>
      <c r="S58" s="75">
        <v>0</v>
      </c>
      <c r="T58" s="75">
        <v>215</v>
      </c>
      <c r="U58" s="200">
        <v>80</v>
      </c>
      <c r="V58" s="287">
        <f t="shared" ca="1" si="12"/>
        <v>10</v>
      </c>
      <c r="W58" s="75">
        <f t="shared" ca="1" si="13"/>
        <v>700</v>
      </c>
      <c r="X58" s="200">
        <f t="shared" ca="1" si="14"/>
        <v>855</v>
      </c>
      <c r="Y58" s="1">
        <v>0.5</v>
      </c>
      <c r="Z58" s="1"/>
      <c r="AA58" s="219"/>
      <c r="AB58" s="302"/>
      <c r="AC58" s="302"/>
      <c r="AD58" s="302"/>
      <c r="AE58" s="302"/>
      <c r="AF58">
        <f t="shared" si="0"/>
        <v>0</v>
      </c>
    </row>
    <row r="59" spans="1:32" hidden="1" x14ac:dyDescent="0.25">
      <c r="A59" s="322" t="s">
        <v>154</v>
      </c>
      <c r="B59" s="93" t="str">
        <f t="shared" si="2"/>
        <v>NO</v>
      </c>
      <c r="C59" s="93" t="s">
        <v>5503</v>
      </c>
      <c r="D59" s="2">
        <v>36706</v>
      </c>
      <c r="E59" s="2">
        <v>36739</v>
      </c>
      <c r="F59" s="2">
        <f t="shared" si="1"/>
        <v>40391</v>
      </c>
      <c r="G59" s="6">
        <v>475.28</v>
      </c>
      <c r="H59" s="7" t="s">
        <v>97</v>
      </c>
      <c r="I59" s="7" t="s">
        <v>86</v>
      </c>
      <c r="J59" s="103" t="s">
        <v>4778</v>
      </c>
      <c r="K59" s="266">
        <f t="shared" si="11"/>
        <v>2010</v>
      </c>
      <c r="L59" s="408"/>
      <c r="M59" s="408"/>
      <c r="N59" s="32" t="s">
        <v>87</v>
      </c>
      <c r="O59" s="32" t="s">
        <v>140</v>
      </c>
      <c r="P59" s="278" t="s">
        <v>156</v>
      </c>
      <c r="Q59" s="233" t="s">
        <v>155</v>
      </c>
      <c r="R59" s="75">
        <v>1741</v>
      </c>
      <c r="S59" s="75">
        <v>0</v>
      </c>
      <c r="T59" s="75">
        <v>1741</v>
      </c>
      <c r="U59" s="200">
        <v>952</v>
      </c>
      <c r="V59" s="287">
        <f t="shared" ca="1" si="12"/>
        <v>10</v>
      </c>
      <c r="W59" s="75">
        <f t="shared" ca="1" si="13"/>
        <v>8330</v>
      </c>
      <c r="X59" s="200">
        <f t="shared" ca="1" si="14"/>
        <v>9357</v>
      </c>
      <c r="Y59" s="1">
        <v>0.5</v>
      </c>
      <c r="Z59" s="1"/>
      <c r="AA59" s="219"/>
      <c r="AB59" s="302"/>
      <c r="AC59" s="302"/>
      <c r="AD59" s="302"/>
      <c r="AE59" s="302"/>
      <c r="AF59">
        <f t="shared" si="0"/>
        <v>0</v>
      </c>
    </row>
    <row r="60" spans="1:32" hidden="1" x14ac:dyDescent="0.25">
      <c r="A60" s="322" t="s">
        <v>157</v>
      </c>
      <c r="B60" s="93" t="str">
        <f t="shared" si="2"/>
        <v>NO</v>
      </c>
      <c r="C60" s="93" t="s">
        <v>5503</v>
      </c>
      <c r="D60" s="2">
        <v>36706</v>
      </c>
      <c r="E60" s="2">
        <v>36739</v>
      </c>
      <c r="F60" s="2">
        <f t="shared" si="1"/>
        <v>40391</v>
      </c>
      <c r="G60" s="6">
        <v>200</v>
      </c>
      <c r="H60" s="7" t="s">
        <v>97</v>
      </c>
      <c r="I60" s="7" t="s">
        <v>86</v>
      </c>
      <c r="J60" s="103" t="s">
        <v>4778</v>
      </c>
      <c r="K60" s="266">
        <f t="shared" si="11"/>
        <v>2010</v>
      </c>
      <c r="L60" s="408"/>
      <c r="M60" s="408"/>
      <c r="N60" s="32" t="s">
        <v>87</v>
      </c>
      <c r="O60" s="32" t="s">
        <v>140</v>
      </c>
      <c r="P60" s="278" t="s">
        <v>159</v>
      </c>
      <c r="Q60" s="233" t="s">
        <v>158</v>
      </c>
      <c r="R60" s="75">
        <v>775</v>
      </c>
      <c r="S60" s="75">
        <v>1400</v>
      </c>
      <c r="T60" s="75">
        <v>2175</v>
      </c>
      <c r="U60" s="200">
        <v>400</v>
      </c>
      <c r="V60" s="287">
        <f t="shared" ca="1" si="12"/>
        <v>10</v>
      </c>
      <c r="W60" s="75">
        <f t="shared" ca="1" si="13"/>
        <v>3500</v>
      </c>
      <c r="X60" s="200">
        <f t="shared" ca="1" si="14"/>
        <v>5375</v>
      </c>
      <c r="Y60" s="1">
        <v>0.5</v>
      </c>
      <c r="Z60" s="1"/>
      <c r="AA60" s="219"/>
      <c r="AB60" s="302"/>
      <c r="AC60" s="302"/>
      <c r="AD60" s="302"/>
      <c r="AE60" s="302"/>
      <c r="AF60">
        <f t="shared" si="0"/>
        <v>0</v>
      </c>
    </row>
    <row r="61" spans="1:32" hidden="1" x14ac:dyDescent="0.25">
      <c r="A61" s="322" t="s">
        <v>160</v>
      </c>
      <c r="B61" s="93" t="str">
        <f t="shared" si="2"/>
        <v>NO</v>
      </c>
      <c r="C61" s="93" t="s">
        <v>5503</v>
      </c>
      <c r="D61" s="2">
        <v>36706</v>
      </c>
      <c r="E61" s="2">
        <v>36739</v>
      </c>
      <c r="F61" s="2">
        <f t="shared" si="1"/>
        <v>40391</v>
      </c>
      <c r="G61" s="6">
        <v>642.70000000000005</v>
      </c>
      <c r="H61" s="7" t="s">
        <v>97</v>
      </c>
      <c r="I61" s="7" t="s">
        <v>86</v>
      </c>
      <c r="J61" s="103" t="s">
        <v>4778</v>
      </c>
      <c r="K61" s="266">
        <f t="shared" si="11"/>
        <v>2010</v>
      </c>
      <c r="L61" s="408"/>
      <c r="M61" s="408"/>
      <c r="N61" s="32" t="s">
        <v>87</v>
      </c>
      <c r="O61" s="32" t="s">
        <v>140</v>
      </c>
      <c r="P61" s="278" t="s">
        <v>162</v>
      </c>
      <c r="Q61" s="233" t="s">
        <v>161</v>
      </c>
      <c r="R61" s="75">
        <v>2325.5</v>
      </c>
      <c r="S61" s="75">
        <v>0</v>
      </c>
      <c r="T61" s="75">
        <v>2325.5</v>
      </c>
      <c r="U61" s="200">
        <v>1286</v>
      </c>
      <c r="V61" s="287">
        <f t="shared" ca="1" si="12"/>
        <v>10</v>
      </c>
      <c r="W61" s="75">
        <f t="shared" ca="1" si="13"/>
        <v>11252.5</v>
      </c>
      <c r="X61" s="200">
        <f t="shared" ca="1" si="14"/>
        <v>12613.5</v>
      </c>
      <c r="Y61" s="1">
        <v>0.5</v>
      </c>
      <c r="Z61" s="1"/>
      <c r="AA61" s="219"/>
      <c r="AB61" s="302"/>
      <c r="AC61" s="302"/>
      <c r="AD61" s="302"/>
      <c r="AE61" s="302"/>
      <c r="AF61">
        <f t="shared" si="0"/>
        <v>0</v>
      </c>
    </row>
    <row r="62" spans="1:32" hidden="1" x14ac:dyDescent="0.25">
      <c r="A62" s="322" t="s">
        <v>163</v>
      </c>
      <c r="B62" s="93" t="str">
        <f t="shared" si="2"/>
        <v>NO</v>
      </c>
      <c r="C62" s="93" t="s">
        <v>5503</v>
      </c>
      <c r="D62" s="2">
        <v>36706</v>
      </c>
      <c r="E62" s="2">
        <v>36739</v>
      </c>
      <c r="F62" s="2">
        <f t="shared" si="1"/>
        <v>40391</v>
      </c>
      <c r="G62" s="6">
        <v>637.6</v>
      </c>
      <c r="H62" s="7" t="s">
        <v>97</v>
      </c>
      <c r="I62" s="7" t="s">
        <v>86</v>
      </c>
      <c r="J62" s="103" t="s">
        <v>4778</v>
      </c>
      <c r="K62" s="266">
        <f t="shared" si="11"/>
        <v>2010</v>
      </c>
      <c r="L62" s="408"/>
      <c r="M62" s="408"/>
      <c r="N62" s="32" t="s">
        <v>87</v>
      </c>
      <c r="O62" s="32" t="s">
        <v>140</v>
      </c>
      <c r="P62" s="278" t="s">
        <v>165</v>
      </c>
      <c r="Q62" s="233" t="s">
        <v>164</v>
      </c>
      <c r="R62" s="75">
        <v>2308</v>
      </c>
      <c r="S62" s="75">
        <v>3828</v>
      </c>
      <c r="T62" s="75">
        <v>6136</v>
      </c>
      <c r="U62" s="200">
        <v>1276</v>
      </c>
      <c r="V62" s="287">
        <f t="shared" ca="1" si="12"/>
        <v>10</v>
      </c>
      <c r="W62" s="75">
        <f t="shared" ca="1" si="13"/>
        <v>11165</v>
      </c>
      <c r="X62" s="200">
        <f t="shared" ca="1" si="14"/>
        <v>16344</v>
      </c>
      <c r="Y62" s="1">
        <v>0.5</v>
      </c>
      <c r="Z62" s="1"/>
      <c r="AA62" s="219"/>
      <c r="AB62" s="302"/>
      <c r="AC62" s="302"/>
      <c r="AD62" s="302"/>
      <c r="AE62" s="302"/>
      <c r="AF62">
        <f t="shared" si="0"/>
        <v>0</v>
      </c>
    </row>
    <row r="63" spans="1:32" hidden="1" x14ac:dyDescent="0.25">
      <c r="A63" s="322" t="s">
        <v>166</v>
      </c>
      <c r="B63" s="93" t="str">
        <f t="shared" si="2"/>
        <v>NO</v>
      </c>
      <c r="C63" s="93" t="s">
        <v>5503</v>
      </c>
      <c r="D63" s="2">
        <v>36706</v>
      </c>
      <c r="E63" s="2">
        <v>36739</v>
      </c>
      <c r="F63" s="2">
        <f t="shared" si="1"/>
        <v>40391</v>
      </c>
      <c r="G63" s="6">
        <v>637.79999999999995</v>
      </c>
      <c r="H63" s="7" t="s">
        <v>97</v>
      </c>
      <c r="I63" s="7" t="s">
        <v>86</v>
      </c>
      <c r="J63" s="103" t="s">
        <v>4778</v>
      </c>
      <c r="K63" s="266">
        <f t="shared" si="11"/>
        <v>2010</v>
      </c>
      <c r="L63" s="408"/>
      <c r="M63" s="408"/>
      <c r="N63" s="32" t="s">
        <v>87</v>
      </c>
      <c r="O63" s="32" t="s">
        <v>140</v>
      </c>
      <c r="P63" s="278" t="s">
        <v>168</v>
      </c>
      <c r="Q63" s="233" t="s">
        <v>167</v>
      </c>
      <c r="R63" s="75">
        <v>2308</v>
      </c>
      <c r="S63" s="75">
        <v>3828</v>
      </c>
      <c r="T63" s="75">
        <v>6136</v>
      </c>
      <c r="U63" s="200">
        <v>1276</v>
      </c>
      <c r="V63" s="287">
        <f t="shared" ca="1" si="12"/>
        <v>10</v>
      </c>
      <c r="W63" s="75">
        <f t="shared" ca="1" si="13"/>
        <v>11165</v>
      </c>
      <c r="X63" s="200">
        <f t="shared" ca="1" si="14"/>
        <v>16344</v>
      </c>
      <c r="Y63" s="1">
        <v>0.5</v>
      </c>
      <c r="Z63" s="1"/>
      <c r="AA63" s="219"/>
      <c r="AB63" s="302"/>
      <c r="AC63" s="302"/>
      <c r="AD63" s="302"/>
      <c r="AE63" s="302"/>
      <c r="AF63">
        <f t="shared" si="0"/>
        <v>0</v>
      </c>
    </row>
    <row r="64" spans="1:32" hidden="1" x14ac:dyDescent="0.25">
      <c r="A64" s="322" t="s">
        <v>169</v>
      </c>
      <c r="B64" s="93" t="str">
        <f t="shared" si="2"/>
        <v>NO</v>
      </c>
      <c r="C64" s="93" t="s">
        <v>5503</v>
      </c>
      <c r="D64" s="2">
        <v>36706</v>
      </c>
      <c r="E64" s="2">
        <v>36739</v>
      </c>
      <c r="F64" s="2">
        <f t="shared" si="1"/>
        <v>40391</v>
      </c>
      <c r="G64" s="6">
        <v>640.5</v>
      </c>
      <c r="H64" s="7" t="s">
        <v>97</v>
      </c>
      <c r="I64" s="7" t="s">
        <v>86</v>
      </c>
      <c r="J64" s="103" t="s">
        <v>4778</v>
      </c>
      <c r="K64" s="266">
        <f t="shared" si="11"/>
        <v>2010</v>
      </c>
      <c r="L64" s="408"/>
      <c r="M64" s="408"/>
      <c r="N64" s="32" t="s">
        <v>87</v>
      </c>
      <c r="O64" s="32" t="s">
        <v>140</v>
      </c>
      <c r="P64" s="278" t="s">
        <v>171</v>
      </c>
      <c r="Q64" s="233" t="s">
        <v>170</v>
      </c>
      <c r="R64" s="75">
        <v>2318.5</v>
      </c>
      <c r="S64" s="75">
        <v>0</v>
      </c>
      <c r="T64" s="75">
        <v>2318.5</v>
      </c>
      <c r="U64" s="200">
        <v>1282</v>
      </c>
      <c r="V64" s="287">
        <f t="shared" ca="1" si="12"/>
        <v>10</v>
      </c>
      <c r="W64" s="75">
        <f t="shared" ca="1" si="13"/>
        <v>11217.5</v>
      </c>
      <c r="X64" s="200">
        <f t="shared" ca="1" si="14"/>
        <v>12574.5</v>
      </c>
      <c r="Y64" s="1">
        <v>0.5</v>
      </c>
      <c r="Z64" s="1"/>
      <c r="AA64" s="219"/>
      <c r="AB64" s="302"/>
      <c r="AC64" s="302"/>
      <c r="AD64" s="302"/>
      <c r="AE64" s="302"/>
      <c r="AF64">
        <f t="shared" si="0"/>
        <v>0</v>
      </c>
    </row>
    <row r="65" spans="1:32" hidden="1" x14ac:dyDescent="0.25">
      <c r="A65" s="322" t="s">
        <v>172</v>
      </c>
      <c r="B65" s="93" t="str">
        <f t="shared" si="2"/>
        <v>NO</v>
      </c>
      <c r="C65" s="93" t="s">
        <v>5503</v>
      </c>
      <c r="D65" s="2">
        <v>36706</v>
      </c>
      <c r="E65" s="2">
        <v>36739</v>
      </c>
      <c r="F65" s="2">
        <f t="shared" si="1"/>
        <v>40391</v>
      </c>
      <c r="G65" s="6">
        <v>240.45</v>
      </c>
      <c r="H65" s="7" t="s">
        <v>97</v>
      </c>
      <c r="I65" s="7" t="s">
        <v>86</v>
      </c>
      <c r="J65" s="103" t="s">
        <v>4778</v>
      </c>
      <c r="K65" s="266">
        <f t="shared" si="11"/>
        <v>2010</v>
      </c>
      <c r="L65" s="408"/>
      <c r="M65" s="408"/>
      <c r="N65" s="32" t="s">
        <v>87</v>
      </c>
      <c r="O65" s="32" t="s">
        <v>140</v>
      </c>
      <c r="P65" s="278" t="s">
        <v>174</v>
      </c>
      <c r="Q65" s="233" t="s">
        <v>173</v>
      </c>
      <c r="R65" s="75">
        <v>918.5</v>
      </c>
      <c r="S65" s="75">
        <v>1446</v>
      </c>
      <c r="T65" s="75">
        <v>2364.5</v>
      </c>
      <c r="U65" s="200">
        <v>482</v>
      </c>
      <c r="V65" s="287">
        <f t="shared" ca="1" si="12"/>
        <v>10</v>
      </c>
      <c r="W65" s="75">
        <f t="shared" ca="1" si="13"/>
        <v>4217.5</v>
      </c>
      <c r="X65" s="200">
        <f t="shared" ca="1" si="14"/>
        <v>6220.5</v>
      </c>
      <c r="Y65" s="1">
        <v>0.5</v>
      </c>
      <c r="Z65" s="1"/>
      <c r="AA65" s="219"/>
      <c r="AB65" s="302"/>
      <c r="AC65" s="302"/>
      <c r="AD65" s="302"/>
      <c r="AE65" s="302"/>
      <c r="AF65">
        <f t="shared" si="0"/>
        <v>0</v>
      </c>
    </row>
    <row r="66" spans="1:32" hidden="1" x14ac:dyDescent="0.25">
      <c r="A66" s="322" t="s">
        <v>175</v>
      </c>
      <c r="B66" s="93" t="str">
        <f t="shared" si="2"/>
        <v>NO</v>
      </c>
      <c r="C66" s="93" t="s">
        <v>5503</v>
      </c>
      <c r="D66" s="2">
        <v>36706</v>
      </c>
      <c r="E66" s="2">
        <v>36739</v>
      </c>
      <c r="F66" s="2">
        <f t="shared" si="1"/>
        <v>40391</v>
      </c>
      <c r="G66" s="6">
        <v>642.4</v>
      </c>
      <c r="H66" s="7" t="s">
        <v>97</v>
      </c>
      <c r="I66" s="7" t="s">
        <v>86</v>
      </c>
      <c r="J66" s="103" t="s">
        <v>4778</v>
      </c>
      <c r="K66" s="266">
        <f t="shared" si="11"/>
        <v>2010</v>
      </c>
      <c r="L66" s="408"/>
      <c r="M66" s="408"/>
      <c r="N66" s="32" t="s">
        <v>87</v>
      </c>
      <c r="O66" s="32" t="s">
        <v>140</v>
      </c>
      <c r="P66" s="278" t="s">
        <v>177</v>
      </c>
      <c r="Q66" s="233" t="s">
        <v>176</v>
      </c>
      <c r="R66" s="75">
        <v>2325.5</v>
      </c>
      <c r="S66" s="75">
        <v>0</v>
      </c>
      <c r="T66" s="75">
        <v>2325.5</v>
      </c>
      <c r="U66" s="200">
        <v>1286</v>
      </c>
      <c r="V66" s="287">
        <f t="shared" ca="1" si="12"/>
        <v>10</v>
      </c>
      <c r="W66" s="75">
        <f t="shared" ca="1" si="13"/>
        <v>11252.5</v>
      </c>
      <c r="X66" s="200">
        <f t="shared" ca="1" si="14"/>
        <v>12613.5</v>
      </c>
      <c r="Y66" s="1">
        <v>0.5</v>
      </c>
      <c r="Z66" s="1"/>
      <c r="AA66" s="219"/>
      <c r="AB66" s="302"/>
      <c r="AC66" s="302"/>
      <c r="AD66" s="302"/>
      <c r="AE66" s="302"/>
      <c r="AF66">
        <f t="shared" si="0"/>
        <v>0</v>
      </c>
    </row>
    <row r="67" spans="1:32" hidden="1" x14ac:dyDescent="0.25">
      <c r="A67" s="322" t="s">
        <v>178</v>
      </c>
      <c r="B67" s="93" t="str">
        <f t="shared" si="2"/>
        <v>NO</v>
      </c>
      <c r="C67" s="93" t="s">
        <v>5503</v>
      </c>
      <c r="D67" s="2">
        <v>36706</v>
      </c>
      <c r="E67" s="2">
        <v>36739</v>
      </c>
      <c r="F67" s="2">
        <f t="shared" si="1"/>
        <v>40391</v>
      </c>
      <c r="G67" s="6">
        <v>69.938000000000002</v>
      </c>
      <c r="H67" s="7" t="s">
        <v>97</v>
      </c>
      <c r="I67" s="7" t="s">
        <v>86</v>
      </c>
      <c r="J67" s="103" t="s">
        <v>4778</v>
      </c>
      <c r="K67" s="266">
        <f t="shared" si="11"/>
        <v>2010</v>
      </c>
      <c r="L67" s="408"/>
      <c r="M67" s="408"/>
      <c r="N67" s="32" t="s">
        <v>87</v>
      </c>
      <c r="O67" s="32" t="s">
        <v>140</v>
      </c>
      <c r="P67" s="278" t="s">
        <v>180</v>
      </c>
      <c r="Q67" s="233" t="s">
        <v>179</v>
      </c>
      <c r="R67" s="75">
        <v>320</v>
      </c>
      <c r="S67" s="75">
        <v>1120</v>
      </c>
      <c r="T67" s="75">
        <v>1440</v>
      </c>
      <c r="U67" s="200">
        <v>140</v>
      </c>
      <c r="V67" s="287">
        <f t="shared" ca="1" si="12"/>
        <v>10</v>
      </c>
      <c r="W67" s="75">
        <f t="shared" ca="1" si="13"/>
        <v>1225</v>
      </c>
      <c r="X67" s="200">
        <f t="shared" ca="1" si="14"/>
        <v>2560</v>
      </c>
      <c r="Y67" s="1">
        <v>0.5</v>
      </c>
      <c r="Z67" s="1"/>
      <c r="AA67" s="219"/>
      <c r="AB67" s="302"/>
      <c r="AC67" s="302"/>
      <c r="AD67" s="302"/>
      <c r="AE67" s="302"/>
      <c r="AF67">
        <f t="shared" si="0"/>
        <v>0</v>
      </c>
    </row>
    <row r="68" spans="1:32" hidden="1" x14ac:dyDescent="0.25">
      <c r="A68" s="322" t="s">
        <v>181</v>
      </c>
      <c r="B68" s="93" t="str">
        <f t="shared" si="2"/>
        <v>NO</v>
      </c>
      <c r="C68" s="93" t="s">
        <v>5503</v>
      </c>
      <c r="D68" s="2">
        <v>36706</v>
      </c>
      <c r="E68" s="2">
        <v>36739</v>
      </c>
      <c r="F68" s="2">
        <f t="shared" si="1"/>
        <v>40391</v>
      </c>
      <c r="G68" s="6">
        <v>560</v>
      </c>
      <c r="H68" s="7" t="s">
        <v>97</v>
      </c>
      <c r="I68" s="7" t="s">
        <v>86</v>
      </c>
      <c r="J68" s="103" t="s">
        <v>4778</v>
      </c>
      <c r="K68" s="266">
        <f t="shared" si="11"/>
        <v>2010</v>
      </c>
      <c r="L68" s="408"/>
      <c r="M68" s="408"/>
      <c r="N68" s="32" t="s">
        <v>87</v>
      </c>
      <c r="O68" s="32" t="s">
        <v>140</v>
      </c>
      <c r="P68" s="278" t="s">
        <v>183</v>
      </c>
      <c r="Q68" s="233" t="s">
        <v>182</v>
      </c>
      <c r="R68" s="75">
        <v>2035</v>
      </c>
      <c r="S68" s="75">
        <v>0</v>
      </c>
      <c r="T68" s="75">
        <v>2035</v>
      </c>
      <c r="U68" s="200">
        <v>1120</v>
      </c>
      <c r="V68" s="287">
        <f t="shared" ca="1" si="12"/>
        <v>10</v>
      </c>
      <c r="W68" s="75">
        <f t="shared" ca="1" si="13"/>
        <v>9800</v>
      </c>
      <c r="X68" s="200">
        <f t="shared" ca="1" si="14"/>
        <v>10995</v>
      </c>
      <c r="Y68" s="1">
        <v>0.5</v>
      </c>
      <c r="Z68" s="1"/>
      <c r="AA68" s="219"/>
      <c r="AB68" s="302"/>
      <c r="AC68" s="302"/>
      <c r="AD68" s="302"/>
      <c r="AE68" s="302"/>
      <c r="AF68">
        <f t="shared" si="0"/>
        <v>0</v>
      </c>
    </row>
    <row r="69" spans="1:32" hidden="1" x14ac:dyDescent="0.25">
      <c r="A69" s="322" t="s">
        <v>184</v>
      </c>
      <c r="B69" s="93" t="str">
        <f t="shared" si="2"/>
        <v>NO</v>
      </c>
      <c r="C69" s="93" t="s">
        <v>5503</v>
      </c>
      <c r="D69" s="2">
        <v>36706</v>
      </c>
      <c r="E69" s="2">
        <v>36739</v>
      </c>
      <c r="F69" s="2">
        <f t="shared" si="1"/>
        <v>40391</v>
      </c>
      <c r="G69" s="6">
        <v>640</v>
      </c>
      <c r="H69" s="7" t="s">
        <v>97</v>
      </c>
      <c r="I69" s="7" t="s">
        <v>86</v>
      </c>
      <c r="J69" s="103" t="s">
        <v>4778</v>
      </c>
      <c r="K69" s="266">
        <f t="shared" si="11"/>
        <v>2010</v>
      </c>
      <c r="L69" s="408"/>
      <c r="M69" s="408"/>
      <c r="N69" s="32" t="s">
        <v>87</v>
      </c>
      <c r="O69" s="32" t="s">
        <v>140</v>
      </c>
      <c r="P69" s="278" t="s">
        <v>186</v>
      </c>
      <c r="Q69" s="233" t="s">
        <v>185</v>
      </c>
      <c r="R69" s="75">
        <v>2315</v>
      </c>
      <c r="S69" s="75">
        <v>0</v>
      </c>
      <c r="T69" s="75">
        <v>2315</v>
      </c>
      <c r="U69" s="200">
        <v>1280</v>
      </c>
      <c r="V69" s="287">
        <f t="shared" ca="1" si="12"/>
        <v>10</v>
      </c>
      <c r="W69" s="75">
        <f t="shared" ca="1" si="13"/>
        <v>11200</v>
      </c>
      <c r="X69" s="200">
        <f t="shared" ca="1" si="14"/>
        <v>12555</v>
      </c>
      <c r="Y69" s="1">
        <v>0.5</v>
      </c>
      <c r="Z69" s="1"/>
      <c r="AA69" s="219"/>
      <c r="AB69" s="302"/>
      <c r="AC69" s="302"/>
      <c r="AD69" s="302"/>
      <c r="AE69" s="302"/>
      <c r="AF69">
        <f t="shared" si="0"/>
        <v>0</v>
      </c>
    </row>
    <row r="70" spans="1:32" hidden="1" x14ac:dyDescent="0.25">
      <c r="A70" s="322" t="s">
        <v>187</v>
      </c>
      <c r="B70" s="93" t="str">
        <f t="shared" si="2"/>
        <v>NO</v>
      </c>
      <c r="C70" s="93" t="s">
        <v>5503</v>
      </c>
      <c r="D70" s="2">
        <v>36706</v>
      </c>
      <c r="E70" s="2">
        <v>36739</v>
      </c>
      <c r="F70" s="2">
        <f t="shared" si="1"/>
        <v>40391</v>
      </c>
      <c r="G70" s="6">
        <v>438.97</v>
      </c>
      <c r="H70" s="7" t="s">
        <v>97</v>
      </c>
      <c r="I70" s="7" t="s">
        <v>86</v>
      </c>
      <c r="J70" s="103" t="s">
        <v>4778</v>
      </c>
      <c r="K70" s="266">
        <f t="shared" si="11"/>
        <v>2010</v>
      </c>
      <c r="L70" s="408"/>
      <c r="M70" s="408"/>
      <c r="N70" s="32" t="s">
        <v>87</v>
      </c>
      <c r="O70" s="32" t="s">
        <v>140</v>
      </c>
      <c r="P70" s="278" t="s">
        <v>189</v>
      </c>
      <c r="Q70" s="233" t="s">
        <v>188</v>
      </c>
      <c r="R70" s="75">
        <v>1611.5</v>
      </c>
      <c r="S70" s="75">
        <v>0</v>
      </c>
      <c r="T70" s="75">
        <v>1611.5</v>
      </c>
      <c r="U70" s="200">
        <v>878</v>
      </c>
      <c r="V70" s="287">
        <f t="shared" ca="1" si="12"/>
        <v>10</v>
      </c>
      <c r="W70" s="75">
        <f t="shared" ca="1" si="13"/>
        <v>7682.5</v>
      </c>
      <c r="X70" s="200">
        <f t="shared" ca="1" si="14"/>
        <v>8635.5</v>
      </c>
      <c r="Y70" s="1">
        <v>0.5</v>
      </c>
      <c r="Z70" s="1"/>
      <c r="AA70" s="219"/>
      <c r="AB70" s="302"/>
      <c r="AC70" s="302"/>
      <c r="AD70" s="302"/>
      <c r="AE70" s="302"/>
      <c r="AF70">
        <f t="shared" si="0"/>
        <v>0</v>
      </c>
    </row>
    <row r="71" spans="1:32" hidden="1" x14ac:dyDescent="0.25">
      <c r="A71" s="322" t="s">
        <v>190</v>
      </c>
      <c r="B71" s="93" t="str">
        <f t="shared" si="2"/>
        <v>NO</v>
      </c>
      <c r="C71" s="93" t="s">
        <v>5503</v>
      </c>
      <c r="D71" s="2">
        <v>36706</v>
      </c>
      <c r="E71" s="2">
        <v>36739</v>
      </c>
      <c r="F71" s="2">
        <f t="shared" si="1"/>
        <v>40391</v>
      </c>
      <c r="G71" s="6">
        <v>440</v>
      </c>
      <c r="H71" s="7" t="s">
        <v>97</v>
      </c>
      <c r="I71" s="7" t="s">
        <v>86</v>
      </c>
      <c r="J71" s="103" t="s">
        <v>4778</v>
      </c>
      <c r="K71" s="266">
        <f t="shared" si="11"/>
        <v>2010</v>
      </c>
      <c r="L71" s="408"/>
      <c r="M71" s="408"/>
      <c r="N71" s="32" t="s">
        <v>87</v>
      </c>
      <c r="O71" s="32" t="s">
        <v>140</v>
      </c>
      <c r="P71" s="278" t="s">
        <v>192</v>
      </c>
      <c r="Q71" s="233" t="s">
        <v>191</v>
      </c>
      <c r="R71" s="75">
        <v>1615</v>
      </c>
      <c r="S71" s="75">
        <v>0</v>
      </c>
      <c r="T71" s="75">
        <v>1615</v>
      </c>
      <c r="U71" s="200">
        <v>880</v>
      </c>
      <c r="V71" s="287">
        <f t="shared" ca="1" si="12"/>
        <v>10</v>
      </c>
      <c r="W71" s="75">
        <f t="shared" ca="1" si="13"/>
        <v>7700</v>
      </c>
      <c r="X71" s="200">
        <f t="shared" ca="1" si="14"/>
        <v>8655</v>
      </c>
      <c r="Y71" s="1">
        <v>0.5</v>
      </c>
      <c r="Z71" s="1"/>
      <c r="AA71" s="219"/>
      <c r="AB71" s="302"/>
      <c r="AC71" s="302"/>
      <c r="AD71" s="302"/>
      <c r="AE71" s="302"/>
      <c r="AF71">
        <f t="shared" si="0"/>
        <v>0</v>
      </c>
    </row>
    <row r="72" spans="1:32" hidden="1" x14ac:dyDescent="0.25">
      <c r="A72" s="322" t="s">
        <v>193</v>
      </c>
      <c r="B72" s="93" t="str">
        <f t="shared" si="2"/>
        <v>NO</v>
      </c>
      <c r="C72" s="93" t="s">
        <v>5503</v>
      </c>
      <c r="D72" s="2">
        <v>36706</v>
      </c>
      <c r="E72" s="2">
        <v>36739</v>
      </c>
      <c r="F72" s="2">
        <f t="shared" si="1"/>
        <v>40391</v>
      </c>
      <c r="G72" s="6">
        <v>320</v>
      </c>
      <c r="H72" s="7" t="s">
        <v>97</v>
      </c>
      <c r="I72" s="7" t="s">
        <v>86</v>
      </c>
      <c r="J72" s="103" t="s">
        <v>4778</v>
      </c>
      <c r="K72" s="266">
        <f t="shared" si="11"/>
        <v>2010</v>
      </c>
      <c r="L72" s="408"/>
      <c r="M72" s="408"/>
      <c r="N72" s="32" t="s">
        <v>87</v>
      </c>
      <c r="O72" s="32" t="s">
        <v>140</v>
      </c>
      <c r="P72" s="278" t="s">
        <v>195</v>
      </c>
      <c r="Q72" s="233" t="s">
        <v>194</v>
      </c>
      <c r="R72" s="75">
        <v>1195</v>
      </c>
      <c r="S72" s="75">
        <v>3840</v>
      </c>
      <c r="T72" s="75">
        <v>5035</v>
      </c>
      <c r="U72" s="200">
        <v>640</v>
      </c>
      <c r="V72" s="287">
        <f t="shared" ca="1" si="12"/>
        <v>10</v>
      </c>
      <c r="W72" s="75">
        <f t="shared" ca="1" si="13"/>
        <v>5600</v>
      </c>
      <c r="X72" s="200">
        <f t="shared" ca="1" si="14"/>
        <v>10155</v>
      </c>
      <c r="Y72" s="1">
        <v>0.5</v>
      </c>
      <c r="Z72" s="1"/>
      <c r="AA72" s="219"/>
      <c r="AB72" s="302"/>
      <c r="AC72" s="302"/>
      <c r="AD72" s="302"/>
      <c r="AE72" s="302"/>
      <c r="AF72">
        <f t="shared" si="0"/>
        <v>0</v>
      </c>
    </row>
    <row r="73" spans="1:32" hidden="1" x14ac:dyDescent="0.25">
      <c r="A73" s="323"/>
      <c r="D73" s="2"/>
      <c r="E73" s="2"/>
      <c r="F73" s="2"/>
      <c r="G73" s="6"/>
      <c r="H73" s="7"/>
      <c r="I73" s="7"/>
      <c r="J73" s="109"/>
      <c r="K73" s="109"/>
      <c r="L73" s="385"/>
      <c r="M73" s="385"/>
      <c r="N73" s="32"/>
      <c r="O73" s="32"/>
      <c r="P73" s="278"/>
      <c r="Q73" s="233"/>
      <c r="R73" s="75"/>
      <c r="S73" s="75"/>
      <c r="T73" s="75"/>
      <c r="U73" s="200"/>
      <c r="V73" s="75"/>
      <c r="W73" s="75"/>
      <c r="X73" s="200"/>
      <c r="Y73" s="1"/>
      <c r="Z73" s="1"/>
      <c r="AA73" s="219"/>
      <c r="AB73" s="302"/>
      <c r="AC73" s="302"/>
      <c r="AD73" s="302"/>
      <c r="AE73" s="302"/>
      <c r="AF73">
        <f t="shared" si="0"/>
        <v>0</v>
      </c>
    </row>
    <row r="74" spans="1:32" hidden="1" x14ac:dyDescent="0.25">
      <c r="A74" s="322" t="s">
        <v>196</v>
      </c>
      <c r="B74" s="93" t="str">
        <f t="shared" si="2"/>
        <v>NO</v>
      </c>
      <c r="C74" s="93" t="s">
        <v>5503</v>
      </c>
      <c r="D74" s="2">
        <v>36726</v>
      </c>
      <c r="E74" s="2">
        <v>36770</v>
      </c>
      <c r="F74" s="2">
        <f t="shared" si="1"/>
        <v>40422</v>
      </c>
      <c r="G74" s="6">
        <v>49.7</v>
      </c>
      <c r="H74" s="7" t="s">
        <v>197</v>
      </c>
      <c r="I74" s="7" t="s">
        <v>198</v>
      </c>
      <c r="J74" s="103" t="s">
        <v>4778</v>
      </c>
      <c r="K74" s="266">
        <f>YEAR(F74)</f>
        <v>2010</v>
      </c>
      <c r="L74" s="380"/>
      <c r="M74" s="380"/>
      <c r="N74" s="32" t="s">
        <v>13</v>
      </c>
      <c r="O74" s="32" t="s">
        <v>199</v>
      </c>
      <c r="P74" s="278" t="s">
        <v>200</v>
      </c>
      <c r="Q74" s="233">
        <v>200007009</v>
      </c>
      <c r="R74" s="75">
        <v>250</v>
      </c>
      <c r="S74" s="75">
        <v>4400</v>
      </c>
      <c r="T74" s="75">
        <v>4650</v>
      </c>
      <c r="U74" s="200">
        <v>100</v>
      </c>
      <c r="V74" s="287">
        <f ca="1">IF(YEAR($W$3)-YEAR(E74)&gt;9,10,IF(MONTH($W$3)&lt;MONTH(E74),YEAR($W$3)-YEAR(E74),YEAR($W$3)-YEAR(E74)+1))</f>
        <v>10</v>
      </c>
      <c r="W74" s="75">
        <f t="shared" ref="W74:W76" ca="1" si="15">IF(V74&lt;6, ROUNDUP(G74,0)*$W$6*V74, ROUNDUP(G74,0)*($W$6*5 + (V74-5)*$W$7))</f>
        <v>875</v>
      </c>
      <c r="X74" s="200">
        <f t="shared" ref="X74:X76" ca="1" si="16">IF(V74=0,T74,((T74-ROUNDUP(G74,0)*1.5)+W74))</f>
        <v>5450</v>
      </c>
      <c r="Y74" s="1">
        <v>0.5</v>
      </c>
      <c r="Z74" s="1"/>
      <c r="AA74" s="219"/>
      <c r="AB74" s="302"/>
      <c r="AC74" s="302"/>
      <c r="AD74" s="302"/>
      <c r="AE74" s="302"/>
      <c r="AF74">
        <f t="shared" si="0"/>
        <v>0</v>
      </c>
    </row>
    <row r="75" spans="1:32" hidden="1" x14ac:dyDescent="0.25">
      <c r="A75" s="322" t="s">
        <v>201</v>
      </c>
      <c r="B75" s="93" t="str">
        <f t="shared" ref="B75:B108" si="17">IF(COUNTIF(GIS,A77),"YES","NO")</f>
        <v>NO</v>
      </c>
      <c r="C75" s="93" t="s">
        <v>5503</v>
      </c>
      <c r="D75" s="2">
        <v>36726</v>
      </c>
      <c r="E75" s="2">
        <v>36770</v>
      </c>
      <c r="F75" s="2">
        <f t="shared" si="1"/>
        <v>40422</v>
      </c>
      <c r="G75" s="6">
        <v>259.39</v>
      </c>
      <c r="H75" s="7" t="s">
        <v>202</v>
      </c>
      <c r="I75" s="7" t="s">
        <v>15</v>
      </c>
      <c r="J75" s="103" t="s">
        <v>4778</v>
      </c>
      <c r="K75" s="266">
        <f>YEAR(F75)</f>
        <v>2010</v>
      </c>
      <c r="L75" s="380"/>
      <c r="M75" s="380"/>
      <c r="N75" s="32" t="s">
        <v>203</v>
      </c>
      <c r="O75" s="32" t="s">
        <v>204</v>
      </c>
      <c r="P75" s="278" t="s">
        <v>205</v>
      </c>
      <c r="Q75" s="233">
        <v>200007011</v>
      </c>
      <c r="R75" s="75">
        <v>985</v>
      </c>
      <c r="S75" s="75">
        <v>56680</v>
      </c>
      <c r="T75" s="75">
        <v>57665</v>
      </c>
      <c r="U75" s="200">
        <v>520</v>
      </c>
      <c r="V75" s="287">
        <f ca="1">IF(YEAR($W$3)-YEAR(E75)&gt;9,10,IF(MONTH($W$3)&lt;MONTH(E75),YEAR($W$3)-YEAR(E75),YEAR($W$3)-YEAR(E75)+1))</f>
        <v>10</v>
      </c>
      <c r="W75" s="75">
        <f t="shared" ca="1" si="15"/>
        <v>4550</v>
      </c>
      <c r="X75" s="200">
        <f t="shared" ca="1" si="16"/>
        <v>61825</v>
      </c>
      <c r="Y75" s="1">
        <v>0.5</v>
      </c>
      <c r="Z75" s="1"/>
      <c r="AA75" s="219"/>
      <c r="AB75" s="302"/>
      <c r="AC75" s="302"/>
      <c r="AD75" s="302"/>
      <c r="AE75" s="302"/>
      <c r="AF75">
        <f t="shared" ref="AF75:AF138" si="18">COUNTIF(FilterList,A75)</f>
        <v>0</v>
      </c>
    </row>
    <row r="76" spans="1:32" ht="26.25" hidden="1" x14ac:dyDescent="0.25">
      <c r="A76" s="322" t="s">
        <v>206</v>
      </c>
      <c r="B76" s="93" t="str">
        <f t="shared" si="17"/>
        <v>NO</v>
      </c>
      <c r="C76" s="93" t="s">
        <v>5503</v>
      </c>
      <c r="D76" s="2">
        <v>36726</v>
      </c>
      <c r="E76" s="2">
        <v>36770</v>
      </c>
      <c r="F76" s="2">
        <f t="shared" ref="F76:F139" si="19">DATE(YEAR(E76)+10,MONTH(E76),DAY(E76))</f>
        <v>40422</v>
      </c>
      <c r="G76" s="6">
        <v>642</v>
      </c>
      <c r="H76" s="7" t="s">
        <v>14</v>
      </c>
      <c r="I76" s="7" t="s">
        <v>15</v>
      </c>
      <c r="J76" s="103" t="s">
        <v>4793</v>
      </c>
      <c r="K76" s="266">
        <f>YEAR(F76)</f>
        <v>2010</v>
      </c>
      <c r="L76" s="380"/>
      <c r="M76" s="380"/>
      <c r="N76" s="32" t="s">
        <v>20</v>
      </c>
      <c r="O76" s="32" t="s">
        <v>207</v>
      </c>
      <c r="P76" s="280"/>
      <c r="Q76" s="233">
        <v>200007012</v>
      </c>
      <c r="R76" s="75">
        <v>2322</v>
      </c>
      <c r="S76" s="75">
        <v>7062</v>
      </c>
      <c r="T76" s="75">
        <v>9384</v>
      </c>
      <c r="U76" s="200">
        <v>1284</v>
      </c>
      <c r="V76" s="287">
        <f ca="1">IF(YEAR($W$3)-YEAR(E76)&gt;9,10,IF(MONTH($W$3)&lt;MONTH(E76),YEAR($W$3)-YEAR(E76),YEAR($W$3)-YEAR(E76)+1))</f>
        <v>10</v>
      </c>
      <c r="W76" s="75">
        <f t="shared" ca="1" si="15"/>
        <v>11235</v>
      </c>
      <c r="X76" s="200">
        <f t="shared" ca="1" si="16"/>
        <v>19656</v>
      </c>
      <c r="Y76" s="1">
        <v>0.5</v>
      </c>
      <c r="Z76" s="1"/>
      <c r="AA76" s="219"/>
      <c r="AB76" s="302"/>
      <c r="AC76" s="302"/>
      <c r="AD76" s="302"/>
      <c r="AE76" s="302"/>
      <c r="AF76">
        <f t="shared" si="18"/>
        <v>0</v>
      </c>
    </row>
    <row r="77" spans="1:32" hidden="1" x14ac:dyDescent="0.25">
      <c r="A77" s="323"/>
      <c r="D77" s="2"/>
      <c r="E77" s="2"/>
      <c r="F77" s="2"/>
      <c r="G77" s="6"/>
      <c r="H77" s="7"/>
      <c r="I77" s="7"/>
      <c r="J77" s="103"/>
      <c r="K77" s="103"/>
      <c r="L77" s="380"/>
      <c r="M77" s="380"/>
      <c r="N77" s="32"/>
      <c r="O77" s="32"/>
      <c r="P77" s="280"/>
      <c r="Q77" s="233"/>
      <c r="R77" s="75"/>
      <c r="S77" s="75"/>
      <c r="T77" s="75"/>
      <c r="U77" s="200"/>
      <c r="V77" s="75"/>
      <c r="W77" s="75"/>
      <c r="X77" s="200"/>
      <c r="Y77" s="1"/>
      <c r="Z77" s="1"/>
      <c r="AA77" s="219"/>
      <c r="AB77" s="302"/>
      <c r="AC77" s="302"/>
      <c r="AD77" s="302"/>
      <c r="AE77" s="302"/>
      <c r="AF77">
        <f t="shared" si="18"/>
        <v>0</v>
      </c>
    </row>
    <row r="78" spans="1:32" hidden="1" x14ac:dyDescent="0.25">
      <c r="A78" s="322" t="s">
        <v>208</v>
      </c>
      <c r="B78" s="93" t="str">
        <f t="shared" si="17"/>
        <v>NO</v>
      </c>
      <c r="C78" s="93" t="s">
        <v>5503</v>
      </c>
      <c r="D78" s="2">
        <v>36817</v>
      </c>
      <c r="E78" s="2">
        <v>36861</v>
      </c>
      <c r="F78" s="2">
        <f t="shared" si="19"/>
        <v>40513</v>
      </c>
      <c r="G78" s="6">
        <v>51</v>
      </c>
      <c r="H78" s="7" t="s">
        <v>209</v>
      </c>
      <c r="I78" s="7" t="s">
        <v>15</v>
      </c>
      <c r="J78" s="103" t="s">
        <v>4778</v>
      </c>
      <c r="K78" s="266">
        <f t="shared" ref="K78:K89" si="20">YEAR(F78)</f>
        <v>2010</v>
      </c>
      <c r="L78" s="380"/>
      <c r="M78" s="380"/>
      <c r="N78" s="32" t="s">
        <v>20</v>
      </c>
      <c r="O78" s="32" t="s">
        <v>210</v>
      </c>
      <c r="P78" s="278"/>
      <c r="Q78" s="233">
        <v>200010065</v>
      </c>
      <c r="R78" s="75">
        <v>253.5</v>
      </c>
      <c r="S78" s="75">
        <v>2448</v>
      </c>
      <c r="T78" s="75">
        <v>2701.5</v>
      </c>
      <c r="U78" s="200">
        <v>102</v>
      </c>
      <c r="V78" s="287">
        <f t="shared" ref="V78:V89" ca="1" si="21">IF(YEAR($W$3)-YEAR(E78)&gt;9,10,IF(MONTH($W$3)&lt;MONTH(E78),YEAR($W$3)-YEAR(E78),YEAR($W$3)-YEAR(E78)+1))</f>
        <v>10</v>
      </c>
      <c r="W78" s="75">
        <f t="shared" ref="W78:W89" ca="1" si="22">IF(V78&lt;6, ROUNDUP(G78,0)*$W$6*V78, ROUNDUP(G78,0)*($W$6*5 + (V78-5)*$W$7))</f>
        <v>892.5</v>
      </c>
      <c r="X78" s="200">
        <f t="shared" ref="X78:X89" ca="1" si="23">IF(V78=0,T78,((T78-ROUNDUP(G78,0)*1.5)+W78))</f>
        <v>3517.5</v>
      </c>
      <c r="Y78" s="1">
        <v>0.5</v>
      </c>
      <c r="Z78" s="1"/>
      <c r="AA78" s="219"/>
      <c r="AB78" s="302"/>
      <c r="AC78" s="302"/>
      <c r="AD78" s="302"/>
      <c r="AE78" s="302"/>
      <c r="AF78">
        <f t="shared" si="18"/>
        <v>0</v>
      </c>
    </row>
    <row r="79" spans="1:32" hidden="1" x14ac:dyDescent="0.25">
      <c r="A79" s="322" t="s">
        <v>211</v>
      </c>
      <c r="B79" s="93" t="str">
        <f t="shared" si="17"/>
        <v>NO</v>
      </c>
      <c r="C79" s="93" t="s">
        <v>5503</v>
      </c>
      <c r="D79" s="2">
        <v>36817</v>
      </c>
      <c r="E79" s="2">
        <v>36861</v>
      </c>
      <c r="F79" s="2">
        <f t="shared" si="19"/>
        <v>40513</v>
      </c>
      <c r="G79" s="6">
        <v>15</v>
      </c>
      <c r="H79" s="7" t="s">
        <v>209</v>
      </c>
      <c r="I79" s="7" t="s">
        <v>15</v>
      </c>
      <c r="J79" s="103" t="s">
        <v>4778</v>
      </c>
      <c r="K79" s="266">
        <f t="shared" si="20"/>
        <v>2010</v>
      </c>
      <c r="L79" s="380"/>
      <c r="M79" s="380"/>
      <c r="N79" s="32" t="s">
        <v>20</v>
      </c>
      <c r="O79" s="32" t="s">
        <v>212</v>
      </c>
      <c r="P79" s="278"/>
      <c r="Q79" s="233">
        <v>200010066</v>
      </c>
      <c r="R79" s="75">
        <v>127.5</v>
      </c>
      <c r="S79" s="75">
        <v>705</v>
      </c>
      <c r="T79" s="75">
        <v>832.5</v>
      </c>
      <c r="U79" s="200">
        <v>30</v>
      </c>
      <c r="V79" s="287">
        <f t="shared" ca="1" si="21"/>
        <v>10</v>
      </c>
      <c r="W79" s="75">
        <f t="shared" ca="1" si="22"/>
        <v>262.5</v>
      </c>
      <c r="X79" s="200">
        <f t="shared" ca="1" si="23"/>
        <v>1072.5</v>
      </c>
      <c r="Y79" s="1">
        <v>0.5</v>
      </c>
      <c r="Z79" s="1"/>
      <c r="AA79" s="219"/>
      <c r="AB79" s="302"/>
      <c r="AC79" s="302"/>
      <c r="AD79" s="302"/>
      <c r="AE79" s="302"/>
      <c r="AF79">
        <f t="shared" si="18"/>
        <v>0</v>
      </c>
    </row>
    <row r="80" spans="1:32" hidden="1" x14ac:dyDescent="0.25">
      <c r="A80" s="322" t="s">
        <v>213</v>
      </c>
      <c r="B80" s="93" t="str">
        <f t="shared" si="17"/>
        <v>NO</v>
      </c>
      <c r="C80" s="93" t="s">
        <v>5503</v>
      </c>
      <c r="D80" s="2">
        <v>36817</v>
      </c>
      <c r="E80" s="2">
        <v>36861</v>
      </c>
      <c r="F80" s="2">
        <f t="shared" si="19"/>
        <v>40513</v>
      </c>
      <c r="G80" s="6">
        <v>11</v>
      </c>
      <c r="H80" s="7" t="s">
        <v>209</v>
      </c>
      <c r="I80" s="7" t="s">
        <v>15</v>
      </c>
      <c r="J80" s="103" t="s">
        <v>4778</v>
      </c>
      <c r="K80" s="266">
        <f t="shared" si="20"/>
        <v>2010</v>
      </c>
      <c r="L80" s="380"/>
      <c r="M80" s="380"/>
      <c r="N80" s="32" t="s">
        <v>20</v>
      </c>
      <c r="O80" s="32" t="s">
        <v>214</v>
      </c>
      <c r="P80" s="278"/>
      <c r="Q80" s="233">
        <v>200010067</v>
      </c>
      <c r="R80" s="75">
        <v>113.5</v>
      </c>
      <c r="S80" s="75">
        <v>363</v>
      </c>
      <c r="T80" s="75">
        <v>476.5</v>
      </c>
      <c r="U80" s="200">
        <v>22</v>
      </c>
      <c r="V80" s="287">
        <f t="shared" ca="1" si="21"/>
        <v>10</v>
      </c>
      <c r="W80" s="75">
        <f t="shared" ca="1" si="22"/>
        <v>192.5</v>
      </c>
      <c r="X80" s="200">
        <f t="shared" ca="1" si="23"/>
        <v>652.5</v>
      </c>
      <c r="Y80" s="1">
        <v>0.5</v>
      </c>
      <c r="Z80" s="1"/>
      <c r="AA80" s="219"/>
      <c r="AB80" s="302"/>
      <c r="AC80" s="302"/>
      <c r="AD80" s="302"/>
      <c r="AE80" s="302"/>
      <c r="AF80">
        <f t="shared" si="18"/>
        <v>0</v>
      </c>
    </row>
    <row r="81" spans="1:32" hidden="1" x14ac:dyDescent="0.25">
      <c r="A81" s="322" t="s">
        <v>215</v>
      </c>
      <c r="B81" s="93" t="str">
        <f t="shared" si="17"/>
        <v>NO</v>
      </c>
      <c r="C81" s="93" t="s">
        <v>5503</v>
      </c>
      <c r="D81" s="2">
        <v>36817</v>
      </c>
      <c r="E81" s="2">
        <v>36861</v>
      </c>
      <c r="F81" s="2">
        <f t="shared" si="19"/>
        <v>40513</v>
      </c>
      <c r="G81" s="6">
        <v>119</v>
      </c>
      <c r="H81" s="7" t="s">
        <v>209</v>
      </c>
      <c r="I81" s="7" t="s">
        <v>15</v>
      </c>
      <c r="J81" s="103" t="s">
        <v>4778</v>
      </c>
      <c r="K81" s="266">
        <f t="shared" si="20"/>
        <v>2010</v>
      </c>
      <c r="L81" s="380"/>
      <c r="M81" s="380"/>
      <c r="N81" s="32" t="s">
        <v>20</v>
      </c>
      <c r="O81" s="32" t="s">
        <v>216</v>
      </c>
      <c r="P81" s="278"/>
      <c r="Q81" s="233">
        <v>200010068</v>
      </c>
      <c r="R81" s="75">
        <v>491.5</v>
      </c>
      <c r="S81" s="75">
        <v>5712</v>
      </c>
      <c r="T81" s="75">
        <v>6203.5</v>
      </c>
      <c r="U81" s="200">
        <v>238</v>
      </c>
      <c r="V81" s="287">
        <f t="shared" ca="1" si="21"/>
        <v>10</v>
      </c>
      <c r="W81" s="75">
        <f t="shared" ca="1" si="22"/>
        <v>2082.5</v>
      </c>
      <c r="X81" s="200">
        <f t="shared" ca="1" si="23"/>
        <v>8107.5</v>
      </c>
      <c r="Y81" s="1">
        <v>0.5</v>
      </c>
      <c r="Z81" s="1"/>
      <c r="AA81" s="219"/>
      <c r="AB81" s="302"/>
      <c r="AC81" s="302"/>
      <c r="AD81" s="302"/>
      <c r="AE81" s="302"/>
      <c r="AF81">
        <f t="shared" si="18"/>
        <v>0</v>
      </c>
    </row>
    <row r="82" spans="1:32" hidden="1" x14ac:dyDescent="0.25">
      <c r="A82" s="322" t="s">
        <v>217</v>
      </c>
      <c r="B82" s="93" t="str">
        <f t="shared" si="17"/>
        <v>NO</v>
      </c>
      <c r="C82" s="93" t="s">
        <v>5503</v>
      </c>
      <c r="D82" s="2">
        <v>36817</v>
      </c>
      <c r="E82" s="2">
        <v>36861</v>
      </c>
      <c r="F82" s="2">
        <f t="shared" si="19"/>
        <v>40513</v>
      </c>
      <c r="G82" s="6">
        <v>59</v>
      </c>
      <c r="H82" s="7" t="s">
        <v>209</v>
      </c>
      <c r="I82" s="7" t="s">
        <v>15</v>
      </c>
      <c r="J82" s="103" t="s">
        <v>4778</v>
      </c>
      <c r="K82" s="266">
        <f t="shared" si="20"/>
        <v>2010</v>
      </c>
      <c r="L82" s="380"/>
      <c r="M82" s="380"/>
      <c r="N82" s="32" t="s">
        <v>20</v>
      </c>
      <c r="O82" s="32" t="s">
        <v>218</v>
      </c>
      <c r="P82" s="278"/>
      <c r="Q82" s="233">
        <v>200010069</v>
      </c>
      <c r="R82" s="75">
        <v>281.5</v>
      </c>
      <c r="S82" s="75">
        <v>4012</v>
      </c>
      <c r="T82" s="75">
        <v>4293.5</v>
      </c>
      <c r="U82" s="200">
        <v>118</v>
      </c>
      <c r="V82" s="287">
        <f t="shared" ca="1" si="21"/>
        <v>10</v>
      </c>
      <c r="W82" s="75">
        <f t="shared" ca="1" si="22"/>
        <v>1032.5</v>
      </c>
      <c r="X82" s="200">
        <f t="shared" ca="1" si="23"/>
        <v>5237.5</v>
      </c>
      <c r="Y82" s="1">
        <v>0.5</v>
      </c>
      <c r="Z82" s="1"/>
      <c r="AA82" s="219"/>
      <c r="AB82" s="302"/>
      <c r="AC82" s="302"/>
      <c r="AD82" s="302"/>
      <c r="AE82" s="302"/>
      <c r="AF82">
        <f t="shared" si="18"/>
        <v>0</v>
      </c>
    </row>
    <row r="83" spans="1:32" hidden="1" x14ac:dyDescent="0.25">
      <c r="A83" s="322" t="s">
        <v>219</v>
      </c>
      <c r="B83" s="93" t="str">
        <f t="shared" si="17"/>
        <v>NO</v>
      </c>
      <c r="C83" s="93" t="s">
        <v>5503</v>
      </c>
      <c r="D83" s="2">
        <v>36817</v>
      </c>
      <c r="E83" s="2">
        <v>36861</v>
      </c>
      <c r="F83" s="2">
        <f t="shared" si="19"/>
        <v>40513</v>
      </c>
      <c r="G83" s="6">
        <v>52</v>
      </c>
      <c r="H83" s="7" t="s">
        <v>209</v>
      </c>
      <c r="I83" s="7" t="s">
        <v>15</v>
      </c>
      <c r="J83" s="103" t="s">
        <v>4778</v>
      </c>
      <c r="K83" s="266">
        <f t="shared" si="20"/>
        <v>2010</v>
      </c>
      <c r="L83" s="380"/>
      <c r="M83" s="380"/>
      <c r="N83" s="32" t="s">
        <v>20</v>
      </c>
      <c r="O83" s="32" t="s">
        <v>220</v>
      </c>
      <c r="P83" s="278"/>
      <c r="Q83" s="233">
        <v>200010071</v>
      </c>
      <c r="R83" s="75">
        <v>257</v>
      </c>
      <c r="S83" s="75">
        <v>104</v>
      </c>
      <c r="T83" s="75">
        <v>361</v>
      </c>
      <c r="U83" s="200">
        <v>104</v>
      </c>
      <c r="V83" s="287">
        <f t="shared" ca="1" si="21"/>
        <v>10</v>
      </c>
      <c r="W83" s="75">
        <f t="shared" ca="1" si="22"/>
        <v>910</v>
      </c>
      <c r="X83" s="200">
        <f t="shared" ca="1" si="23"/>
        <v>1193</v>
      </c>
      <c r="Y83" s="1">
        <v>0.5</v>
      </c>
      <c r="Z83" s="1"/>
      <c r="AA83" s="219"/>
      <c r="AB83" s="302"/>
      <c r="AC83" s="302"/>
      <c r="AD83" s="302"/>
      <c r="AE83" s="302"/>
      <c r="AF83">
        <f t="shared" si="18"/>
        <v>0</v>
      </c>
    </row>
    <row r="84" spans="1:32" hidden="1" x14ac:dyDescent="0.25">
      <c r="A84" s="322" t="s">
        <v>221</v>
      </c>
      <c r="B84" s="93" t="str">
        <f t="shared" si="17"/>
        <v>NO</v>
      </c>
      <c r="C84" s="93" t="s">
        <v>5503</v>
      </c>
      <c r="D84" s="2">
        <v>36817</v>
      </c>
      <c r="E84" s="2">
        <v>36861</v>
      </c>
      <c r="F84" s="2">
        <f t="shared" si="19"/>
        <v>40513</v>
      </c>
      <c r="G84" s="6">
        <v>183.5</v>
      </c>
      <c r="H84" s="7" t="s">
        <v>209</v>
      </c>
      <c r="I84" s="7" t="s">
        <v>15</v>
      </c>
      <c r="J84" s="103" t="s">
        <v>4778</v>
      </c>
      <c r="K84" s="266">
        <f t="shared" si="20"/>
        <v>2010</v>
      </c>
      <c r="L84" s="380"/>
      <c r="M84" s="380"/>
      <c r="N84" s="32" t="s">
        <v>20</v>
      </c>
      <c r="O84" s="32" t="s">
        <v>222</v>
      </c>
      <c r="P84" s="278" t="s">
        <v>223</v>
      </c>
      <c r="Q84" s="233">
        <v>200010072</v>
      </c>
      <c r="R84" s="75">
        <v>719</v>
      </c>
      <c r="S84" s="75">
        <v>5152</v>
      </c>
      <c r="T84" s="75">
        <v>5871</v>
      </c>
      <c r="U84" s="200">
        <v>368</v>
      </c>
      <c r="V84" s="287">
        <f t="shared" ca="1" si="21"/>
        <v>10</v>
      </c>
      <c r="W84" s="75">
        <f t="shared" ca="1" si="22"/>
        <v>3220</v>
      </c>
      <c r="X84" s="200">
        <f t="shared" ca="1" si="23"/>
        <v>8815</v>
      </c>
      <c r="Y84" s="1">
        <v>0.5</v>
      </c>
      <c r="Z84" s="1"/>
      <c r="AA84" s="219"/>
      <c r="AB84" s="302"/>
      <c r="AC84" s="302"/>
      <c r="AD84" s="302"/>
      <c r="AE84" s="302"/>
      <c r="AF84">
        <f t="shared" si="18"/>
        <v>0</v>
      </c>
    </row>
    <row r="85" spans="1:32" hidden="1" x14ac:dyDescent="0.25">
      <c r="A85" s="322" t="s">
        <v>224</v>
      </c>
      <c r="B85" s="93" t="str">
        <f t="shared" si="17"/>
        <v>NO</v>
      </c>
      <c r="C85" s="93" t="s">
        <v>5503</v>
      </c>
      <c r="D85" s="2">
        <v>36817</v>
      </c>
      <c r="E85" s="2">
        <v>36861</v>
      </c>
      <c r="F85" s="2">
        <f t="shared" si="19"/>
        <v>40513</v>
      </c>
      <c r="G85" s="6">
        <v>1395.31</v>
      </c>
      <c r="H85" s="7" t="s">
        <v>225</v>
      </c>
      <c r="I85" s="7" t="s">
        <v>15</v>
      </c>
      <c r="J85" s="103" t="s">
        <v>4794</v>
      </c>
      <c r="K85" s="266">
        <f t="shared" si="20"/>
        <v>2010</v>
      </c>
      <c r="L85" s="380"/>
      <c r="M85" s="380"/>
      <c r="N85" s="32" t="s">
        <v>49</v>
      </c>
      <c r="O85" s="32" t="s">
        <v>226</v>
      </c>
      <c r="P85" s="278" t="s">
        <v>227</v>
      </c>
      <c r="Q85" s="233">
        <v>200010079</v>
      </c>
      <c r="R85" s="75">
        <v>4961</v>
      </c>
      <c r="S85" s="75">
        <v>6980</v>
      </c>
      <c r="T85" s="75">
        <v>11941</v>
      </c>
      <c r="V85" s="287">
        <f t="shared" ca="1" si="21"/>
        <v>10</v>
      </c>
      <c r="W85" s="75">
        <f t="shared" ca="1" si="22"/>
        <v>24430</v>
      </c>
      <c r="X85" s="200">
        <f t="shared" ca="1" si="23"/>
        <v>34277</v>
      </c>
      <c r="Y85" s="1">
        <v>0.5</v>
      </c>
      <c r="Z85" s="1"/>
      <c r="AA85" s="219"/>
      <c r="AB85" s="302"/>
      <c r="AC85" s="302"/>
      <c r="AD85" s="302"/>
      <c r="AE85" s="302"/>
      <c r="AF85">
        <f t="shared" si="18"/>
        <v>0</v>
      </c>
    </row>
    <row r="86" spans="1:32" hidden="1" x14ac:dyDescent="0.25">
      <c r="A86" s="322" t="s">
        <v>228</v>
      </c>
      <c r="B86" s="93" t="str">
        <f t="shared" si="17"/>
        <v>NO</v>
      </c>
      <c r="C86" s="93" t="s">
        <v>5503</v>
      </c>
      <c r="D86" s="2">
        <v>36817</v>
      </c>
      <c r="E86" s="2">
        <v>36861</v>
      </c>
      <c r="F86" s="2">
        <f t="shared" si="19"/>
        <v>40513</v>
      </c>
      <c r="G86" s="6">
        <v>2209.64</v>
      </c>
      <c r="H86" s="7" t="s">
        <v>229</v>
      </c>
      <c r="I86" s="7" t="s">
        <v>15</v>
      </c>
      <c r="J86" s="103" t="s">
        <v>4778</v>
      </c>
      <c r="K86" s="266">
        <f t="shared" si="20"/>
        <v>2010</v>
      </c>
      <c r="L86" s="380"/>
      <c r="M86" s="380"/>
      <c r="N86" s="32" t="s">
        <v>20</v>
      </c>
      <c r="O86" s="32" t="s">
        <v>230</v>
      </c>
      <c r="P86" s="278" t="s">
        <v>231</v>
      </c>
      <c r="Q86" s="233">
        <v>200010082</v>
      </c>
      <c r="R86" s="75">
        <v>7810</v>
      </c>
      <c r="S86" s="75">
        <v>15470</v>
      </c>
      <c r="T86" s="75">
        <v>23280</v>
      </c>
      <c r="U86" s="200">
        <v>4420</v>
      </c>
      <c r="V86" s="287">
        <f t="shared" ca="1" si="21"/>
        <v>10</v>
      </c>
      <c r="W86" s="75">
        <f t="shared" ca="1" si="22"/>
        <v>38675</v>
      </c>
      <c r="X86" s="200">
        <f t="shared" ca="1" si="23"/>
        <v>58640</v>
      </c>
      <c r="Y86" s="1">
        <v>0.5</v>
      </c>
      <c r="Z86" s="1"/>
      <c r="AA86" s="219"/>
      <c r="AB86" s="302"/>
      <c r="AC86" s="302"/>
      <c r="AD86" s="302"/>
      <c r="AE86" s="302"/>
      <c r="AF86">
        <f t="shared" si="18"/>
        <v>0</v>
      </c>
    </row>
    <row r="87" spans="1:32" hidden="1" x14ac:dyDescent="0.25">
      <c r="A87" s="322" t="s">
        <v>232</v>
      </c>
      <c r="B87" s="93" t="str">
        <f t="shared" si="17"/>
        <v>NO</v>
      </c>
      <c r="C87" s="93" t="s">
        <v>5503</v>
      </c>
      <c r="D87" s="2">
        <v>36817</v>
      </c>
      <c r="E87" s="2">
        <v>36861</v>
      </c>
      <c r="F87" s="2">
        <f t="shared" si="19"/>
        <v>40513</v>
      </c>
      <c r="G87" s="6">
        <v>34</v>
      </c>
      <c r="H87" s="7" t="s">
        <v>229</v>
      </c>
      <c r="I87" s="7" t="s">
        <v>15</v>
      </c>
      <c r="J87" s="103" t="s">
        <v>4778</v>
      </c>
      <c r="K87" s="266">
        <f t="shared" si="20"/>
        <v>2010</v>
      </c>
      <c r="L87" s="380"/>
      <c r="M87" s="380"/>
      <c r="N87" s="32" t="s">
        <v>20</v>
      </c>
      <c r="O87" s="32" t="s">
        <v>233</v>
      </c>
      <c r="P87" s="278"/>
      <c r="Q87" s="233">
        <v>200010083</v>
      </c>
      <c r="R87" s="75">
        <v>194</v>
      </c>
      <c r="S87" s="75">
        <v>782</v>
      </c>
      <c r="T87" s="75">
        <v>976</v>
      </c>
      <c r="U87" s="200">
        <v>68</v>
      </c>
      <c r="V87" s="287">
        <f t="shared" ca="1" si="21"/>
        <v>10</v>
      </c>
      <c r="W87" s="75">
        <f t="shared" ca="1" si="22"/>
        <v>595</v>
      </c>
      <c r="X87" s="200">
        <f t="shared" ca="1" si="23"/>
        <v>1520</v>
      </c>
      <c r="Y87" s="1">
        <v>0.5</v>
      </c>
      <c r="Z87" s="1"/>
      <c r="AA87" s="219"/>
      <c r="AB87" s="302"/>
      <c r="AC87" s="302"/>
      <c r="AD87" s="302"/>
      <c r="AE87" s="302"/>
      <c r="AF87">
        <f t="shared" si="18"/>
        <v>0</v>
      </c>
    </row>
    <row r="88" spans="1:32" hidden="1" x14ac:dyDescent="0.25">
      <c r="A88" s="322" t="s">
        <v>234</v>
      </c>
      <c r="B88" s="93" t="str">
        <f t="shared" si="17"/>
        <v>NO</v>
      </c>
      <c r="C88" s="93" t="s">
        <v>5503</v>
      </c>
      <c r="D88" s="2">
        <v>36817</v>
      </c>
      <c r="E88" s="2">
        <v>36861</v>
      </c>
      <c r="F88" s="2">
        <f t="shared" si="19"/>
        <v>40513</v>
      </c>
      <c r="G88" s="6">
        <v>614</v>
      </c>
      <c r="H88" s="7" t="s">
        <v>229</v>
      </c>
      <c r="I88" s="7" t="s">
        <v>15</v>
      </c>
      <c r="J88" s="103" t="s">
        <v>4778</v>
      </c>
      <c r="K88" s="266">
        <f t="shared" si="20"/>
        <v>2010</v>
      </c>
      <c r="L88" s="380"/>
      <c r="M88" s="380"/>
      <c r="N88" s="32" t="s">
        <v>20</v>
      </c>
      <c r="O88" s="32" t="s">
        <v>235</v>
      </c>
      <c r="P88" s="278"/>
      <c r="Q88" s="233">
        <v>200010084</v>
      </c>
      <c r="R88" s="75">
        <v>2224</v>
      </c>
      <c r="S88" s="75">
        <v>1228</v>
      </c>
      <c r="T88" s="75">
        <v>3452</v>
      </c>
      <c r="U88" s="200">
        <v>1228</v>
      </c>
      <c r="V88" s="287">
        <f t="shared" ca="1" si="21"/>
        <v>10</v>
      </c>
      <c r="W88" s="75">
        <f t="shared" ca="1" si="22"/>
        <v>10745</v>
      </c>
      <c r="X88" s="200">
        <f t="shared" ca="1" si="23"/>
        <v>13276</v>
      </c>
      <c r="Y88" s="1">
        <v>0.5</v>
      </c>
      <c r="Z88" s="1"/>
      <c r="AA88" s="219"/>
      <c r="AB88" s="302"/>
      <c r="AC88" s="302"/>
      <c r="AD88" s="302"/>
      <c r="AE88" s="302"/>
      <c r="AF88">
        <f t="shared" si="18"/>
        <v>0</v>
      </c>
    </row>
    <row r="89" spans="1:32" ht="26.25" hidden="1" x14ac:dyDescent="0.25">
      <c r="A89" s="322" t="s">
        <v>236</v>
      </c>
      <c r="B89" s="93" t="str">
        <f t="shared" si="17"/>
        <v>NO</v>
      </c>
      <c r="C89" s="93" t="s">
        <v>5503</v>
      </c>
      <c r="D89" s="2">
        <v>36817</v>
      </c>
      <c r="E89" s="2">
        <v>36861</v>
      </c>
      <c r="F89" s="2">
        <f t="shared" si="19"/>
        <v>40513</v>
      </c>
      <c r="G89" s="6">
        <v>184.01</v>
      </c>
      <c r="H89" s="7" t="s">
        <v>237</v>
      </c>
      <c r="I89" s="7" t="s">
        <v>15</v>
      </c>
      <c r="J89" s="103" t="s">
        <v>4778</v>
      </c>
      <c r="K89" s="266">
        <f t="shared" si="20"/>
        <v>2010</v>
      </c>
      <c r="L89" s="380"/>
      <c r="M89" s="380"/>
      <c r="N89" s="32" t="s">
        <v>238</v>
      </c>
      <c r="O89" s="32"/>
      <c r="P89" s="278" t="s">
        <v>239</v>
      </c>
      <c r="Q89" s="233">
        <v>200010091</v>
      </c>
      <c r="R89" s="75">
        <v>722.5</v>
      </c>
      <c r="S89" s="75">
        <v>1480</v>
      </c>
      <c r="T89" s="75">
        <v>2202.5</v>
      </c>
      <c r="U89" s="200">
        <v>370</v>
      </c>
      <c r="V89" s="287">
        <f t="shared" ca="1" si="21"/>
        <v>10</v>
      </c>
      <c r="W89" s="75">
        <f t="shared" ca="1" si="22"/>
        <v>3237.5</v>
      </c>
      <c r="X89" s="200">
        <f t="shared" ca="1" si="23"/>
        <v>5162.5</v>
      </c>
      <c r="Y89" s="1">
        <v>0.5</v>
      </c>
      <c r="Z89" s="1"/>
      <c r="AA89" s="219"/>
      <c r="AB89" s="302"/>
      <c r="AC89" s="302"/>
      <c r="AD89" s="302"/>
      <c r="AE89" s="302"/>
      <c r="AF89">
        <f t="shared" si="18"/>
        <v>0</v>
      </c>
    </row>
    <row r="90" spans="1:32" ht="26.25" hidden="1" x14ac:dyDescent="0.25">
      <c r="A90" s="322" t="s">
        <v>240</v>
      </c>
      <c r="B90" s="93" t="str">
        <f t="shared" si="17"/>
        <v>NO</v>
      </c>
      <c r="C90" s="93" t="s">
        <v>5503</v>
      </c>
      <c r="D90" s="2">
        <v>36817</v>
      </c>
      <c r="E90" s="2"/>
      <c r="F90" s="2"/>
      <c r="G90" s="3"/>
      <c r="H90" s="3"/>
      <c r="I90" s="7"/>
      <c r="J90" s="103" t="s">
        <v>4795</v>
      </c>
      <c r="K90" s="266"/>
      <c r="L90" s="380"/>
      <c r="M90" s="380"/>
      <c r="N90" s="32"/>
      <c r="O90" s="32"/>
      <c r="P90" s="278"/>
      <c r="Q90" s="235"/>
      <c r="R90" s="75">
        <v>2955</v>
      </c>
      <c r="S90" s="75">
        <v>-2880</v>
      </c>
      <c r="T90" s="75">
        <v>75</v>
      </c>
      <c r="U90" s="200"/>
      <c r="V90" s="75"/>
      <c r="W90" s="75"/>
      <c r="X90" s="200"/>
      <c r="Y90" s="1">
        <v>0.5</v>
      </c>
      <c r="Z90" s="1"/>
      <c r="AA90" s="219"/>
      <c r="AB90" s="302"/>
      <c r="AC90" s="302"/>
      <c r="AD90" s="302"/>
      <c r="AE90" s="302"/>
      <c r="AF90">
        <f t="shared" si="18"/>
        <v>0</v>
      </c>
    </row>
    <row r="91" spans="1:32" hidden="1" x14ac:dyDescent="0.25">
      <c r="A91" s="323"/>
      <c r="D91" s="2"/>
      <c r="E91" s="2"/>
      <c r="F91" s="2"/>
      <c r="G91" s="3"/>
      <c r="H91" s="7"/>
      <c r="I91" s="7"/>
      <c r="J91" s="109"/>
      <c r="K91" s="109"/>
      <c r="L91" s="385"/>
      <c r="M91" s="385"/>
      <c r="N91" s="32"/>
      <c r="O91" s="32"/>
      <c r="P91" s="278"/>
      <c r="Q91" s="235"/>
      <c r="R91" s="75"/>
      <c r="S91" s="75"/>
      <c r="T91" s="75"/>
      <c r="U91" s="200"/>
      <c r="V91" s="75"/>
      <c r="W91" s="75"/>
      <c r="X91" s="200"/>
      <c r="Y91" s="1"/>
      <c r="Z91" s="1"/>
      <c r="AA91" s="219"/>
      <c r="AB91" s="302"/>
      <c r="AC91" s="302"/>
      <c r="AD91" s="302"/>
      <c r="AE91" s="302"/>
      <c r="AF91">
        <f t="shared" si="18"/>
        <v>0</v>
      </c>
    </row>
    <row r="92" spans="1:32" ht="26.25" hidden="1" x14ac:dyDescent="0.25">
      <c r="A92" s="322" t="s">
        <v>241</v>
      </c>
      <c r="B92" s="93" t="str">
        <f t="shared" si="17"/>
        <v>NO</v>
      </c>
      <c r="C92" s="93" t="s">
        <v>5503</v>
      </c>
      <c r="D92" s="2">
        <v>36972</v>
      </c>
      <c r="E92" s="2">
        <v>36982</v>
      </c>
      <c r="F92" s="2">
        <f t="shared" si="19"/>
        <v>40634</v>
      </c>
      <c r="G92" s="6">
        <v>6.43</v>
      </c>
      <c r="H92" s="7" t="s">
        <v>243</v>
      </c>
      <c r="I92" s="7" t="s">
        <v>79</v>
      </c>
      <c r="J92" s="103" t="s">
        <v>4779</v>
      </c>
      <c r="K92" s="266">
        <f t="shared" ref="K92:K101" si="24">YEAR(F92)</f>
        <v>2011</v>
      </c>
      <c r="L92" s="380"/>
      <c r="M92" s="380"/>
      <c r="N92" s="32"/>
      <c r="O92" s="32" t="s">
        <v>244</v>
      </c>
      <c r="P92" s="278" t="s">
        <v>245</v>
      </c>
      <c r="Q92" s="233" t="s">
        <v>242</v>
      </c>
      <c r="R92" s="75">
        <v>127.5</v>
      </c>
      <c r="S92" s="75">
        <v>0</v>
      </c>
      <c r="T92" s="75">
        <v>127.5</v>
      </c>
      <c r="U92" s="200">
        <v>14</v>
      </c>
      <c r="V92" s="287">
        <f t="shared" ref="V92:V101" ca="1" si="25">IF(YEAR($W$3)-YEAR(E92)&gt;9,10,IF(MONTH($W$3)&lt;MONTH(E92),YEAR($W$3)-YEAR(E92),YEAR($W$3)-YEAR(E92)+1))</f>
        <v>10</v>
      </c>
      <c r="W92" s="75">
        <f t="shared" ref="W92:W101" ca="1" si="26">IF(V92&lt;6, ROUNDUP(G92,0)*$W$6*V92, ROUNDUP(G92,0)*($W$6*5 + (V92-5)*$W$7))</f>
        <v>122.5</v>
      </c>
      <c r="X92" s="200">
        <f t="shared" ref="X92:X101" ca="1" si="27">IF(V92=0,T92,((T92-ROUNDUP(G92,0)*1.5)+W92))</f>
        <v>239.5</v>
      </c>
      <c r="Y92" s="1">
        <v>0.5</v>
      </c>
      <c r="Z92" s="1"/>
      <c r="AA92" s="219"/>
      <c r="AB92" s="302"/>
      <c r="AC92" s="302"/>
      <c r="AD92" s="302"/>
      <c r="AE92" s="302"/>
      <c r="AF92">
        <f t="shared" si="18"/>
        <v>0</v>
      </c>
    </row>
    <row r="93" spans="1:32" hidden="1" x14ac:dyDescent="0.25">
      <c r="A93" s="322" t="s">
        <v>246</v>
      </c>
      <c r="B93" s="93" t="str">
        <f t="shared" si="17"/>
        <v>NO</v>
      </c>
      <c r="C93" s="93" t="s">
        <v>5503</v>
      </c>
      <c r="D93" s="2">
        <v>36972</v>
      </c>
      <c r="E93" s="2">
        <v>36982</v>
      </c>
      <c r="F93" s="2">
        <f t="shared" si="19"/>
        <v>40634</v>
      </c>
      <c r="G93" s="6">
        <v>40.799999999999997</v>
      </c>
      <c r="H93" s="7" t="s">
        <v>248</v>
      </c>
      <c r="I93" s="7" t="s">
        <v>86</v>
      </c>
      <c r="J93" s="103" t="s">
        <v>4779</v>
      </c>
      <c r="K93" s="266">
        <f t="shared" si="24"/>
        <v>2011</v>
      </c>
      <c r="L93" s="408"/>
      <c r="M93" s="408"/>
      <c r="N93" s="32"/>
      <c r="O93" s="32" t="s">
        <v>249</v>
      </c>
      <c r="P93" s="278" t="s">
        <v>250</v>
      </c>
      <c r="Q93" s="233" t="s">
        <v>247</v>
      </c>
      <c r="R93" s="75">
        <v>2391.5</v>
      </c>
      <c r="S93" s="75">
        <v>0</v>
      </c>
      <c r="T93" s="75">
        <v>2391.5</v>
      </c>
      <c r="U93" s="200">
        <v>82</v>
      </c>
      <c r="V93" s="287">
        <f t="shared" ca="1" si="25"/>
        <v>10</v>
      </c>
      <c r="W93" s="75">
        <f t="shared" ca="1" si="26"/>
        <v>717.5</v>
      </c>
      <c r="X93" s="200">
        <f t="shared" ca="1" si="27"/>
        <v>3047.5</v>
      </c>
      <c r="Y93" s="1">
        <v>0.5</v>
      </c>
      <c r="Z93" s="1"/>
      <c r="AA93" s="219"/>
      <c r="AB93" s="302"/>
      <c r="AC93" s="302"/>
      <c r="AD93" s="302"/>
      <c r="AE93" s="302"/>
      <c r="AF93">
        <f t="shared" si="18"/>
        <v>0</v>
      </c>
    </row>
    <row r="94" spans="1:32" hidden="1" x14ac:dyDescent="0.25">
      <c r="A94" s="322" t="s">
        <v>251</v>
      </c>
      <c r="B94" s="93" t="str">
        <f t="shared" si="17"/>
        <v>NO</v>
      </c>
      <c r="C94" s="93" t="s">
        <v>5503</v>
      </c>
      <c r="D94" s="2">
        <v>36972</v>
      </c>
      <c r="E94" s="2">
        <v>36982</v>
      </c>
      <c r="F94" s="2">
        <f t="shared" si="19"/>
        <v>40634</v>
      </c>
      <c r="G94" s="6">
        <v>80</v>
      </c>
      <c r="H94" s="7" t="s">
        <v>85</v>
      </c>
      <c r="I94" s="7" t="s">
        <v>86</v>
      </c>
      <c r="J94" s="103" t="s">
        <v>4779</v>
      </c>
      <c r="K94" s="266">
        <f t="shared" si="24"/>
        <v>2011</v>
      </c>
      <c r="L94" s="408"/>
      <c r="M94" s="408"/>
      <c r="N94" s="32"/>
      <c r="O94" s="32" t="s">
        <v>253</v>
      </c>
      <c r="P94" s="278" t="s">
        <v>254</v>
      </c>
      <c r="Q94" s="233" t="s">
        <v>252</v>
      </c>
      <c r="R94" s="75">
        <v>14195</v>
      </c>
      <c r="S94" s="75">
        <v>0</v>
      </c>
      <c r="T94" s="75">
        <v>14195</v>
      </c>
      <c r="U94" s="200">
        <v>160</v>
      </c>
      <c r="V94" s="287">
        <f t="shared" ca="1" si="25"/>
        <v>10</v>
      </c>
      <c r="W94" s="75">
        <f t="shared" ca="1" si="26"/>
        <v>1400</v>
      </c>
      <c r="X94" s="200">
        <f t="shared" ca="1" si="27"/>
        <v>15475</v>
      </c>
      <c r="Y94" s="1">
        <v>0.5</v>
      </c>
      <c r="Z94" s="1"/>
      <c r="AA94" s="219"/>
      <c r="AB94" s="302"/>
      <c r="AC94" s="302"/>
      <c r="AD94" s="302"/>
      <c r="AE94" s="302"/>
      <c r="AF94">
        <f t="shared" si="18"/>
        <v>0</v>
      </c>
    </row>
    <row r="95" spans="1:32" hidden="1" x14ac:dyDescent="0.25">
      <c r="A95" s="322" t="s">
        <v>255</v>
      </c>
      <c r="B95" s="93" t="str">
        <f t="shared" si="17"/>
        <v>NO</v>
      </c>
      <c r="C95" s="93" t="s">
        <v>5503</v>
      </c>
      <c r="D95" s="2">
        <v>36972</v>
      </c>
      <c r="E95" s="2">
        <v>36982</v>
      </c>
      <c r="F95" s="2">
        <f t="shared" si="19"/>
        <v>40634</v>
      </c>
      <c r="G95" s="6">
        <v>106.24</v>
      </c>
      <c r="H95" s="7" t="s">
        <v>111</v>
      </c>
      <c r="I95" s="7" t="s">
        <v>86</v>
      </c>
      <c r="J95" s="103" t="s">
        <v>4779</v>
      </c>
      <c r="K95" s="266">
        <f t="shared" si="24"/>
        <v>2011</v>
      </c>
      <c r="L95" s="408"/>
      <c r="M95" s="408"/>
      <c r="N95" s="32"/>
      <c r="O95" s="32" t="s">
        <v>257</v>
      </c>
      <c r="P95" s="278" t="s">
        <v>258</v>
      </c>
      <c r="Q95" s="233" t="s">
        <v>256</v>
      </c>
      <c r="R95" s="75">
        <v>6655.5</v>
      </c>
      <c r="S95" s="75">
        <v>0</v>
      </c>
      <c r="T95" s="75">
        <v>6655.5</v>
      </c>
      <c r="U95" s="200">
        <v>214</v>
      </c>
      <c r="V95" s="287">
        <f t="shared" ca="1" si="25"/>
        <v>10</v>
      </c>
      <c r="W95" s="75">
        <f t="shared" ca="1" si="26"/>
        <v>1872.5</v>
      </c>
      <c r="X95" s="200">
        <f t="shared" ca="1" si="27"/>
        <v>8367.5</v>
      </c>
      <c r="Y95" s="1">
        <v>0.5</v>
      </c>
      <c r="Z95" s="1"/>
      <c r="AA95" s="219"/>
      <c r="AB95" s="302"/>
      <c r="AC95" s="302"/>
      <c r="AD95" s="302"/>
      <c r="AE95" s="302"/>
      <c r="AF95">
        <f t="shared" si="18"/>
        <v>0</v>
      </c>
    </row>
    <row r="96" spans="1:32" ht="26.25" hidden="1" x14ac:dyDescent="0.25">
      <c r="A96" s="322" t="s">
        <v>259</v>
      </c>
      <c r="B96" s="93" t="str">
        <f t="shared" si="17"/>
        <v>NO</v>
      </c>
      <c r="C96" s="93" t="s">
        <v>5503</v>
      </c>
      <c r="D96" s="2">
        <v>36972</v>
      </c>
      <c r="E96" s="2">
        <v>36982</v>
      </c>
      <c r="F96" s="2">
        <f t="shared" si="19"/>
        <v>40634</v>
      </c>
      <c r="G96" s="6">
        <v>398.47</v>
      </c>
      <c r="H96" s="7" t="s">
        <v>261</v>
      </c>
      <c r="I96" s="7" t="s">
        <v>86</v>
      </c>
      <c r="J96" s="103" t="s">
        <v>4796</v>
      </c>
      <c r="K96" s="266">
        <f t="shared" si="24"/>
        <v>2011</v>
      </c>
      <c r="L96" s="411"/>
      <c r="M96" s="411"/>
      <c r="N96" s="136"/>
      <c r="O96" s="32" t="s">
        <v>262</v>
      </c>
      <c r="P96" s="278" t="s">
        <v>263</v>
      </c>
      <c r="Q96" s="233" t="s">
        <v>260</v>
      </c>
      <c r="R96" s="75">
        <v>36583.5</v>
      </c>
      <c r="S96" s="75">
        <v>0</v>
      </c>
      <c r="T96" s="75">
        <v>36583.5</v>
      </c>
      <c r="U96" s="200">
        <v>798</v>
      </c>
      <c r="V96" s="287">
        <f t="shared" ca="1" si="25"/>
        <v>10</v>
      </c>
      <c r="W96" s="75">
        <f t="shared" ca="1" si="26"/>
        <v>6982.5</v>
      </c>
      <c r="X96" s="200">
        <f t="shared" ca="1" si="27"/>
        <v>42967.5</v>
      </c>
      <c r="Y96" s="1">
        <v>0.5</v>
      </c>
      <c r="Z96" s="1"/>
      <c r="AA96" s="219"/>
      <c r="AB96" s="302"/>
      <c r="AC96" s="302"/>
      <c r="AD96" s="302"/>
      <c r="AE96" s="302"/>
      <c r="AF96">
        <f t="shared" si="18"/>
        <v>0</v>
      </c>
    </row>
    <row r="97" spans="1:32" ht="26.25" hidden="1" x14ac:dyDescent="0.25">
      <c r="A97" s="322" t="s">
        <v>264</v>
      </c>
      <c r="B97" s="93" t="str">
        <f t="shared" si="17"/>
        <v>NO</v>
      </c>
      <c r="C97" s="93" t="s">
        <v>5503</v>
      </c>
      <c r="D97" s="2">
        <v>36973</v>
      </c>
      <c r="E97" s="2">
        <v>36982</v>
      </c>
      <c r="F97" s="2">
        <f t="shared" si="19"/>
        <v>40634</v>
      </c>
      <c r="G97" s="6">
        <v>2167.4899999999998</v>
      </c>
      <c r="H97" s="7" t="s">
        <v>266</v>
      </c>
      <c r="I97" s="7" t="s">
        <v>72</v>
      </c>
      <c r="J97" s="103" t="s">
        <v>4779</v>
      </c>
      <c r="K97" s="266">
        <f t="shared" si="24"/>
        <v>2011</v>
      </c>
      <c r="L97" s="380"/>
      <c r="M97" s="380"/>
      <c r="N97" s="32" t="s">
        <v>267</v>
      </c>
      <c r="O97" s="32" t="s">
        <v>268</v>
      </c>
      <c r="P97" s="278" t="s">
        <v>269</v>
      </c>
      <c r="Q97" s="233" t="s">
        <v>265</v>
      </c>
      <c r="R97" s="75">
        <v>3327</v>
      </c>
      <c r="S97" s="75"/>
      <c r="T97" s="75">
        <v>3327</v>
      </c>
      <c r="U97" s="200">
        <v>4336</v>
      </c>
      <c r="V97" s="287">
        <f t="shared" ca="1" si="25"/>
        <v>10</v>
      </c>
      <c r="W97" s="75">
        <f t="shared" ca="1" si="26"/>
        <v>37940</v>
      </c>
      <c r="X97" s="200">
        <f t="shared" ca="1" si="27"/>
        <v>38015</v>
      </c>
      <c r="Y97" s="1">
        <v>0.5</v>
      </c>
      <c r="Z97" s="1"/>
      <c r="AA97" s="219"/>
      <c r="AB97" s="302"/>
      <c r="AC97" s="302"/>
      <c r="AD97" s="302"/>
      <c r="AE97" s="302"/>
      <c r="AF97">
        <f t="shared" si="18"/>
        <v>0</v>
      </c>
    </row>
    <row r="98" spans="1:32" hidden="1" x14ac:dyDescent="0.25">
      <c r="A98" s="322" t="s">
        <v>270</v>
      </c>
      <c r="B98" s="93" t="str">
        <f t="shared" si="17"/>
        <v>NO</v>
      </c>
      <c r="C98" s="93" t="s">
        <v>5503</v>
      </c>
      <c r="D98" s="2">
        <v>36973</v>
      </c>
      <c r="E98" s="2">
        <v>36982</v>
      </c>
      <c r="F98" s="2">
        <f t="shared" si="19"/>
        <v>40634</v>
      </c>
      <c r="G98" s="6">
        <v>2219.61</v>
      </c>
      <c r="H98" s="7" t="s">
        <v>266</v>
      </c>
      <c r="I98" s="7" t="s">
        <v>72</v>
      </c>
      <c r="J98" s="103" t="s">
        <v>4779</v>
      </c>
      <c r="K98" s="266">
        <f t="shared" si="24"/>
        <v>2011</v>
      </c>
      <c r="L98" s="380"/>
      <c r="M98" s="380"/>
      <c r="N98" s="32" t="s">
        <v>267</v>
      </c>
      <c r="O98" s="32" t="s">
        <v>272</v>
      </c>
      <c r="P98" s="278" t="s">
        <v>273</v>
      </c>
      <c r="Q98" s="233" t="s">
        <v>271</v>
      </c>
      <c r="R98" s="75">
        <v>3405</v>
      </c>
      <c r="S98" s="75"/>
      <c r="T98" s="75">
        <v>3405</v>
      </c>
      <c r="U98" s="200">
        <v>4440</v>
      </c>
      <c r="V98" s="287">
        <f t="shared" ca="1" si="25"/>
        <v>10</v>
      </c>
      <c r="W98" s="75">
        <f t="shared" ca="1" si="26"/>
        <v>38850</v>
      </c>
      <c r="X98" s="200">
        <f t="shared" ca="1" si="27"/>
        <v>38925</v>
      </c>
      <c r="Y98" s="1">
        <v>0.5</v>
      </c>
      <c r="Z98" s="1"/>
      <c r="AA98" s="219"/>
      <c r="AB98" s="302"/>
      <c r="AC98" s="302"/>
      <c r="AD98" s="302"/>
      <c r="AE98" s="302"/>
      <c r="AF98">
        <f t="shared" si="18"/>
        <v>0</v>
      </c>
    </row>
    <row r="99" spans="1:32" hidden="1" x14ac:dyDescent="0.25">
      <c r="A99" s="322" t="s">
        <v>274</v>
      </c>
      <c r="B99" s="93" t="str">
        <f t="shared" si="17"/>
        <v>NO</v>
      </c>
      <c r="C99" s="93" t="s">
        <v>5503</v>
      </c>
      <c r="D99" s="2">
        <v>36973</v>
      </c>
      <c r="E99" s="2">
        <v>36982</v>
      </c>
      <c r="F99" s="2">
        <f t="shared" si="19"/>
        <v>40634</v>
      </c>
      <c r="G99" s="6">
        <v>1927.58</v>
      </c>
      <c r="H99" s="7" t="s">
        <v>266</v>
      </c>
      <c r="I99" s="7" t="s">
        <v>72</v>
      </c>
      <c r="J99" s="103" t="s">
        <v>4779</v>
      </c>
      <c r="K99" s="266">
        <f t="shared" si="24"/>
        <v>2011</v>
      </c>
      <c r="L99" s="380"/>
      <c r="M99" s="380"/>
      <c r="N99" s="32" t="s">
        <v>267</v>
      </c>
      <c r="O99" s="32" t="s">
        <v>272</v>
      </c>
      <c r="P99" s="278" t="s">
        <v>276</v>
      </c>
      <c r="Q99" s="233" t="s">
        <v>275</v>
      </c>
      <c r="R99" s="75">
        <v>2967</v>
      </c>
      <c r="S99" s="75"/>
      <c r="T99" s="75">
        <v>2967</v>
      </c>
      <c r="U99" s="200">
        <v>3856</v>
      </c>
      <c r="V99" s="287">
        <f t="shared" ca="1" si="25"/>
        <v>10</v>
      </c>
      <c r="W99" s="75">
        <f t="shared" ca="1" si="26"/>
        <v>33740</v>
      </c>
      <c r="X99" s="200">
        <f t="shared" ca="1" si="27"/>
        <v>33815</v>
      </c>
      <c r="Y99" s="1">
        <v>0.5</v>
      </c>
      <c r="Z99" s="1"/>
      <c r="AA99" s="219"/>
      <c r="AB99" s="302"/>
      <c r="AC99" s="302"/>
      <c r="AD99" s="302"/>
      <c r="AE99" s="302"/>
      <c r="AF99">
        <f t="shared" si="18"/>
        <v>0</v>
      </c>
    </row>
    <row r="100" spans="1:32" hidden="1" x14ac:dyDescent="0.25">
      <c r="A100" s="322" t="s">
        <v>277</v>
      </c>
      <c r="B100" s="93" t="str">
        <f t="shared" si="17"/>
        <v>NO</v>
      </c>
      <c r="C100" s="93" t="s">
        <v>5503</v>
      </c>
      <c r="D100" s="2">
        <v>36973</v>
      </c>
      <c r="E100" s="2">
        <v>36982</v>
      </c>
      <c r="F100" s="2">
        <f t="shared" si="19"/>
        <v>40634</v>
      </c>
      <c r="G100" s="6">
        <v>1986.9</v>
      </c>
      <c r="H100" s="7" t="s">
        <v>266</v>
      </c>
      <c r="I100" s="7" t="s">
        <v>72</v>
      </c>
      <c r="J100" s="103" t="s">
        <v>4779</v>
      </c>
      <c r="K100" s="266">
        <f t="shared" si="24"/>
        <v>2011</v>
      </c>
      <c r="L100" s="380"/>
      <c r="M100" s="380"/>
      <c r="N100" s="32" t="s">
        <v>267</v>
      </c>
      <c r="O100" s="32" t="s">
        <v>279</v>
      </c>
      <c r="P100" s="278" t="s">
        <v>280</v>
      </c>
      <c r="Q100" s="233" t="s">
        <v>278</v>
      </c>
      <c r="R100" s="75">
        <v>3055.5</v>
      </c>
      <c r="S100" s="75"/>
      <c r="T100" s="75">
        <v>3055.5</v>
      </c>
      <c r="U100" s="200">
        <v>3974</v>
      </c>
      <c r="V100" s="287">
        <f t="shared" ca="1" si="25"/>
        <v>10</v>
      </c>
      <c r="W100" s="75">
        <f t="shared" ca="1" si="26"/>
        <v>34772.5</v>
      </c>
      <c r="X100" s="200">
        <f t="shared" ca="1" si="27"/>
        <v>34847.5</v>
      </c>
      <c r="Y100" s="1">
        <v>0.5</v>
      </c>
      <c r="Z100" s="1"/>
      <c r="AA100" s="219"/>
      <c r="AB100" s="302"/>
      <c r="AC100" s="302"/>
      <c r="AD100" s="302"/>
      <c r="AE100" s="302"/>
      <c r="AF100">
        <f t="shared" si="18"/>
        <v>0</v>
      </c>
    </row>
    <row r="101" spans="1:32" hidden="1" x14ac:dyDescent="0.25">
      <c r="A101" s="322" t="s">
        <v>281</v>
      </c>
      <c r="B101" s="93" t="str">
        <f t="shared" si="17"/>
        <v>NO</v>
      </c>
      <c r="C101" s="93" t="s">
        <v>5503</v>
      </c>
      <c r="D101" s="2">
        <v>36973</v>
      </c>
      <c r="E101" s="2">
        <v>36982</v>
      </c>
      <c r="F101" s="2">
        <f t="shared" si="19"/>
        <v>40634</v>
      </c>
      <c r="G101" s="6">
        <v>1556.57</v>
      </c>
      <c r="H101" s="7" t="s">
        <v>266</v>
      </c>
      <c r="I101" s="7" t="s">
        <v>72</v>
      </c>
      <c r="J101" s="103" t="s">
        <v>4779</v>
      </c>
      <c r="K101" s="266">
        <f t="shared" si="24"/>
        <v>2011</v>
      </c>
      <c r="L101" s="380"/>
      <c r="M101" s="380"/>
      <c r="N101" s="32" t="s">
        <v>267</v>
      </c>
      <c r="O101" s="32" t="s">
        <v>279</v>
      </c>
      <c r="P101" s="278" t="s">
        <v>283</v>
      </c>
      <c r="Q101" s="233" t="s">
        <v>282</v>
      </c>
      <c r="R101" s="75">
        <v>2410.5</v>
      </c>
      <c r="S101" s="75"/>
      <c r="T101" s="75">
        <v>2410.5</v>
      </c>
      <c r="U101" s="200">
        <v>3114</v>
      </c>
      <c r="V101" s="287">
        <f t="shared" ca="1" si="25"/>
        <v>10</v>
      </c>
      <c r="W101" s="75">
        <f t="shared" ca="1" si="26"/>
        <v>27247.5</v>
      </c>
      <c r="X101" s="200">
        <f t="shared" ca="1" si="27"/>
        <v>27322.5</v>
      </c>
      <c r="Y101" s="1">
        <v>0.5</v>
      </c>
      <c r="Z101" s="1"/>
      <c r="AA101" s="219"/>
      <c r="AB101" s="302"/>
      <c r="AC101" s="302"/>
      <c r="AD101" s="302"/>
      <c r="AE101" s="302"/>
      <c r="AF101">
        <f t="shared" si="18"/>
        <v>0</v>
      </c>
    </row>
    <row r="102" spans="1:32" hidden="1" x14ac:dyDescent="0.25">
      <c r="A102" s="322" t="s">
        <v>284</v>
      </c>
      <c r="B102" s="93" t="str">
        <f t="shared" si="17"/>
        <v>NO</v>
      </c>
      <c r="C102" s="93" t="s">
        <v>5503</v>
      </c>
      <c r="D102" s="2">
        <v>36973</v>
      </c>
      <c r="E102" s="2"/>
      <c r="F102" s="2"/>
      <c r="G102" s="3"/>
      <c r="H102" s="7"/>
      <c r="I102" s="7"/>
      <c r="J102" s="185" t="s">
        <v>4797</v>
      </c>
      <c r="K102" s="266"/>
      <c r="L102" s="384"/>
      <c r="M102" s="384"/>
      <c r="N102" s="32"/>
      <c r="O102" s="32"/>
      <c r="P102" s="278"/>
      <c r="Q102" s="233"/>
      <c r="R102" s="75">
        <v>2626.5</v>
      </c>
      <c r="S102" s="75">
        <v>-2551.5</v>
      </c>
      <c r="T102" s="75">
        <v>75</v>
      </c>
      <c r="U102" s="200"/>
      <c r="V102" s="75"/>
      <c r="W102" s="75"/>
      <c r="X102" s="200"/>
      <c r="Y102" s="1">
        <v>0.5</v>
      </c>
      <c r="Z102" s="1"/>
      <c r="AA102" s="219"/>
      <c r="AB102" s="302"/>
      <c r="AC102" s="302"/>
      <c r="AD102" s="302"/>
      <c r="AE102" s="302"/>
      <c r="AF102">
        <f t="shared" si="18"/>
        <v>0</v>
      </c>
    </row>
    <row r="103" spans="1:32" hidden="1" x14ac:dyDescent="0.25">
      <c r="A103" s="322" t="s">
        <v>285</v>
      </c>
      <c r="B103" s="93" t="str">
        <f t="shared" si="17"/>
        <v>NO</v>
      </c>
      <c r="C103" s="93" t="s">
        <v>5503</v>
      </c>
      <c r="D103" s="2">
        <v>36973</v>
      </c>
      <c r="E103" s="2">
        <v>36982</v>
      </c>
      <c r="F103" s="2">
        <f t="shared" si="19"/>
        <v>40634</v>
      </c>
      <c r="G103" s="6">
        <v>1480</v>
      </c>
      <c r="H103" s="7" t="s">
        <v>287</v>
      </c>
      <c r="I103" s="7" t="s">
        <v>72</v>
      </c>
      <c r="J103" s="103" t="s">
        <v>4779</v>
      </c>
      <c r="K103" s="266">
        <f>YEAR(F103)</f>
        <v>2011</v>
      </c>
      <c r="L103" s="380"/>
      <c r="M103" s="380"/>
      <c r="N103" s="32" t="s">
        <v>267</v>
      </c>
      <c r="O103" s="32" t="s">
        <v>288</v>
      </c>
      <c r="P103" s="278" t="s">
        <v>289</v>
      </c>
      <c r="Q103" s="233" t="s">
        <v>286</v>
      </c>
      <c r="R103" s="75">
        <v>2295</v>
      </c>
      <c r="S103" s="75"/>
      <c r="T103" s="75">
        <v>2295</v>
      </c>
      <c r="U103" s="200">
        <v>2960</v>
      </c>
      <c r="V103" s="287">
        <f ca="1">IF(YEAR($W$3)-YEAR(E103)&gt;9,10,IF(MONTH($W$3)&lt;MONTH(E103),YEAR($W$3)-YEAR(E103),YEAR($W$3)-YEAR(E103)+1))</f>
        <v>10</v>
      </c>
      <c r="W103" s="75">
        <f t="shared" ref="W103:W105" ca="1" si="28">IF(V103&lt;6, ROUNDUP(G103,0)*$W$6*V103, ROUNDUP(G103,0)*($W$6*5 + (V103-5)*$W$7))</f>
        <v>25900</v>
      </c>
      <c r="X103" s="200">
        <f t="shared" ref="X103:X105" ca="1" si="29">IF(V103=0,T103,((T103-ROUNDUP(G103,0)*1.5)+W103))</f>
        <v>25975</v>
      </c>
      <c r="Y103" s="1">
        <v>0.5</v>
      </c>
      <c r="Z103" s="1"/>
      <c r="AA103" s="219"/>
      <c r="AB103" s="302"/>
      <c r="AC103" s="302"/>
      <c r="AD103" s="302"/>
      <c r="AE103" s="302"/>
      <c r="AF103">
        <f t="shared" si="18"/>
        <v>0</v>
      </c>
    </row>
    <row r="104" spans="1:32" hidden="1" x14ac:dyDescent="0.25">
      <c r="A104" s="322" t="s">
        <v>290</v>
      </c>
      <c r="B104" s="93" t="str">
        <f t="shared" si="17"/>
        <v>NO</v>
      </c>
      <c r="C104" s="93" t="s">
        <v>5503</v>
      </c>
      <c r="D104" s="2">
        <v>36973</v>
      </c>
      <c r="E104" s="2">
        <v>36982</v>
      </c>
      <c r="F104" s="2">
        <f t="shared" si="19"/>
        <v>40634</v>
      </c>
      <c r="G104" s="6">
        <v>1596.18</v>
      </c>
      <c r="H104" s="7" t="s">
        <v>287</v>
      </c>
      <c r="I104" s="7" t="s">
        <v>72</v>
      </c>
      <c r="J104" s="103" t="s">
        <v>4779</v>
      </c>
      <c r="K104" s="266">
        <f>YEAR(F104)</f>
        <v>2011</v>
      </c>
      <c r="L104" s="380"/>
      <c r="M104" s="380"/>
      <c r="N104" s="32" t="s">
        <v>267</v>
      </c>
      <c r="O104" s="32" t="s">
        <v>288</v>
      </c>
      <c r="P104" s="278" t="s">
        <v>292</v>
      </c>
      <c r="Q104" s="233" t="s">
        <v>291</v>
      </c>
      <c r="R104" s="75">
        <v>2470.5</v>
      </c>
      <c r="S104" s="75"/>
      <c r="T104" s="75">
        <v>2470.5</v>
      </c>
      <c r="U104" s="200">
        <v>3194</v>
      </c>
      <c r="V104" s="287">
        <f ca="1">IF(YEAR($W$3)-YEAR(E104)&gt;9,10,IF(MONTH($W$3)&lt;MONTH(E104),YEAR($W$3)-YEAR(E104),YEAR($W$3)-YEAR(E104)+1))</f>
        <v>10</v>
      </c>
      <c r="W104" s="75">
        <f t="shared" ca="1" si="28"/>
        <v>27947.5</v>
      </c>
      <c r="X104" s="200">
        <f t="shared" ca="1" si="29"/>
        <v>28022.5</v>
      </c>
      <c r="Y104" s="1">
        <v>0.5</v>
      </c>
      <c r="Z104" s="1"/>
      <c r="AA104" s="219"/>
      <c r="AB104" s="302"/>
      <c r="AC104" s="302"/>
      <c r="AD104" s="302"/>
      <c r="AE104" s="302"/>
      <c r="AF104">
        <f t="shared" si="18"/>
        <v>0</v>
      </c>
    </row>
    <row r="105" spans="1:32" hidden="1" x14ac:dyDescent="0.25">
      <c r="A105" s="322" t="s">
        <v>293</v>
      </c>
      <c r="B105" s="93" t="str">
        <f t="shared" si="17"/>
        <v>NO</v>
      </c>
      <c r="C105" s="93" t="s">
        <v>5503</v>
      </c>
      <c r="D105" s="2">
        <v>36973</v>
      </c>
      <c r="E105" s="2">
        <v>36982</v>
      </c>
      <c r="F105" s="2">
        <f t="shared" si="19"/>
        <v>40634</v>
      </c>
      <c r="G105" s="6">
        <v>1720</v>
      </c>
      <c r="H105" s="7" t="s">
        <v>287</v>
      </c>
      <c r="I105" s="7" t="s">
        <v>72</v>
      </c>
      <c r="J105" s="103" t="s">
        <v>4779</v>
      </c>
      <c r="K105" s="266">
        <f>YEAR(F105)</f>
        <v>2011</v>
      </c>
      <c r="L105" s="380"/>
      <c r="M105" s="380"/>
      <c r="N105" s="32" t="s">
        <v>267</v>
      </c>
      <c r="O105" s="32" t="s">
        <v>288</v>
      </c>
      <c r="P105" s="278" t="s">
        <v>295</v>
      </c>
      <c r="Q105" s="233" t="s">
        <v>294</v>
      </c>
      <c r="R105" s="75">
        <v>2655</v>
      </c>
      <c r="S105" s="75"/>
      <c r="T105" s="75">
        <v>2655</v>
      </c>
      <c r="U105" s="200">
        <v>3440</v>
      </c>
      <c r="V105" s="287">
        <f ca="1">IF(YEAR($W$3)-YEAR(E105)&gt;9,10,IF(MONTH($W$3)&lt;MONTH(E105),YEAR($W$3)-YEAR(E105),YEAR($W$3)-YEAR(E105)+1))</f>
        <v>10</v>
      </c>
      <c r="W105" s="75">
        <f t="shared" ca="1" si="28"/>
        <v>30100</v>
      </c>
      <c r="X105" s="200">
        <f t="shared" ca="1" si="29"/>
        <v>30175</v>
      </c>
      <c r="Y105" s="1">
        <v>0.5</v>
      </c>
      <c r="Z105" s="1"/>
      <c r="AA105" s="219"/>
      <c r="AB105" s="302"/>
      <c r="AC105" s="302"/>
      <c r="AD105" s="302"/>
      <c r="AE105" s="302"/>
      <c r="AF105">
        <f t="shared" si="18"/>
        <v>0</v>
      </c>
    </row>
    <row r="106" spans="1:32" hidden="1" x14ac:dyDescent="0.25">
      <c r="A106" s="322" t="s">
        <v>296</v>
      </c>
      <c r="B106" s="93" t="str">
        <f t="shared" si="17"/>
        <v>NO</v>
      </c>
      <c r="C106" s="93" t="s">
        <v>5503</v>
      </c>
      <c r="D106" s="2">
        <v>36973</v>
      </c>
      <c r="E106" s="2"/>
      <c r="F106" s="2"/>
      <c r="G106" s="6"/>
      <c r="H106" s="7"/>
      <c r="I106" s="7"/>
      <c r="J106" s="185" t="s">
        <v>4798</v>
      </c>
      <c r="K106" s="266"/>
      <c r="L106" s="384"/>
      <c r="M106" s="384"/>
      <c r="N106" s="32"/>
      <c r="O106" s="32"/>
      <c r="P106" s="278"/>
      <c r="Q106" s="233"/>
      <c r="R106" s="75">
        <v>3028.5</v>
      </c>
      <c r="S106" s="75">
        <v>-2953.5</v>
      </c>
      <c r="T106" s="75">
        <v>75</v>
      </c>
      <c r="U106" s="200"/>
      <c r="V106" s="75"/>
      <c r="W106" s="75"/>
      <c r="X106" s="200"/>
      <c r="Y106" s="1">
        <v>0.5</v>
      </c>
      <c r="Z106" s="1"/>
      <c r="AA106" s="219"/>
      <c r="AB106" s="302"/>
      <c r="AC106" s="302"/>
      <c r="AD106" s="302"/>
      <c r="AE106" s="302"/>
      <c r="AF106">
        <f t="shared" si="18"/>
        <v>0</v>
      </c>
    </row>
    <row r="107" spans="1:32" hidden="1" x14ac:dyDescent="0.25">
      <c r="A107" s="322" t="s">
        <v>297</v>
      </c>
      <c r="B107" s="93" t="str">
        <f t="shared" si="17"/>
        <v>NO</v>
      </c>
      <c r="C107" s="93" t="s">
        <v>5503</v>
      </c>
      <c r="D107" s="2">
        <v>36973</v>
      </c>
      <c r="E107" s="2">
        <v>36982</v>
      </c>
      <c r="F107" s="2">
        <f t="shared" si="19"/>
        <v>40634</v>
      </c>
      <c r="G107" s="6">
        <v>100</v>
      </c>
      <c r="H107" s="7" t="s">
        <v>287</v>
      </c>
      <c r="I107" s="7" t="s">
        <v>72</v>
      </c>
      <c r="J107" s="103" t="s">
        <v>4779</v>
      </c>
      <c r="K107" s="266">
        <f>YEAR(F107)</f>
        <v>2011</v>
      </c>
      <c r="L107" s="380"/>
      <c r="M107" s="380"/>
      <c r="N107" s="32" t="s">
        <v>267</v>
      </c>
      <c r="O107" s="32" t="s">
        <v>288</v>
      </c>
      <c r="P107" s="278" t="s">
        <v>299</v>
      </c>
      <c r="Q107" s="233" t="s">
        <v>298</v>
      </c>
      <c r="R107" s="75">
        <v>225</v>
      </c>
      <c r="S107" s="75"/>
      <c r="T107" s="75">
        <v>225</v>
      </c>
      <c r="U107" s="200">
        <v>200</v>
      </c>
      <c r="V107" s="287">
        <f ca="1">IF(YEAR($W$3)-YEAR(E107)&gt;9,10,IF(MONTH($W$3)&lt;MONTH(E107),YEAR($W$3)-YEAR(E107),YEAR($W$3)-YEAR(E107)+1))</f>
        <v>10</v>
      </c>
      <c r="W107" s="75">
        <f t="shared" ref="W107:W108" ca="1" si="30">IF(V107&lt;6, ROUNDUP(G107,0)*$W$6*V107, ROUNDUP(G107,0)*($W$6*5 + (V107-5)*$W$7))</f>
        <v>1750</v>
      </c>
      <c r="X107" s="200">
        <f t="shared" ref="X107:X108" ca="1" si="31">IF(V107=0,T107,((T107-ROUNDUP(G107,0)*1.5)+W107))</f>
        <v>1825</v>
      </c>
      <c r="Y107" s="1">
        <v>0.5</v>
      </c>
      <c r="Z107" s="1"/>
      <c r="AA107" s="219"/>
      <c r="AB107" s="302"/>
      <c r="AC107" s="302"/>
      <c r="AD107" s="302"/>
      <c r="AE107" s="302"/>
      <c r="AF107">
        <f t="shared" si="18"/>
        <v>0</v>
      </c>
    </row>
    <row r="108" spans="1:32" hidden="1" x14ac:dyDescent="0.25">
      <c r="A108" s="322" t="s">
        <v>300</v>
      </c>
      <c r="B108" s="93" t="str">
        <f t="shared" si="17"/>
        <v>NO</v>
      </c>
      <c r="C108" s="93" t="s">
        <v>5503</v>
      </c>
      <c r="D108" s="2">
        <v>37070</v>
      </c>
      <c r="E108" s="2">
        <v>37104</v>
      </c>
      <c r="F108" s="2">
        <f t="shared" si="19"/>
        <v>40756</v>
      </c>
      <c r="G108" s="6">
        <v>40</v>
      </c>
      <c r="H108" s="7" t="s">
        <v>302</v>
      </c>
      <c r="I108" s="7" t="s">
        <v>79</v>
      </c>
      <c r="J108" s="103" t="s">
        <v>4779</v>
      </c>
      <c r="K108" s="266">
        <f>YEAR(F108)</f>
        <v>2011</v>
      </c>
      <c r="L108" s="380"/>
      <c r="M108" s="380"/>
      <c r="N108" s="32"/>
      <c r="O108" s="32" t="s">
        <v>303</v>
      </c>
      <c r="P108" s="278" t="s">
        <v>304</v>
      </c>
      <c r="Q108" s="235" t="s">
        <v>301</v>
      </c>
      <c r="R108" s="75">
        <v>16135</v>
      </c>
      <c r="S108" s="75">
        <v>0</v>
      </c>
      <c r="T108" s="75">
        <v>16135</v>
      </c>
      <c r="U108" s="200">
        <v>80</v>
      </c>
      <c r="V108" s="287">
        <f ca="1">IF(YEAR($W$3)-YEAR(E108)&gt;9,10,IF(MONTH($W$3)&lt;MONTH(E108),YEAR($W$3)-YEAR(E108),YEAR($W$3)-YEAR(E108)+1))</f>
        <v>10</v>
      </c>
      <c r="W108" s="75">
        <f t="shared" ca="1" si="30"/>
        <v>700</v>
      </c>
      <c r="X108" s="200">
        <f t="shared" ca="1" si="31"/>
        <v>16775</v>
      </c>
      <c r="Y108" s="1">
        <v>0.5</v>
      </c>
      <c r="Z108" s="1"/>
      <c r="AA108" s="219"/>
      <c r="AB108" s="302"/>
      <c r="AC108" s="302"/>
      <c r="AD108" s="302"/>
      <c r="AE108" s="302"/>
      <c r="AF108">
        <f t="shared" si="18"/>
        <v>0</v>
      </c>
    </row>
    <row r="109" spans="1:32" hidden="1" x14ac:dyDescent="0.25">
      <c r="D109" s="2"/>
      <c r="E109" s="2"/>
      <c r="F109" s="2"/>
      <c r="G109" s="6"/>
      <c r="H109" s="7"/>
      <c r="I109" s="7"/>
      <c r="J109" s="105" t="s">
        <v>4800</v>
      </c>
      <c r="K109" s="105"/>
      <c r="L109" s="381"/>
      <c r="M109" s="381"/>
      <c r="N109" s="270"/>
      <c r="O109" s="270"/>
      <c r="P109" s="278"/>
      <c r="Q109" s="235"/>
      <c r="R109" s="75">
        <v>-450</v>
      </c>
      <c r="S109" s="75"/>
      <c r="T109" s="75">
        <v>-450</v>
      </c>
      <c r="U109" s="200"/>
      <c r="V109" s="75"/>
      <c r="W109" s="75"/>
      <c r="X109" s="200"/>
      <c r="AA109" s="219"/>
      <c r="AB109" s="302"/>
      <c r="AC109" s="302"/>
      <c r="AD109" s="302"/>
      <c r="AE109" s="302"/>
      <c r="AF109">
        <f t="shared" si="18"/>
        <v>0</v>
      </c>
    </row>
    <row r="110" spans="1:32" hidden="1" x14ac:dyDescent="0.25">
      <c r="D110" s="2"/>
      <c r="E110" s="2"/>
      <c r="F110" s="2"/>
      <c r="G110" s="6"/>
      <c r="H110" s="7"/>
      <c r="I110" s="7"/>
      <c r="J110" s="105" t="s">
        <v>4801</v>
      </c>
      <c r="K110" s="105"/>
      <c r="L110" s="381"/>
      <c r="M110" s="381"/>
      <c r="N110" s="270"/>
      <c r="O110" s="270"/>
      <c r="P110" s="278"/>
      <c r="Q110" s="235"/>
      <c r="R110" s="75"/>
      <c r="S110" s="75">
        <v>-877.51</v>
      </c>
      <c r="T110" s="75">
        <v>-877.51</v>
      </c>
      <c r="U110" s="200"/>
      <c r="V110" s="75"/>
      <c r="W110" s="75"/>
      <c r="X110" s="200"/>
      <c r="AA110" s="219"/>
      <c r="AB110" s="302"/>
      <c r="AC110" s="302"/>
      <c r="AD110" s="302"/>
      <c r="AE110" s="302"/>
      <c r="AF110">
        <f t="shared" si="18"/>
        <v>0</v>
      </c>
    </row>
    <row r="111" spans="1:32" hidden="1" x14ac:dyDescent="0.25">
      <c r="A111" s="323"/>
      <c r="D111" s="2"/>
      <c r="E111" s="2"/>
      <c r="F111" s="2"/>
      <c r="G111" s="6"/>
      <c r="H111" s="7"/>
      <c r="I111" s="7"/>
      <c r="J111" s="186"/>
      <c r="K111" s="186"/>
      <c r="L111" s="386"/>
      <c r="M111" s="386"/>
      <c r="N111" s="32"/>
      <c r="O111" s="32"/>
      <c r="P111" s="278"/>
      <c r="Q111" s="235"/>
      <c r="R111" s="75"/>
      <c r="S111" s="75"/>
      <c r="T111" s="75"/>
      <c r="U111" s="200"/>
      <c r="V111" s="75"/>
      <c r="W111" s="75"/>
      <c r="X111" s="200"/>
      <c r="Y111" s="1"/>
      <c r="Z111" s="1"/>
      <c r="AA111" s="219"/>
      <c r="AB111" s="302"/>
      <c r="AC111" s="302"/>
      <c r="AD111" s="302"/>
      <c r="AE111" s="302"/>
      <c r="AF111">
        <f t="shared" si="18"/>
        <v>0</v>
      </c>
    </row>
    <row r="112" spans="1:32" ht="15.75" hidden="1" thickBot="1" x14ac:dyDescent="0.3">
      <c r="A112" s="323"/>
      <c r="D112" s="2"/>
      <c r="E112" s="2"/>
      <c r="F112" s="2"/>
      <c r="G112" s="6"/>
      <c r="H112" s="7"/>
      <c r="I112" s="7"/>
      <c r="J112" s="186"/>
      <c r="K112" s="186"/>
      <c r="L112" s="386"/>
      <c r="M112" s="386"/>
      <c r="N112" s="32"/>
      <c r="O112" s="32"/>
      <c r="P112" s="278"/>
      <c r="Q112" s="235" t="s">
        <v>305</v>
      </c>
      <c r="R112" s="76">
        <v>256663</v>
      </c>
      <c r="S112" s="76">
        <v>282274.5</v>
      </c>
      <c r="T112" s="76">
        <v>538937.5</v>
      </c>
      <c r="U112" s="200"/>
      <c r="V112" s="75"/>
      <c r="W112" s="75"/>
      <c r="X112" s="200"/>
      <c r="Y112" s="17"/>
      <c r="Z112" s="17"/>
      <c r="AA112" s="220"/>
      <c r="AB112" s="302"/>
      <c r="AC112" s="302"/>
      <c r="AD112" s="302"/>
      <c r="AE112" s="302"/>
      <c r="AF112">
        <f t="shared" si="18"/>
        <v>0</v>
      </c>
    </row>
    <row r="113" spans="1:32" hidden="1" x14ac:dyDescent="0.25">
      <c r="A113" s="323"/>
      <c r="D113" s="2"/>
      <c r="E113" s="2"/>
      <c r="F113" s="2"/>
      <c r="G113" s="6"/>
      <c r="H113" s="7"/>
      <c r="I113" s="7"/>
      <c r="J113" s="186"/>
      <c r="K113" s="186"/>
      <c r="L113" s="386"/>
      <c r="M113" s="386"/>
      <c r="N113" s="32"/>
      <c r="O113" s="32"/>
      <c r="P113" s="278"/>
      <c r="Q113" s="235"/>
      <c r="R113" s="75"/>
      <c r="S113" s="75"/>
      <c r="T113" s="75"/>
      <c r="U113" s="200"/>
      <c r="V113" s="75"/>
      <c r="W113" s="75"/>
      <c r="X113" s="200"/>
      <c r="Y113" s="1"/>
      <c r="Z113" s="1"/>
      <c r="AA113" s="219"/>
      <c r="AB113" s="302"/>
      <c r="AC113" s="302"/>
      <c r="AD113" s="302"/>
      <c r="AE113" s="302"/>
      <c r="AF113">
        <f t="shared" si="18"/>
        <v>0</v>
      </c>
    </row>
    <row r="114" spans="1:32" hidden="1" x14ac:dyDescent="0.25">
      <c r="A114" s="323"/>
      <c r="D114" s="2"/>
      <c r="E114" s="2"/>
      <c r="F114" s="2"/>
      <c r="G114" s="6"/>
      <c r="H114" s="7"/>
      <c r="I114" s="7"/>
      <c r="J114" s="186"/>
      <c r="K114" s="186"/>
      <c r="L114" s="386"/>
      <c r="M114" s="386"/>
      <c r="N114" s="32"/>
      <c r="O114" s="32"/>
      <c r="P114" s="278"/>
      <c r="Q114" s="235"/>
      <c r="R114" s="75"/>
      <c r="S114" s="75"/>
      <c r="T114" s="75"/>
      <c r="U114" s="200"/>
      <c r="V114" s="75"/>
      <c r="W114" s="75"/>
      <c r="X114" s="200"/>
      <c r="Y114" s="1"/>
      <c r="Z114" s="1"/>
      <c r="AA114" s="219"/>
      <c r="AB114" s="302"/>
      <c r="AC114" s="302"/>
      <c r="AD114" s="302"/>
      <c r="AE114" s="302"/>
      <c r="AF114">
        <f t="shared" si="18"/>
        <v>0</v>
      </c>
    </row>
    <row r="115" spans="1:32" hidden="1" x14ac:dyDescent="0.25">
      <c r="A115" s="322" t="s">
        <v>306</v>
      </c>
      <c r="B115" s="93" t="str">
        <f t="shared" ref="B115:B136" si="32">IF(COUNTIF(GIS,A117),"YES","NO")</f>
        <v>NO</v>
      </c>
      <c r="C115" s="93" t="s">
        <v>5503</v>
      </c>
      <c r="D115" s="2">
        <v>37343</v>
      </c>
      <c r="E115" s="2">
        <v>37377</v>
      </c>
      <c r="F115" s="2">
        <f t="shared" si="19"/>
        <v>41030</v>
      </c>
      <c r="G115" s="6">
        <v>80.25</v>
      </c>
      <c r="H115" s="7" t="s">
        <v>307</v>
      </c>
      <c r="I115" s="7" t="s">
        <v>308</v>
      </c>
      <c r="J115" s="103" t="s">
        <v>4792</v>
      </c>
      <c r="K115" s="266">
        <f t="shared" ref="K115:K125" si="33">YEAR(F115)</f>
        <v>2012</v>
      </c>
      <c r="L115" s="380"/>
      <c r="M115" s="380"/>
      <c r="N115" s="32" t="s">
        <v>309</v>
      </c>
      <c r="O115" s="32" t="s">
        <v>310</v>
      </c>
      <c r="P115" s="278" t="s">
        <v>311</v>
      </c>
      <c r="Q115" s="235" t="s">
        <v>6345</v>
      </c>
      <c r="R115" s="75">
        <v>358.5</v>
      </c>
      <c r="S115" s="75">
        <v>648</v>
      </c>
      <c r="T115" s="75">
        <v>1006.5</v>
      </c>
      <c r="U115" s="200">
        <v>162</v>
      </c>
      <c r="V115" s="287">
        <f t="shared" ref="V115:V125" ca="1" si="34">IF(YEAR($W$3)-YEAR(E115)&gt;9,10,IF(MONTH($W$3)&lt;MONTH(E115),YEAR($W$3)-YEAR(E115),YEAR($W$3)-YEAR(E115)+1))</f>
        <v>10</v>
      </c>
      <c r="W115" s="75">
        <f t="shared" ref="W115:W125" ca="1" si="35">IF(V115&lt;6, ROUNDUP(G115,0)*$W$6*V115, ROUNDUP(G115,0)*($W$6*5 + (V115-5)*$W$7))</f>
        <v>1417.5</v>
      </c>
      <c r="X115" s="200">
        <f t="shared" ref="X115:X125" ca="1" si="36">IF(V115=0,T115,((T115-ROUNDUP(G115,0)*1.5)+W115))</f>
        <v>2302.5</v>
      </c>
      <c r="Y115" s="1">
        <v>0.5</v>
      </c>
      <c r="Z115" s="1"/>
      <c r="AA115" s="219"/>
      <c r="AB115" s="302"/>
      <c r="AC115" s="302"/>
      <c r="AD115" s="302"/>
      <c r="AE115" s="302"/>
      <c r="AF115">
        <f t="shared" si="18"/>
        <v>0</v>
      </c>
    </row>
    <row r="116" spans="1:32" hidden="1" x14ac:dyDescent="0.25">
      <c r="A116" s="322" t="s">
        <v>312</v>
      </c>
      <c r="B116" s="93" t="str">
        <f t="shared" si="32"/>
        <v>NO</v>
      </c>
      <c r="C116" s="93" t="s">
        <v>5503</v>
      </c>
      <c r="D116" s="2">
        <v>37343</v>
      </c>
      <c r="E116" s="2">
        <v>37377</v>
      </c>
      <c r="F116" s="2">
        <f t="shared" si="19"/>
        <v>41030</v>
      </c>
      <c r="G116" s="6">
        <v>80.7</v>
      </c>
      <c r="H116" s="7" t="s">
        <v>307</v>
      </c>
      <c r="I116" s="7" t="s">
        <v>308</v>
      </c>
      <c r="J116" s="103" t="s">
        <v>4792</v>
      </c>
      <c r="K116" s="266">
        <f t="shared" si="33"/>
        <v>2012</v>
      </c>
      <c r="L116" s="380"/>
      <c r="M116" s="380"/>
      <c r="N116" s="32" t="s">
        <v>309</v>
      </c>
      <c r="O116" s="32" t="s">
        <v>310</v>
      </c>
      <c r="P116" s="278" t="s">
        <v>313</v>
      </c>
      <c r="Q116" s="235" t="s">
        <v>6344</v>
      </c>
      <c r="R116" s="75">
        <v>358.5</v>
      </c>
      <c r="S116" s="75">
        <v>2268</v>
      </c>
      <c r="T116" s="75">
        <v>2626.5</v>
      </c>
      <c r="U116" s="200">
        <v>162</v>
      </c>
      <c r="V116" s="287">
        <f t="shared" ca="1" si="34"/>
        <v>10</v>
      </c>
      <c r="W116" s="75">
        <f t="shared" ca="1" si="35"/>
        <v>1417.5</v>
      </c>
      <c r="X116" s="200">
        <f t="shared" ca="1" si="36"/>
        <v>3922.5</v>
      </c>
      <c r="Y116" s="1">
        <v>0.5</v>
      </c>
      <c r="Z116" s="1"/>
      <c r="AA116" s="219"/>
      <c r="AB116" s="302"/>
      <c r="AC116" s="302"/>
      <c r="AD116" s="302"/>
      <c r="AE116" s="302"/>
      <c r="AF116">
        <f t="shared" si="18"/>
        <v>0</v>
      </c>
    </row>
    <row r="117" spans="1:32" hidden="1" x14ac:dyDescent="0.25">
      <c r="A117" s="322" t="s">
        <v>314</v>
      </c>
      <c r="B117" s="93" t="str">
        <f t="shared" si="32"/>
        <v>NO</v>
      </c>
      <c r="C117" s="93" t="s">
        <v>5503</v>
      </c>
      <c r="D117" s="2">
        <v>37343</v>
      </c>
      <c r="E117" s="2">
        <v>37377</v>
      </c>
      <c r="F117" s="2">
        <f t="shared" si="19"/>
        <v>41030</v>
      </c>
      <c r="G117" s="106"/>
      <c r="H117" s="93" t="s">
        <v>5788</v>
      </c>
      <c r="I117" s="7" t="s">
        <v>79</v>
      </c>
      <c r="J117" s="184"/>
      <c r="K117" s="266">
        <f t="shared" si="33"/>
        <v>2012</v>
      </c>
      <c r="L117" s="387"/>
      <c r="M117" s="387"/>
      <c r="N117" s="136"/>
      <c r="O117" s="32"/>
      <c r="P117" s="278"/>
      <c r="Q117" s="235" t="s">
        <v>315</v>
      </c>
      <c r="R117" s="75">
        <v>355</v>
      </c>
      <c r="S117" s="75">
        <v>-355</v>
      </c>
      <c r="T117" s="75">
        <v>0</v>
      </c>
      <c r="U117" s="202"/>
      <c r="V117" s="287">
        <f t="shared" ca="1" si="34"/>
        <v>10</v>
      </c>
      <c r="W117" s="75">
        <f t="shared" ca="1" si="35"/>
        <v>0</v>
      </c>
      <c r="X117" s="200">
        <f t="shared" ca="1" si="36"/>
        <v>0</v>
      </c>
      <c r="Y117" s="1">
        <v>0.5</v>
      </c>
      <c r="Z117" s="1"/>
      <c r="AA117" s="219"/>
      <c r="AB117" s="302"/>
      <c r="AC117" s="302"/>
      <c r="AD117" s="302"/>
      <c r="AE117" s="302"/>
      <c r="AF117">
        <f t="shared" si="18"/>
        <v>0</v>
      </c>
    </row>
    <row r="118" spans="1:32" ht="26.25" hidden="1" x14ac:dyDescent="0.25">
      <c r="A118" s="322" t="s">
        <v>316</v>
      </c>
      <c r="B118" s="93" t="str">
        <f t="shared" si="32"/>
        <v>NO</v>
      </c>
      <c r="C118" s="93" t="s">
        <v>5503</v>
      </c>
      <c r="D118" s="2">
        <v>37343</v>
      </c>
      <c r="E118" s="2">
        <v>37377</v>
      </c>
      <c r="F118" s="2">
        <f t="shared" si="19"/>
        <v>41030</v>
      </c>
      <c r="G118" s="6">
        <v>273.20999999999998</v>
      </c>
      <c r="H118" s="7" t="s">
        <v>318</v>
      </c>
      <c r="I118" s="7" t="s">
        <v>79</v>
      </c>
      <c r="J118" s="103" t="s">
        <v>4803</v>
      </c>
      <c r="K118" s="266">
        <f t="shared" si="33"/>
        <v>2012</v>
      </c>
      <c r="L118" s="382"/>
      <c r="M118" s="382"/>
      <c r="N118" s="32" t="s">
        <v>319</v>
      </c>
      <c r="O118" s="32" t="s">
        <v>320</v>
      </c>
      <c r="P118" s="278" t="s">
        <v>321</v>
      </c>
      <c r="Q118" s="235" t="s">
        <v>317</v>
      </c>
      <c r="R118" s="75">
        <v>1034</v>
      </c>
      <c r="S118" s="75">
        <v>15892</v>
      </c>
      <c r="T118" s="75">
        <v>16926</v>
      </c>
      <c r="U118" s="200">
        <v>548</v>
      </c>
      <c r="V118" s="287">
        <f t="shared" ca="1" si="34"/>
        <v>10</v>
      </c>
      <c r="W118" s="75">
        <f t="shared" ca="1" si="35"/>
        <v>4795</v>
      </c>
      <c r="X118" s="200">
        <f t="shared" ca="1" si="36"/>
        <v>21310</v>
      </c>
      <c r="Y118" s="1">
        <v>0.5</v>
      </c>
      <c r="Z118" s="1"/>
      <c r="AA118" s="219"/>
      <c r="AB118" s="302"/>
      <c r="AC118" s="302"/>
      <c r="AD118" s="302"/>
      <c r="AE118" s="302"/>
      <c r="AF118">
        <f t="shared" si="18"/>
        <v>0</v>
      </c>
    </row>
    <row r="119" spans="1:32" ht="26.25" hidden="1" x14ac:dyDescent="0.25">
      <c r="A119" s="322" t="s">
        <v>322</v>
      </c>
      <c r="B119" s="93" t="str">
        <f t="shared" si="32"/>
        <v>NO</v>
      </c>
      <c r="C119" s="93" t="s">
        <v>5503</v>
      </c>
      <c r="D119" s="2">
        <v>37343</v>
      </c>
      <c r="E119" s="2">
        <v>37377</v>
      </c>
      <c r="F119" s="2">
        <f t="shared" si="19"/>
        <v>41030</v>
      </c>
      <c r="G119" s="107"/>
      <c r="H119" s="191" t="s">
        <v>3923</v>
      </c>
      <c r="I119" s="7" t="s">
        <v>79</v>
      </c>
      <c r="J119" s="103" t="s">
        <v>4804</v>
      </c>
      <c r="K119" s="266">
        <f t="shared" si="33"/>
        <v>2012</v>
      </c>
      <c r="L119" s="380"/>
      <c r="M119" s="380"/>
      <c r="N119" s="136"/>
      <c r="O119" s="32" t="s">
        <v>325</v>
      </c>
      <c r="P119" s="278" t="s">
        <v>326</v>
      </c>
      <c r="Q119" s="235" t="s">
        <v>323</v>
      </c>
      <c r="R119" s="75">
        <v>358.5</v>
      </c>
      <c r="S119" s="75">
        <v>0</v>
      </c>
      <c r="T119" s="75">
        <v>358.5</v>
      </c>
      <c r="V119" s="287">
        <f t="shared" ca="1" si="34"/>
        <v>10</v>
      </c>
      <c r="W119" s="75">
        <f t="shared" ca="1" si="35"/>
        <v>0</v>
      </c>
      <c r="X119" s="200">
        <f t="shared" ca="1" si="36"/>
        <v>358.5</v>
      </c>
      <c r="Y119" s="1">
        <v>0.5</v>
      </c>
      <c r="Z119" s="1"/>
      <c r="AA119" s="219"/>
      <c r="AB119" s="302"/>
      <c r="AC119" s="302"/>
      <c r="AD119" s="302"/>
      <c r="AE119" s="302"/>
      <c r="AF119">
        <f t="shared" si="18"/>
        <v>0</v>
      </c>
    </row>
    <row r="120" spans="1:32" ht="26.25" hidden="1" x14ac:dyDescent="0.25">
      <c r="A120" s="322" t="s">
        <v>327</v>
      </c>
      <c r="B120" s="93" t="str">
        <f t="shared" si="32"/>
        <v>NO</v>
      </c>
      <c r="C120" s="93" t="s">
        <v>5503</v>
      </c>
      <c r="D120" s="2">
        <v>37343</v>
      </c>
      <c r="E120" s="2">
        <v>37377</v>
      </c>
      <c r="F120" s="2">
        <f t="shared" si="19"/>
        <v>41030</v>
      </c>
      <c r="G120" s="107"/>
      <c r="H120" s="191" t="s">
        <v>3923</v>
      </c>
      <c r="I120" s="7" t="s">
        <v>79</v>
      </c>
      <c r="J120" s="103" t="s">
        <v>4804</v>
      </c>
      <c r="K120" s="266">
        <f t="shared" si="33"/>
        <v>2012</v>
      </c>
      <c r="L120" s="380"/>
      <c r="M120" s="380"/>
      <c r="N120" s="136"/>
      <c r="O120" s="32" t="s">
        <v>325</v>
      </c>
      <c r="P120" s="278" t="s">
        <v>329</v>
      </c>
      <c r="Q120" s="235" t="s">
        <v>328</v>
      </c>
      <c r="R120" s="75">
        <v>365.5</v>
      </c>
      <c r="S120" s="75">
        <v>0</v>
      </c>
      <c r="T120" s="75">
        <v>365.5</v>
      </c>
      <c r="V120" s="287">
        <f t="shared" ca="1" si="34"/>
        <v>10</v>
      </c>
      <c r="W120" s="75">
        <f t="shared" ca="1" si="35"/>
        <v>0</v>
      </c>
      <c r="X120" s="200">
        <f t="shared" ca="1" si="36"/>
        <v>365.5</v>
      </c>
      <c r="Y120" s="1">
        <v>0.5</v>
      </c>
      <c r="Z120" s="1"/>
      <c r="AA120" s="219"/>
      <c r="AB120" s="302"/>
      <c r="AC120" s="302"/>
      <c r="AD120" s="302"/>
      <c r="AE120" s="302"/>
      <c r="AF120">
        <f t="shared" si="18"/>
        <v>0</v>
      </c>
    </row>
    <row r="121" spans="1:32" hidden="1" x14ac:dyDescent="0.25">
      <c r="A121" s="322" t="s">
        <v>330</v>
      </c>
      <c r="B121" s="93" t="str">
        <f t="shared" si="32"/>
        <v>NO</v>
      </c>
      <c r="C121" s="93" t="s">
        <v>5503</v>
      </c>
      <c r="D121" s="2">
        <v>37343</v>
      </c>
      <c r="E121" s="2">
        <v>37377</v>
      </c>
      <c r="F121" s="2">
        <f t="shared" si="19"/>
        <v>41030</v>
      </c>
      <c r="G121" s="6">
        <v>483.34</v>
      </c>
      <c r="H121" s="7" t="s">
        <v>332</v>
      </c>
      <c r="I121" s="7" t="s">
        <v>86</v>
      </c>
      <c r="J121" s="103" t="s">
        <v>4792</v>
      </c>
      <c r="K121" s="266">
        <f t="shared" si="33"/>
        <v>2012</v>
      </c>
      <c r="L121" s="408"/>
      <c r="M121" s="408"/>
      <c r="N121" s="32"/>
      <c r="O121" s="32" t="s">
        <v>333</v>
      </c>
      <c r="P121" s="278" t="s">
        <v>334</v>
      </c>
      <c r="Q121" s="235" t="s">
        <v>331</v>
      </c>
      <c r="R121" s="75">
        <v>1769</v>
      </c>
      <c r="S121" s="75">
        <v>1452</v>
      </c>
      <c r="T121" s="75">
        <v>3221</v>
      </c>
      <c r="U121" s="200">
        <v>968</v>
      </c>
      <c r="V121" s="287">
        <f t="shared" ca="1" si="34"/>
        <v>10</v>
      </c>
      <c r="W121" s="75">
        <f t="shared" ca="1" si="35"/>
        <v>8470</v>
      </c>
      <c r="X121" s="200">
        <f t="shared" ca="1" si="36"/>
        <v>10965</v>
      </c>
      <c r="Y121" s="1">
        <v>0.5</v>
      </c>
      <c r="Z121" s="1"/>
      <c r="AA121" s="219"/>
      <c r="AB121" s="302"/>
      <c r="AC121" s="302"/>
      <c r="AD121" s="302"/>
      <c r="AE121" s="302"/>
      <c r="AF121">
        <f t="shared" si="18"/>
        <v>0</v>
      </c>
    </row>
    <row r="122" spans="1:32" hidden="1" x14ac:dyDescent="0.25">
      <c r="A122" s="322" t="s">
        <v>335</v>
      </c>
      <c r="B122" s="93" t="str">
        <f t="shared" si="32"/>
        <v>NO</v>
      </c>
      <c r="C122" s="93" t="s">
        <v>5503</v>
      </c>
      <c r="D122" s="2">
        <v>37343</v>
      </c>
      <c r="E122" s="2">
        <v>37377</v>
      </c>
      <c r="F122" s="2">
        <f t="shared" si="19"/>
        <v>41030</v>
      </c>
      <c r="G122" s="6">
        <v>405.81</v>
      </c>
      <c r="H122" s="7" t="s">
        <v>97</v>
      </c>
      <c r="I122" s="7" t="s">
        <v>86</v>
      </c>
      <c r="J122" s="103" t="s">
        <v>4792</v>
      </c>
      <c r="K122" s="266">
        <f t="shared" si="33"/>
        <v>2012</v>
      </c>
      <c r="L122" s="408"/>
      <c r="M122" s="408"/>
      <c r="N122" s="32" t="s">
        <v>337</v>
      </c>
      <c r="O122" s="32" t="s">
        <v>338</v>
      </c>
      <c r="P122" s="278" t="s">
        <v>339</v>
      </c>
      <c r="Q122" s="235" t="s">
        <v>336</v>
      </c>
      <c r="R122" s="75">
        <v>1496</v>
      </c>
      <c r="S122" s="75">
        <v>5684</v>
      </c>
      <c r="T122" s="75">
        <v>7180</v>
      </c>
      <c r="U122" s="200">
        <v>812</v>
      </c>
      <c r="V122" s="287">
        <f t="shared" ca="1" si="34"/>
        <v>10</v>
      </c>
      <c r="W122" s="75">
        <f t="shared" ca="1" si="35"/>
        <v>7105</v>
      </c>
      <c r="X122" s="200">
        <f t="shared" ca="1" si="36"/>
        <v>13676</v>
      </c>
      <c r="Y122" s="1">
        <v>0.5</v>
      </c>
      <c r="Z122" s="1"/>
      <c r="AA122" s="219"/>
      <c r="AB122" s="302"/>
      <c r="AC122" s="302"/>
      <c r="AD122" s="302"/>
      <c r="AE122" s="302"/>
      <c r="AF122">
        <f t="shared" si="18"/>
        <v>0</v>
      </c>
    </row>
    <row r="123" spans="1:32" hidden="1" x14ac:dyDescent="0.25">
      <c r="A123" s="322" t="s">
        <v>340</v>
      </c>
      <c r="B123" s="93" t="str">
        <f t="shared" si="32"/>
        <v>NO</v>
      </c>
      <c r="C123" s="93" t="s">
        <v>5503</v>
      </c>
      <c r="D123" s="2">
        <v>37343</v>
      </c>
      <c r="E123" s="2">
        <v>37377</v>
      </c>
      <c r="F123" s="2">
        <f t="shared" si="19"/>
        <v>41030</v>
      </c>
      <c r="G123" s="6">
        <v>586.22</v>
      </c>
      <c r="H123" s="7" t="s">
        <v>97</v>
      </c>
      <c r="I123" s="7" t="s">
        <v>86</v>
      </c>
      <c r="J123" s="103" t="s">
        <v>4792</v>
      </c>
      <c r="K123" s="266">
        <f t="shared" si="33"/>
        <v>2012</v>
      </c>
      <c r="L123" s="408"/>
      <c r="M123" s="408"/>
      <c r="N123" s="32" t="s">
        <v>337</v>
      </c>
      <c r="O123" s="32" t="s">
        <v>338</v>
      </c>
      <c r="P123" s="278" t="s">
        <v>342</v>
      </c>
      <c r="Q123" s="235" t="s">
        <v>341</v>
      </c>
      <c r="R123" s="75">
        <v>2129.5</v>
      </c>
      <c r="S123" s="75">
        <v>7044</v>
      </c>
      <c r="T123" s="75">
        <v>9173.5</v>
      </c>
      <c r="U123" s="200">
        <v>1174</v>
      </c>
      <c r="V123" s="287">
        <f t="shared" ca="1" si="34"/>
        <v>10</v>
      </c>
      <c r="W123" s="75">
        <f t="shared" ca="1" si="35"/>
        <v>10272.5</v>
      </c>
      <c r="X123" s="200">
        <f t="shared" ca="1" si="36"/>
        <v>18565.5</v>
      </c>
      <c r="Y123" s="1">
        <v>0.5</v>
      </c>
      <c r="Z123" s="1"/>
      <c r="AA123" s="219"/>
      <c r="AB123" s="302"/>
      <c r="AC123" s="302"/>
      <c r="AD123" s="302"/>
      <c r="AE123" s="302"/>
      <c r="AF123">
        <f t="shared" si="18"/>
        <v>0</v>
      </c>
    </row>
    <row r="124" spans="1:32" hidden="1" x14ac:dyDescent="0.25">
      <c r="A124" s="322" t="s">
        <v>343</v>
      </c>
      <c r="B124" s="93" t="str">
        <f t="shared" si="32"/>
        <v>NO</v>
      </c>
      <c r="C124" s="93" t="s">
        <v>5503</v>
      </c>
      <c r="D124" s="2">
        <v>37343</v>
      </c>
      <c r="E124" s="2">
        <v>37377</v>
      </c>
      <c r="F124" s="2">
        <f t="shared" si="19"/>
        <v>41030</v>
      </c>
      <c r="G124" s="6">
        <v>298.29000000000002</v>
      </c>
      <c r="H124" s="7" t="s">
        <v>97</v>
      </c>
      <c r="I124" s="7" t="s">
        <v>86</v>
      </c>
      <c r="J124" s="103" t="s">
        <v>4792</v>
      </c>
      <c r="K124" s="266">
        <f t="shared" si="33"/>
        <v>2012</v>
      </c>
      <c r="L124" s="408"/>
      <c r="M124" s="408"/>
      <c r="N124" s="32" t="s">
        <v>337</v>
      </c>
      <c r="O124" s="32" t="s">
        <v>338</v>
      </c>
      <c r="P124" s="278" t="s">
        <v>345</v>
      </c>
      <c r="Q124" s="235" t="s">
        <v>344</v>
      </c>
      <c r="R124" s="75">
        <v>1121.5</v>
      </c>
      <c r="S124" s="75">
        <v>3588</v>
      </c>
      <c r="T124" s="75">
        <v>4709.5</v>
      </c>
      <c r="U124" s="200">
        <v>598</v>
      </c>
      <c r="V124" s="287">
        <f t="shared" ca="1" si="34"/>
        <v>10</v>
      </c>
      <c r="W124" s="75">
        <f t="shared" ca="1" si="35"/>
        <v>5232.5</v>
      </c>
      <c r="X124" s="200">
        <f t="shared" ca="1" si="36"/>
        <v>9493.5</v>
      </c>
      <c r="Y124" s="1">
        <v>0.5</v>
      </c>
      <c r="Z124" s="1"/>
      <c r="AA124" s="219"/>
      <c r="AB124" s="302"/>
      <c r="AC124" s="302"/>
      <c r="AD124" s="302"/>
      <c r="AE124" s="302"/>
      <c r="AF124">
        <f t="shared" si="18"/>
        <v>0</v>
      </c>
    </row>
    <row r="125" spans="1:32" hidden="1" x14ac:dyDescent="0.25">
      <c r="A125" s="322" t="s">
        <v>346</v>
      </c>
      <c r="B125" s="93" t="str">
        <f t="shared" si="32"/>
        <v>NO</v>
      </c>
      <c r="C125" s="93" t="s">
        <v>5503</v>
      </c>
      <c r="D125" s="2">
        <v>37343</v>
      </c>
      <c r="E125" s="2">
        <v>37377</v>
      </c>
      <c r="F125" s="2">
        <f t="shared" si="19"/>
        <v>41030</v>
      </c>
      <c r="G125" s="6">
        <v>280.05</v>
      </c>
      <c r="H125" s="7" t="s">
        <v>97</v>
      </c>
      <c r="I125" s="7" t="s">
        <v>86</v>
      </c>
      <c r="J125" s="103" t="s">
        <v>4792</v>
      </c>
      <c r="K125" s="266">
        <f t="shared" si="33"/>
        <v>2012</v>
      </c>
      <c r="L125" s="408"/>
      <c r="M125" s="408"/>
      <c r="N125" s="32" t="s">
        <v>337</v>
      </c>
      <c r="O125" s="32" t="s">
        <v>338</v>
      </c>
      <c r="P125" s="278" t="s">
        <v>348</v>
      </c>
      <c r="Q125" s="235" t="s">
        <v>347</v>
      </c>
      <c r="R125" s="75">
        <v>1058.5</v>
      </c>
      <c r="S125" s="75">
        <v>30348</v>
      </c>
      <c r="T125" s="75">
        <v>31406.5</v>
      </c>
      <c r="U125" s="200">
        <v>562</v>
      </c>
      <c r="V125" s="287">
        <f t="shared" ca="1" si="34"/>
        <v>10</v>
      </c>
      <c r="W125" s="75">
        <f t="shared" ca="1" si="35"/>
        <v>4917.5</v>
      </c>
      <c r="X125" s="200">
        <f t="shared" ca="1" si="36"/>
        <v>35902.5</v>
      </c>
      <c r="Y125" s="1">
        <v>0.5</v>
      </c>
      <c r="Z125" s="1"/>
      <c r="AA125" s="219"/>
      <c r="AB125" s="302"/>
      <c r="AC125" s="302"/>
      <c r="AD125" s="302"/>
      <c r="AE125" s="302"/>
      <c r="AF125">
        <f t="shared" si="18"/>
        <v>0</v>
      </c>
    </row>
    <row r="126" spans="1:32" hidden="1" x14ac:dyDescent="0.25">
      <c r="A126" s="322" t="s">
        <v>349</v>
      </c>
      <c r="B126" s="93" t="str">
        <f t="shared" si="32"/>
        <v>NO</v>
      </c>
      <c r="C126" s="93" t="s">
        <v>5503</v>
      </c>
      <c r="D126" s="2">
        <v>37343</v>
      </c>
      <c r="E126" s="2"/>
      <c r="F126" s="2"/>
      <c r="G126" s="106"/>
      <c r="H126" s="7" t="s">
        <v>97</v>
      </c>
      <c r="I126" s="7" t="s">
        <v>86</v>
      </c>
      <c r="J126" s="185" t="s">
        <v>4802</v>
      </c>
      <c r="K126" s="266"/>
      <c r="L126" s="410"/>
      <c r="M126" s="410"/>
      <c r="N126" s="136"/>
      <c r="O126" s="32"/>
      <c r="P126" s="278"/>
      <c r="Q126" s="235" t="s">
        <v>350</v>
      </c>
      <c r="R126" s="75">
        <v>2675.5</v>
      </c>
      <c r="S126" s="75">
        <v>-27194.5</v>
      </c>
      <c r="T126" s="75">
        <v>27194.5</v>
      </c>
      <c r="U126" s="202"/>
      <c r="V126" s="108"/>
      <c r="W126" s="108"/>
      <c r="X126" s="202"/>
      <c r="Y126" s="1"/>
      <c r="Z126" s="1"/>
      <c r="AA126" s="219"/>
      <c r="AB126" s="302"/>
      <c r="AC126" s="302"/>
      <c r="AD126" s="302"/>
      <c r="AE126" s="302"/>
      <c r="AF126">
        <f t="shared" si="18"/>
        <v>0</v>
      </c>
    </row>
    <row r="127" spans="1:32" hidden="1" x14ac:dyDescent="0.25">
      <c r="A127" s="322" t="s">
        <v>351</v>
      </c>
      <c r="B127" s="93" t="str">
        <f t="shared" si="32"/>
        <v>NO</v>
      </c>
      <c r="C127" s="93" t="s">
        <v>5503</v>
      </c>
      <c r="D127" s="2">
        <v>37343</v>
      </c>
      <c r="E127" s="2">
        <v>37377</v>
      </c>
      <c r="F127" s="2">
        <f t="shared" si="19"/>
        <v>41030</v>
      </c>
      <c r="G127" s="6">
        <v>80.099999999999994</v>
      </c>
      <c r="H127" s="7" t="s">
        <v>97</v>
      </c>
      <c r="I127" s="7" t="s">
        <v>86</v>
      </c>
      <c r="J127" s="103" t="s">
        <v>4792</v>
      </c>
      <c r="K127" s="266">
        <f t="shared" ref="K127:K136" si="37">YEAR(F127)</f>
        <v>2012</v>
      </c>
      <c r="L127" s="408"/>
      <c r="M127" s="408"/>
      <c r="N127" s="32" t="s">
        <v>337</v>
      </c>
      <c r="O127" s="32" t="s">
        <v>338</v>
      </c>
      <c r="P127" s="278" t="s">
        <v>353</v>
      </c>
      <c r="Q127" s="235" t="s">
        <v>352</v>
      </c>
      <c r="R127" s="75">
        <v>358.5</v>
      </c>
      <c r="S127" s="75">
        <v>2268</v>
      </c>
      <c r="T127" s="75">
        <v>2626.5</v>
      </c>
      <c r="U127" s="200">
        <v>162</v>
      </c>
      <c r="V127" s="287">
        <f t="shared" ref="V127:V136" ca="1" si="38">IF(YEAR($W$3)-YEAR(E127)&gt;9,10,IF(MONTH($W$3)&lt;MONTH(E127),YEAR($W$3)-YEAR(E127),YEAR($W$3)-YEAR(E127)+1))</f>
        <v>10</v>
      </c>
      <c r="W127" s="75">
        <f t="shared" ref="W127:W136" ca="1" si="39">IF(V127&lt;6, ROUNDUP(G127,0)*$W$6*V127, ROUNDUP(G127,0)*($W$6*5 + (V127-5)*$W$7))</f>
        <v>1417.5</v>
      </c>
      <c r="X127" s="200">
        <f t="shared" ref="X127:X136" ca="1" si="40">IF(V127=0,T127,((T127-ROUNDUP(G127,0)*1.5)+W127))</f>
        <v>3922.5</v>
      </c>
      <c r="Y127" s="1">
        <v>0.5</v>
      </c>
      <c r="Z127" s="1"/>
      <c r="AA127" s="219"/>
      <c r="AB127" s="302"/>
      <c r="AC127" s="302"/>
      <c r="AD127" s="302"/>
      <c r="AE127" s="302"/>
      <c r="AF127">
        <f t="shared" si="18"/>
        <v>0</v>
      </c>
    </row>
    <row r="128" spans="1:32" hidden="1" x14ac:dyDescent="0.25">
      <c r="A128" s="322" t="s">
        <v>354</v>
      </c>
      <c r="B128" s="93" t="str">
        <f t="shared" si="32"/>
        <v>NO</v>
      </c>
      <c r="C128" s="93" t="s">
        <v>5503</v>
      </c>
      <c r="D128" s="2">
        <v>37343</v>
      </c>
      <c r="E128" s="2">
        <v>37377</v>
      </c>
      <c r="F128" s="2">
        <f t="shared" si="19"/>
        <v>41030</v>
      </c>
      <c r="G128" s="6">
        <v>79.88</v>
      </c>
      <c r="H128" s="7" t="s">
        <v>97</v>
      </c>
      <c r="I128" s="7" t="s">
        <v>86</v>
      </c>
      <c r="J128" s="103" t="s">
        <v>4792</v>
      </c>
      <c r="K128" s="266">
        <f t="shared" si="37"/>
        <v>2012</v>
      </c>
      <c r="L128" s="408"/>
      <c r="M128" s="408"/>
      <c r="N128" s="32" t="s">
        <v>337</v>
      </c>
      <c r="O128" s="32" t="s">
        <v>356</v>
      </c>
      <c r="P128" s="278" t="s">
        <v>357</v>
      </c>
      <c r="Q128" s="235" t="s">
        <v>355</v>
      </c>
      <c r="R128" s="75">
        <v>355</v>
      </c>
      <c r="S128" s="75">
        <v>9840</v>
      </c>
      <c r="T128" s="75">
        <v>10195</v>
      </c>
      <c r="U128" s="200">
        <v>160</v>
      </c>
      <c r="V128" s="287">
        <f t="shared" ca="1" si="38"/>
        <v>10</v>
      </c>
      <c r="W128" s="75">
        <f t="shared" ca="1" si="39"/>
        <v>1400</v>
      </c>
      <c r="X128" s="200">
        <f t="shared" ca="1" si="40"/>
        <v>11475</v>
      </c>
      <c r="Y128" s="1">
        <v>0.5</v>
      </c>
      <c r="Z128" s="1"/>
      <c r="AA128" s="219"/>
      <c r="AB128" s="302"/>
      <c r="AC128" s="302"/>
      <c r="AD128" s="302"/>
      <c r="AE128" s="302"/>
      <c r="AF128">
        <f t="shared" si="18"/>
        <v>0</v>
      </c>
    </row>
    <row r="129" spans="1:32" hidden="1" x14ac:dyDescent="0.25">
      <c r="A129" s="322" t="s">
        <v>358</v>
      </c>
      <c r="B129" s="93" t="str">
        <f t="shared" si="32"/>
        <v>NO</v>
      </c>
      <c r="C129" s="93" t="s">
        <v>5503</v>
      </c>
      <c r="D129" s="2">
        <v>37343</v>
      </c>
      <c r="E129" s="2">
        <v>37377</v>
      </c>
      <c r="F129" s="2">
        <f t="shared" si="19"/>
        <v>41030</v>
      </c>
      <c r="G129" s="6">
        <v>400</v>
      </c>
      <c r="H129" s="7" t="s">
        <v>97</v>
      </c>
      <c r="I129" s="7" t="s">
        <v>86</v>
      </c>
      <c r="J129" s="103" t="s">
        <v>4792</v>
      </c>
      <c r="K129" s="266">
        <f t="shared" si="37"/>
        <v>2012</v>
      </c>
      <c r="L129" s="408"/>
      <c r="M129" s="408"/>
      <c r="N129" s="32" t="s">
        <v>337</v>
      </c>
      <c r="O129" s="32" t="s">
        <v>356</v>
      </c>
      <c r="P129" s="278" t="s">
        <v>360</v>
      </c>
      <c r="Q129" s="235" t="s">
        <v>359</v>
      </c>
      <c r="R129" s="75">
        <v>1475</v>
      </c>
      <c r="S129" s="75">
        <v>13200</v>
      </c>
      <c r="T129" s="75">
        <v>14675</v>
      </c>
      <c r="U129" s="200">
        <v>800</v>
      </c>
      <c r="V129" s="287">
        <f t="shared" ca="1" si="38"/>
        <v>10</v>
      </c>
      <c r="W129" s="75">
        <f t="shared" ca="1" si="39"/>
        <v>7000</v>
      </c>
      <c r="X129" s="200">
        <f t="shared" ca="1" si="40"/>
        <v>21075</v>
      </c>
      <c r="Y129" s="1">
        <v>0.5</v>
      </c>
      <c r="Z129" s="1"/>
      <c r="AA129" s="219"/>
      <c r="AB129" s="302"/>
      <c r="AC129" s="302"/>
      <c r="AD129" s="302"/>
      <c r="AE129" s="302"/>
      <c r="AF129">
        <f t="shared" si="18"/>
        <v>0</v>
      </c>
    </row>
    <row r="130" spans="1:32" hidden="1" x14ac:dyDescent="0.25">
      <c r="A130" s="322" t="s">
        <v>361</v>
      </c>
      <c r="B130" s="93" t="str">
        <f t="shared" si="32"/>
        <v>NO</v>
      </c>
      <c r="C130" s="93" t="s">
        <v>5503</v>
      </c>
      <c r="D130" s="2">
        <v>37343</v>
      </c>
      <c r="E130" s="2">
        <v>37377</v>
      </c>
      <c r="F130" s="2">
        <f t="shared" si="19"/>
        <v>41030</v>
      </c>
      <c r="G130" s="6">
        <v>640.5</v>
      </c>
      <c r="H130" s="7" t="s">
        <v>97</v>
      </c>
      <c r="I130" s="7" t="s">
        <v>86</v>
      </c>
      <c r="J130" s="103" t="s">
        <v>4792</v>
      </c>
      <c r="K130" s="266">
        <f t="shared" si="37"/>
        <v>2012</v>
      </c>
      <c r="L130" s="408"/>
      <c r="M130" s="408"/>
      <c r="N130" s="32" t="s">
        <v>337</v>
      </c>
      <c r="O130" s="32" t="s">
        <v>356</v>
      </c>
      <c r="P130" s="278" t="s">
        <v>363</v>
      </c>
      <c r="Q130" s="235" t="s">
        <v>362</v>
      </c>
      <c r="R130" s="75">
        <v>2318.5</v>
      </c>
      <c r="S130" s="75">
        <v>16025</v>
      </c>
      <c r="T130" s="75">
        <v>18343.5</v>
      </c>
      <c r="U130" s="200">
        <v>1282</v>
      </c>
      <c r="V130" s="287">
        <f t="shared" ca="1" si="38"/>
        <v>10</v>
      </c>
      <c r="W130" s="75">
        <f t="shared" ca="1" si="39"/>
        <v>11217.5</v>
      </c>
      <c r="X130" s="200">
        <f t="shared" ca="1" si="40"/>
        <v>28599.5</v>
      </c>
      <c r="Y130" s="1">
        <v>0.5</v>
      </c>
      <c r="Z130" s="1"/>
      <c r="AA130" s="219"/>
      <c r="AB130" s="302"/>
      <c r="AC130" s="302"/>
      <c r="AD130" s="302"/>
      <c r="AE130" s="302"/>
      <c r="AF130">
        <f t="shared" si="18"/>
        <v>0</v>
      </c>
    </row>
    <row r="131" spans="1:32" hidden="1" x14ac:dyDescent="0.25">
      <c r="A131" s="322" t="s">
        <v>364</v>
      </c>
      <c r="B131" s="93" t="str">
        <f t="shared" si="32"/>
        <v>NO</v>
      </c>
      <c r="C131" s="93" t="s">
        <v>5503</v>
      </c>
      <c r="D131" s="2">
        <v>37343</v>
      </c>
      <c r="E131" s="2">
        <v>37377</v>
      </c>
      <c r="F131" s="2">
        <f t="shared" si="19"/>
        <v>41030</v>
      </c>
      <c r="G131" s="6">
        <v>79.75</v>
      </c>
      <c r="H131" s="7" t="s">
        <v>97</v>
      </c>
      <c r="I131" s="7" t="s">
        <v>86</v>
      </c>
      <c r="J131" s="103" t="s">
        <v>4792</v>
      </c>
      <c r="K131" s="266">
        <f t="shared" si="37"/>
        <v>2012</v>
      </c>
      <c r="L131" s="408"/>
      <c r="M131" s="408"/>
      <c r="N131" s="32" t="s">
        <v>337</v>
      </c>
      <c r="O131" s="32" t="s">
        <v>356</v>
      </c>
      <c r="P131" s="278" t="s">
        <v>366</v>
      </c>
      <c r="Q131" s="235" t="s">
        <v>365</v>
      </c>
      <c r="R131" s="75">
        <v>355</v>
      </c>
      <c r="S131" s="75">
        <v>1440</v>
      </c>
      <c r="T131" s="75">
        <v>1795</v>
      </c>
      <c r="U131" s="200">
        <v>160</v>
      </c>
      <c r="V131" s="287">
        <f t="shared" ca="1" si="38"/>
        <v>10</v>
      </c>
      <c r="W131" s="75">
        <f t="shared" ca="1" si="39"/>
        <v>1400</v>
      </c>
      <c r="X131" s="200">
        <f t="shared" ca="1" si="40"/>
        <v>3075</v>
      </c>
      <c r="Y131" s="1">
        <v>0.5</v>
      </c>
      <c r="Z131" s="1"/>
      <c r="AA131" s="219"/>
      <c r="AB131" s="302"/>
      <c r="AC131" s="302"/>
      <c r="AD131" s="302"/>
      <c r="AE131" s="302"/>
      <c r="AF131">
        <f t="shared" si="18"/>
        <v>0</v>
      </c>
    </row>
    <row r="132" spans="1:32" hidden="1" x14ac:dyDescent="0.25">
      <c r="A132" s="322" t="s">
        <v>367</v>
      </c>
      <c r="B132" s="93" t="str">
        <f t="shared" si="32"/>
        <v>NO</v>
      </c>
      <c r="C132" s="93" t="s">
        <v>5503</v>
      </c>
      <c r="D132" s="2">
        <v>37343</v>
      </c>
      <c r="E132" s="2">
        <v>37377</v>
      </c>
      <c r="F132" s="2">
        <f t="shared" si="19"/>
        <v>41030</v>
      </c>
      <c r="G132" s="6">
        <v>519.6</v>
      </c>
      <c r="H132" s="7" t="s">
        <v>97</v>
      </c>
      <c r="I132" s="7" t="s">
        <v>86</v>
      </c>
      <c r="J132" s="103" t="s">
        <v>4792</v>
      </c>
      <c r="K132" s="266">
        <f t="shared" si="37"/>
        <v>2012</v>
      </c>
      <c r="L132" s="408"/>
      <c r="M132" s="408"/>
      <c r="N132" s="32" t="s">
        <v>337</v>
      </c>
      <c r="O132" s="32" t="s">
        <v>356</v>
      </c>
      <c r="P132" s="278" t="s">
        <v>369</v>
      </c>
      <c r="Q132" s="235" t="s">
        <v>368</v>
      </c>
      <c r="R132" s="75">
        <v>1895</v>
      </c>
      <c r="S132" s="75">
        <v>7280</v>
      </c>
      <c r="T132" s="75">
        <v>9175</v>
      </c>
      <c r="U132" s="200">
        <v>1040</v>
      </c>
      <c r="V132" s="287">
        <f t="shared" ca="1" si="38"/>
        <v>10</v>
      </c>
      <c r="W132" s="75">
        <f t="shared" ca="1" si="39"/>
        <v>9100</v>
      </c>
      <c r="X132" s="200">
        <f t="shared" ca="1" si="40"/>
        <v>17495</v>
      </c>
      <c r="Y132" s="1">
        <v>0.5</v>
      </c>
      <c r="Z132" s="1"/>
      <c r="AA132" s="219"/>
      <c r="AB132" s="302"/>
      <c r="AC132" s="302"/>
      <c r="AD132" s="302"/>
      <c r="AE132" s="302"/>
      <c r="AF132">
        <f t="shared" si="18"/>
        <v>0</v>
      </c>
    </row>
    <row r="133" spans="1:32" hidden="1" x14ac:dyDescent="0.25">
      <c r="A133" s="322" t="s">
        <v>370</v>
      </c>
      <c r="B133" s="93" t="str">
        <f t="shared" si="32"/>
        <v>NO</v>
      </c>
      <c r="C133" s="93" t="s">
        <v>5503</v>
      </c>
      <c r="D133" s="2">
        <v>37343</v>
      </c>
      <c r="E133" s="2">
        <v>37377</v>
      </c>
      <c r="F133" s="2">
        <f t="shared" si="19"/>
        <v>41030</v>
      </c>
      <c r="G133" s="6">
        <v>81</v>
      </c>
      <c r="H133" s="7" t="s">
        <v>97</v>
      </c>
      <c r="I133" s="7" t="s">
        <v>86</v>
      </c>
      <c r="J133" s="103" t="s">
        <v>4792</v>
      </c>
      <c r="K133" s="266">
        <f t="shared" si="37"/>
        <v>2012</v>
      </c>
      <c r="L133" s="408"/>
      <c r="M133" s="408"/>
      <c r="N133" s="32" t="s">
        <v>337</v>
      </c>
      <c r="O133" s="32" t="s">
        <v>372</v>
      </c>
      <c r="P133" s="278" t="s">
        <v>373</v>
      </c>
      <c r="Q133" s="235" t="s">
        <v>371</v>
      </c>
      <c r="R133" s="75">
        <v>358.5</v>
      </c>
      <c r="S133" s="75">
        <v>405</v>
      </c>
      <c r="T133" s="75">
        <v>763.5</v>
      </c>
      <c r="U133" s="200">
        <v>162</v>
      </c>
      <c r="V133" s="287">
        <f t="shared" ca="1" si="38"/>
        <v>10</v>
      </c>
      <c r="W133" s="75">
        <f t="shared" ca="1" si="39"/>
        <v>1417.5</v>
      </c>
      <c r="X133" s="200">
        <f t="shared" ca="1" si="40"/>
        <v>2059.5</v>
      </c>
      <c r="Y133" s="1">
        <v>0.5</v>
      </c>
      <c r="Z133" s="1"/>
      <c r="AA133" s="219"/>
      <c r="AB133" s="302"/>
      <c r="AC133" s="302"/>
      <c r="AD133" s="302"/>
      <c r="AE133" s="302"/>
      <c r="AF133">
        <f t="shared" si="18"/>
        <v>0</v>
      </c>
    </row>
    <row r="134" spans="1:32" hidden="1" x14ac:dyDescent="0.25">
      <c r="A134" s="322" t="s">
        <v>374</v>
      </c>
      <c r="B134" s="93" t="str">
        <f t="shared" si="32"/>
        <v>NO</v>
      </c>
      <c r="C134" s="93" t="s">
        <v>5503</v>
      </c>
      <c r="D134" s="2">
        <v>37343</v>
      </c>
      <c r="E134" s="2">
        <v>37377</v>
      </c>
      <c r="F134" s="2">
        <f t="shared" si="19"/>
        <v>41030</v>
      </c>
      <c r="G134" s="6">
        <v>656.68</v>
      </c>
      <c r="H134" s="7" t="s">
        <v>376</v>
      </c>
      <c r="I134" s="7" t="s">
        <v>86</v>
      </c>
      <c r="J134" s="103" t="s">
        <v>4792</v>
      </c>
      <c r="K134" s="266">
        <f t="shared" si="37"/>
        <v>2012</v>
      </c>
      <c r="L134" s="408"/>
      <c r="M134" s="408"/>
      <c r="N134" s="32" t="s">
        <v>337</v>
      </c>
      <c r="O134" s="32" t="s">
        <v>377</v>
      </c>
      <c r="P134" s="278" t="s">
        <v>378</v>
      </c>
      <c r="Q134" s="235" t="s">
        <v>375</v>
      </c>
      <c r="R134" s="75">
        <v>2374.5</v>
      </c>
      <c r="S134" s="75">
        <v>1971</v>
      </c>
      <c r="T134" s="75">
        <v>4345.5</v>
      </c>
      <c r="U134" s="200">
        <v>1314</v>
      </c>
      <c r="V134" s="287">
        <f t="shared" ca="1" si="38"/>
        <v>10</v>
      </c>
      <c r="W134" s="75">
        <f t="shared" ca="1" si="39"/>
        <v>11497.5</v>
      </c>
      <c r="X134" s="200">
        <f t="shared" ca="1" si="40"/>
        <v>14857.5</v>
      </c>
      <c r="Y134" s="1">
        <v>0.5</v>
      </c>
      <c r="Z134" s="1"/>
      <c r="AA134" s="219"/>
      <c r="AB134" s="302"/>
      <c r="AC134" s="302"/>
      <c r="AD134" s="302"/>
      <c r="AE134" s="302"/>
      <c r="AF134">
        <f t="shared" si="18"/>
        <v>0</v>
      </c>
    </row>
    <row r="135" spans="1:32" hidden="1" x14ac:dyDescent="0.25">
      <c r="A135" s="322" t="s">
        <v>379</v>
      </c>
      <c r="B135" s="93" t="str">
        <f t="shared" si="32"/>
        <v>NO</v>
      </c>
      <c r="C135" s="93" t="s">
        <v>5503</v>
      </c>
      <c r="D135" s="2">
        <v>37343</v>
      </c>
      <c r="E135" s="2">
        <v>37377</v>
      </c>
      <c r="F135" s="2">
        <f t="shared" si="19"/>
        <v>41030</v>
      </c>
      <c r="G135" s="6">
        <v>440.83</v>
      </c>
      <c r="H135" s="7" t="s">
        <v>381</v>
      </c>
      <c r="I135" s="7" t="s">
        <v>86</v>
      </c>
      <c r="J135" s="103" t="s">
        <v>4792</v>
      </c>
      <c r="K135" s="266">
        <f t="shared" si="37"/>
        <v>2012</v>
      </c>
      <c r="L135" s="408"/>
      <c r="M135" s="408"/>
      <c r="N135" s="32" t="s">
        <v>337</v>
      </c>
      <c r="O135" s="32" t="s">
        <v>382</v>
      </c>
      <c r="P135" s="278" t="s">
        <v>383</v>
      </c>
      <c r="Q135" s="235" t="s">
        <v>380</v>
      </c>
      <c r="R135" s="75">
        <v>1618.5</v>
      </c>
      <c r="S135" s="75">
        <v>882</v>
      </c>
      <c r="T135" s="75">
        <v>2500.5</v>
      </c>
      <c r="U135" s="200">
        <v>882</v>
      </c>
      <c r="V135" s="287">
        <f t="shared" ca="1" si="38"/>
        <v>10</v>
      </c>
      <c r="W135" s="75">
        <f t="shared" ca="1" si="39"/>
        <v>7717.5</v>
      </c>
      <c r="X135" s="200">
        <f t="shared" ca="1" si="40"/>
        <v>9556.5</v>
      </c>
      <c r="Y135" s="1">
        <v>0.5</v>
      </c>
      <c r="Z135" s="1"/>
      <c r="AA135" s="219"/>
      <c r="AB135" s="302"/>
      <c r="AC135" s="302"/>
      <c r="AD135" s="302"/>
      <c r="AE135" s="302"/>
      <c r="AF135">
        <f t="shared" si="18"/>
        <v>0</v>
      </c>
    </row>
    <row r="136" spans="1:32" ht="26.25" hidden="1" x14ac:dyDescent="0.25">
      <c r="A136" s="322" t="s">
        <v>384</v>
      </c>
      <c r="B136" s="93" t="str">
        <f t="shared" si="32"/>
        <v>NO</v>
      </c>
      <c r="C136" s="93" t="s">
        <v>5503</v>
      </c>
      <c r="D136" s="2">
        <v>37343</v>
      </c>
      <c r="E136" s="2">
        <v>37377</v>
      </c>
      <c r="F136" s="2">
        <f t="shared" si="19"/>
        <v>41030</v>
      </c>
      <c r="G136" s="6">
        <v>314.76</v>
      </c>
      <c r="H136" s="7" t="s">
        <v>381</v>
      </c>
      <c r="I136" s="7" t="s">
        <v>86</v>
      </c>
      <c r="J136" s="103" t="s">
        <v>4792</v>
      </c>
      <c r="K136" s="266">
        <f t="shared" si="37"/>
        <v>2012</v>
      </c>
      <c r="L136" s="408"/>
      <c r="M136" s="408"/>
      <c r="N136" s="32" t="s">
        <v>337</v>
      </c>
      <c r="O136" s="32" t="s">
        <v>382</v>
      </c>
      <c r="P136" s="278" t="s">
        <v>386</v>
      </c>
      <c r="Q136" s="235" t="s">
        <v>385</v>
      </c>
      <c r="R136" s="75">
        <v>1177.5</v>
      </c>
      <c r="S136" s="75">
        <v>1260</v>
      </c>
      <c r="T136" s="75">
        <v>2437.5</v>
      </c>
      <c r="U136" s="200">
        <v>630</v>
      </c>
      <c r="V136" s="287">
        <f t="shared" ca="1" si="38"/>
        <v>10</v>
      </c>
      <c r="W136" s="75">
        <f t="shared" ca="1" si="39"/>
        <v>5512.5</v>
      </c>
      <c r="X136" s="200">
        <f t="shared" ca="1" si="40"/>
        <v>7477.5</v>
      </c>
      <c r="Y136" s="1">
        <v>0.5</v>
      </c>
      <c r="Z136" s="1"/>
      <c r="AA136" s="219"/>
      <c r="AB136" s="302"/>
      <c r="AC136" s="302"/>
      <c r="AD136" s="302"/>
      <c r="AE136" s="302"/>
      <c r="AF136">
        <f t="shared" si="18"/>
        <v>0</v>
      </c>
    </row>
    <row r="137" spans="1:32" hidden="1" x14ac:dyDescent="0.25">
      <c r="A137" s="323"/>
      <c r="D137" s="2"/>
      <c r="E137" s="2"/>
      <c r="F137" s="2"/>
      <c r="G137" s="6"/>
      <c r="H137" s="7"/>
      <c r="I137" s="7"/>
      <c r="J137" s="186"/>
      <c r="K137" s="186"/>
      <c r="L137" s="386"/>
      <c r="M137" s="386"/>
      <c r="N137" s="32"/>
      <c r="O137" s="32"/>
      <c r="P137" s="278"/>
      <c r="Q137" s="235"/>
      <c r="R137" s="75"/>
      <c r="S137" s="75"/>
      <c r="T137" s="75"/>
      <c r="U137" s="200"/>
      <c r="V137" s="75"/>
      <c r="W137" s="75"/>
      <c r="X137" s="200"/>
      <c r="Y137" s="1"/>
      <c r="Z137" s="1"/>
      <c r="AA137" s="219"/>
      <c r="AB137" s="302"/>
      <c r="AC137" s="302"/>
      <c r="AD137" s="302"/>
      <c r="AE137" s="302"/>
      <c r="AF137">
        <f t="shared" si="18"/>
        <v>0</v>
      </c>
    </row>
    <row r="138" spans="1:32" hidden="1" x14ac:dyDescent="0.25">
      <c r="A138" s="322" t="s">
        <v>387</v>
      </c>
      <c r="B138" s="93" t="str">
        <f t="shared" ref="B138:B147" si="41">IF(COUNTIF(GIS,A140),"YES","NO")</f>
        <v>NO</v>
      </c>
      <c r="C138" s="93" t="s">
        <v>5503</v>
      </c>
      <c r="D138" s="2">
        <v>37448</v>
      </c>
      <c r="E138" s="2">
        <v>37469</v>
      </c>
      <c r="F138" s="2">
        <f t="shared" si="19"/>
        <v>41122</v>
      </c>
      <c r="G138" s="6">
        <v>192.81</v>
      </c>
      <c r="H138" s="7" t="s">
        <v>97</v>
      </c>
      <c r="I138" s="7" t="s">
        <v>86</v>
      </c>
      <c r="J138" s="103" t="s">
        <v>4792</v>
      </c>
      <c r="K138" s="266">
        <f t="shared" ref="K138:K146" si="42">YEAR(F138)</f>
        <v>2012</v>
      </c>
      <c r="L138" s="408"/>
      <c r="M138" s="408"/>
      <c r="N138" s="32" t="s">
        <v>389</v>
      </c>
      <c r="O138" s="32" t="s">
        <v>390</v>
      </c>
      <c r="P138" s="278" t="s">
        <v>391</v>
      </c>
      <c r="Q138" s="235" t="s">
        <v>388</v>
      </c>
      <c r="R138" s="75">
        <v>364.5</v>
      </c>
      <c r="S138" s="75">
        <v>0</v>
      </c>
      <c r="T138" s="75">
        <v>364.5</v>
      </c>
      <c r="U138" s="200">
        <v>386</v>
      </c>
      <c r="V138" s="287">
        <f t="shared" ref="V138:V146" ca="1" si="43">IF(YEAR($W$3)-YEAR(E138)&gt;9,10,IF(MONTH($W$3)&lt;MONTH(E138),YEAR($W$3)-YEAR(E138),YEAR($W$3)-YEAR(E138)+1))</f>
        <v>10</v>
      </c>
      <c r="W138" s="75">
        <f t="shared" ref="W138:W146" ca="1" si="44">IF(V138&lt;6, ROUNDUP(G138,0)*$W$6*V138, ROUNDUP(G138,0)*($W$6*5 + (V138-5)*$W$7))</f>
        <v>3377.5</v>
      </c>
      <c r="X138" s="200">
        <f t="shared" ref="X138:X146" ca="1" si="45">IF(V138=0,T138,((T138-ROUNDUP(G138,0)*1.5)+W138))</f>
        <v>3452.5</v>
      </c>
      <c r="Y138" s="1">
        <v>0.5</v>
      </c>
      <c r="Z138" s="1"/>
      <c r="AA138" s="219"/>
      <c r="AB138" s="302"/>
      <c r="AC138" s="302"/>
      <c r="AD138" s="302"/>
      <c r="AE138" s="302"/>
      <c r="AF138">
        <f t="shared" si="18"/>
        <v>0</v>
      </c>
    </row>
    <row r="139" spans="1:32" hidden="1" x14ac:dyDescent="0.25">
      <c r="A139" s="322" t="s">
        <v>392</v>
      </c>
      <c r="B139" s="93" t="str">
        <f t="shared" si="41"/>
        <v>NO</v>
      </c>
      <c r="C139" s="93" t="s">
        <v>5503</v>
      </c>
      <c r="D139" s="2">
        <v>37448</v>
      </c>
      <c r="E139" s="2">
        <v>37469</v>
      </c>
      <c r="F139" s="2">
        <f t="shared" si="19"/>
        <v>41122</v>
      </c>
      <c r="G139" s="6">
        <v>440.45</v>
      </c>
      <c r="H139" s="7" t="s">
        <v>97</v>
      </c>
      <c r="I139" s="7" t="s">
        <v>86</v>
      </c>
      <c r="J139" s="103" t="s">
        <v>4792</v>
      </c>
      <c r="K139" s="266">
        <f t="shared" si="42"/>
        <v>2012</v>
      </c>
      <c r="L139" s="408"/>
      <c r="M139" s="408"/>
      <c r="N139" s="32" t="s">
        <v>389</v>
      </c>
      <c r="O139" s="32" t="s">
        <v>390</v>
      </c>
      <c r="P139" s="278" t="s">
        <v>394</v>
      </c>
      <c r="Q139" s="235" t="s">
        <v>393</v>
      </c>
      <c r="R139" s="75">
        <v>736.5</v>
      </c>
      <c r="S139" s="75">
        <v>0</v>
      </c>
      <c r="T139" s="75">
        <v>736.5</v>
      </c>
      <c r="U139" s="200">
        <v>882</v>
      </c>
      <c r="V139" s="287">
        <f t="shared" ca="1" si="43"/>
        <v>10</v>
      </c>
      <c r="W139" s="75">
        <f t="shared" ca="1" si="44"/>
        <v>7717.5</v>
      </c>
      <c r="X139" s="200">
        <f t="shared" ca="1" si="45"/>
        <v>7792.5</v>
      </c>
      <c r="Y139" s="1">
        <v>0.5</v>
      </c>
      <c r="Z139" s="1"/>
      <c r="AA139" s="219"/>
      <c r="AB139" s="302"/>
      <c r="AC139" s="302"/>
      <c r="AD139" s="302"/>
      <c r="AE139" s="302"/>
      <c r="AF139">
        <f t="shared" ref="AF139:AF202" si="46">COUNTIF(FilterList,A139)</f>
        <v>0</v>
      </c>
    </row>
    <row r="140" spans="1:32" hidden="1" x14ac:dyDescent="0.25">
      <c r="A140" s="322" t="s">
        <v>395</v>
      </c>
      <c r="B140" s="93" t="str">
        <f t="shared" si="41"/>
        <v>NO</v>
      </c>
      <c r="C140" s="93" t="s">
        <v>5503</v>
      </c>
      <c r="D140" s="2">
        <v>37448</v>
      </c>
      <c r="E140" s="2">
        <v>37469</v>
      </c>
      <c r="F140" s="2">
        <f t="shared" ref="F140:F203" si="47">DATE(YEAR(E140)+10,MONTH(E140),DAY(E140))</f>
        <v>41122</v>
      </c>
      <c r="G140" s="6">
        <v>800</v>
      </c>
      <c r="H140" s="7" t="s">
        <v>97</v>
      </c>
      <c r="I140" s="7" t="s">
        <v>86</v>
      </c>
      <c r="J140" s="103" t="s">
        <v>4792</v>
      </c>
      <c r="K140" s="266">
        <f t="shared" si="42"/>
        <v>2012</v>
      </c>
      <c r="L140" s="408"/>
      <c r="M140" s="408"/>
      <c r="N140" s="32" t="s">
        <v>389</v>
      </c>
      <c r="O140" s="32" t="s">
        <v>390</v>
      </c>
      <c r="P140" s="278" t="s">
        <v>397</v>
      </c>
      <c r="Q140" s="235" t="s">
        <v>396</v>
      </c>
      <c r="R140" s="75">
        <v>1275</v>
      </c>
      <c r="S140" s="75">
        <v>0</v>
      </c>
      <c r="T140" s="75">
        <v>1275</v>
      </c>
      <c r="U140" s="200">
        <v>1600</v>
      </c>
      <c r="V140" s="287">
        <f t="shared" ca="1" si="43"/>
        <v>10</v>
      </c>
      <c r="W140" s="75">
        <f t="shared" ca="1" si="44"/>
        <v>14000</v>
      </c>
      <c r="X140" s="200">
        <f t="shared" ca="1" si="45"/>
        <v>14075</v>
      </c>
      <c r="Y140" s="1">
        <v>0.5</v>
      </c>
      <c r="Z140" s="1"/>
      <c r="AA140" s="219"/>
      <c r="AB140" s="302"/>
      <c r="AC140" s="302"/>
      <c r="AD140" s="302"/>
      <c r="AE140" s="302"/>
      <c r="AF140">
        <f t="shared" si="46"/>
        <v>0</v>
      </c>
    </row>
    <row r="141" spans="1:32" ht="26.25" hidden="1" x14ac:dyDescent="0.25">
      <c r="A141" s="322" t="s">
        <v>398</v>
      </c>
      <c r="B141" s="93" t="str">
        <f t="shared" si="41"/>
        <v>NO</v>
      </c>
      <c r="C141" s="93" t="s">
        <v>5503</v>
      </c>
      <c r="D141" s="2">
        <v>37448</v>
      </c>
      <c r="E141" s="2">
        <v>37469</v>
      </c>
      <c r="F141" s="2">
        <f t="shared" si="47"/>
        <v>41122</v>
      </c>
      <c r="G141" s="6">
        <v>520.20000000000005</v>
      </c>
      <c r="H141" s="7" t="s">
        <v>97</v>
      </c>
      <c r="I141" s="7" t="s">
        <v>86</v>
      </c>
      <c r="J141" s="103" t="s">
        <v>4792</v>
      </c>
      <c r="K141" s="266">
        <f t="shared" si="42"/>
        <v>2012</v>
      </c>
      <c r="L141" s="408"/>
      <c r="M141" s="408"/>
      <c r="N141" s="32" t="s">
        <v>389</v>
      </c>
      <c r="O141" s="32" t="s">
        <v>390</v>
      </c>
      <c r="P141" s="278" t="s">
        <v>400</v>
      </c>
      <c r="Q141" s="235" t="s">
        <v>399</v>
      </c>
      <c r="R141" s="75">
        <v>856.5</v>
      </c>
      <c r="S141" s="75">
        <v>0</v>
      </c>
      <c r="T141" s="75">
        <v>856.5</v>
      </c>
      <c r="U141" s="200">
        <v>1042</v>
      </c>
      <c r="V141" s="287">
        <f t="shared" ca="1" si="43"/>
        <v>10</v>
      </c>
      <c r="W141" s="75">
        <f t="shared" ca="1" si="44"/>
        <v>9117.5</v>
      </c>
      <c r="X141" s="200">
        <f t="shared" ca="1" si="45"/>
        <v>9192.5</v>
      </c>
      <c r="Y141" s="1">
        <v>0.5</v>
      </c>
      <c r="Z141" s="1"/>
      <c r="AA141" s="219"/>
      <c r="AB141" s="302"/>
      <c r="AC141" s="302"/>
      <c r="AD141" s="302"/>
      <c r="AE141" s="302"/>
      <c r="AF141">
        <f t="shared" si="46"/>
        <v>0</v>
      </c>
    </row>
    <row r="142" spans="1:32" hidden="1" x14ac:dyDescent="0.25">
      <c r="A142" s="322" t="s">
        <v>401</v>
      </c>
      <c r="B142" s="93" t="str">
        <f t="shared" si="41"/>
        <v>NO</v>
      </c>
      <c r="C142" s="93" t="s">
        <v>5503</v>
      </c>
      <c r="D142" s="2">
        <v>37448</v>
      </c>
      <c r="E142" s="2">
        <v>37469</v>
      </c>
      <c r="F142" s="2">
        <f t="shared" si="47"/>
        <v>41122</v>
      </c>
      <c r="G142" s="6">
        <v>556</v>
      </c>
      <c r="H142" s="7" t="s">
        <v>97</v>
      </c>
      <c r="I142" s="7" t="s">
        <v>86</v>
      </c>
      <c r="J142" s="103" t="s">
        <v>4792</v>
      </c>
      <c r="K142" s="266">
        <f t="shared" si="42"/>
        <v>2012</v>
      </c>
      <c r="L142" s="408"/>
      <c r="M142" s="408"/>
      <c r="N142" s="32" t="s">
        <v>389</v>
      </c>
      <c r="O142" s="32" t="s">
        <v>390</v>
      </c>
      <c r="P142" s="278" t="s">
        <v>403</v>
      </c>
      <c r="Q142" s="235" t="s">
        <v>402</v>
      </c>
      <c r="R142" s="75">
        <v>909</v>
      </c>
      <c r="S142" s="75">
        <v>0</v>
      </c>
      <c r="T142" s="75">
        <v>909</v>
      </c>
      <c r="U142" s="200">
        <v>1112</v>
      </c>
      <c r="V142" s="287">
        <f t="shared" ca="1" si="43"/>
        <v>10</v>
      </c>
      <c r="W142" s="75">
        <f t="shared" ca="1" si="44"/>
        <v>9730</v>
      </c>
      <c r="X142" s="200">
        <f t="shared" ca="1" si="45"/>
        <v>9805</v>
      </c>
      <c r="Y142" s="1">
        <v>0.5</v>
      </c>
      <c r="Z142" s="1"/>
      <c r="AA142" s="219"/>
      <c r="AB142" s="302"/>
      <c r="AC142" s="302"/>
      <c r="AD142" s="302"/>
      <c r="AE142" s="302"/>
      <c r="AF142">
        <f t="shared" si="46"/>
        <v>0</v>
      </c>
    </row>
    <row r="143" spans="1:32" hidden="1" x14ac:dyDescent="0.25">
      <c r="A143" s="322" t="s">
        <v>404</v>
      </c>
      <c r="B143" s="93" t="str">
        <f t="shared" si="41"/>
        <v>NO</v>
      </c>
      <c r="C143" s="93" t="s">
        <v>5503</v>
      </c>
      <c r="D143" s="2">
        <v>37448</v>
      </c>
      <c r="E143" s="2">
        <v>37469</v>
      </c>
      <c r="F143" s="2">
        <f t="shared" si="47"/>
        <v>41122</v>
      </c>
      <c r="G143" s="6">
        <v>634.29999999999995</v>
      </c>
      <c r="H143" s="7" t="s">
        <v>97</v>
      </c>
      <c r="I143" s="7" t="s">
        <v>86</v>
      </c>
      <c r="J143" s="103" t="s">
        <v>4792</v>
      </c>
      <c r="K143" s="266">
        <f t="shared" si="42"/>
        <v>2012</v>
      </c>
      <c r="L143" s="408"/>
      <c r="M143" s="408"/>
      <c r="N143" s="32" t="s">
        <v>389</v>
      </c>
      <c r="O143" s="32" t="s">
        <v>390</v>
      </c>
      <c r="P143" s="278" t="s">
        <v>406</v>
      </c>
      <c r="Q143" s="235" t="s">
        <v>405</v>
      </c>
      <c r="R143" s="75">
        <v>1027.5</v>
      </c>
      <c r="S143" s="75">
        <v>0</v>
      </c>
      <c r="T143" s="75">
        <v>1027.5</v>
      </c>
      <c r="U143" s="200">
        <v>1270</v>
      </c>
      <c r="V143" s="287">
        <f t="shared" ca="1" si="43"/>
        <v>10</v>
      </c>
      <c r="W143" s="75">
        <f t="shared" ca="1" si="44"/>
        <v>11112.5</v>
      </c>
      <c r="X143" s="200">
        <f t="shared" ca="1" si="45"/>
        <v>11187.5</v>
      </c>
      <c r="Y143" s="1">
        <v>0.5</v>
      </c>
      <c r="Z143" s="1"/>
      <c r="AA143" s="219"/>
      <c r="AB143" s="302"/>
      <c r="AC143" s="302"/>
      <c r="AD143" s="302"/>
      <c r="AE143" s="302"/>
      <c r="AF143">
        <f t="shared" si="46"/>
        <v>0</v>
      </c>
    </row>
    <row r="144" spans="1:32" ht="26.25" hidden="1" x14ac:dyDescent="0.25">
      <c r="A144" s="322" t="s">
        <v>407</v>
      </c>
      <c r="B144" s="93" t="str">
        <f t="shared" si="41"/>
        <v>NO</v>
      </c>
      <c r="C144" s="93" t="s">
        <v>5503</v>
      </c>
      <c r="D144" s="2">
        <v>37448</v>
      </c>
      <c r="E144" s="2">
        <v>37469</v>
      </c>
      <c r="F144" s="2">
        <f t="shared" si="47"/>
        <v>41122</v>
      </c>
      <c r="G144" s="6">
        <v>980</v>
      </c>
      <c r="H144" s="7" t="s">
        <v>97</v>
      </c>
      <c r="I144" s="7" t="s">
        <v>86</v>
      </c>
      <c r="J144" s="103" t="s">
        <v>4792</v>
      </c>
      <c r="K144" s="266">
        <f t="shared" si="42"/>
        <v>2012</v>
      </c>
      <c r="L144" s="408"/>
      <c r="M144" s="408"/>
      <c r="N144" s="32" t="s">
        <v>389</v>
      </c>
      <c r="O144" s="32" t="s">
        <v>390</v>
      </c>
      <c r="P144" s="278" t="s">
        <v>409</v>
      </c>
      <c r="Q144" s="235" t="s">
        <v>408</v>
      </c>
      <c r="R144" s="75">
        <v>1545</v>
      </c>
      <c r="S144" s="75">
        <v>0</v>
      </c>
      <c r="T144" s="75">
        <v>1545</v>
      </c>
      <c r="U144" s="200">
        <v>1960</v>
      </c>
      <c r="V144" s="287">
        <f t="shared" ca="1" si="43"/>
        <v>10</v>
      </c>
      <c r="W144" s="75">
        <f t="shared" ca="1" si="44"/>
        <v>17150</v>
      </c>
      <c r="X144" s="200">
        <f t="shared" ca="1" si="45"/>
        <v>17225</v>
      </c>
      <c r="Y144" s="1">
        <v>0.5</v>
      </c>
      <c r="Z144" s="1"/>
      <c r="AA144" s="219"/>
      <c r="AB144" s="302"/>
      <c r="AC144" s="302"/>
      <c r="AD144" s="302"/>
      <c r="AE144" s="302"/>
      <c r="AF144">
        <f t="shared" si="46"/>
        <v>0</v>
      </c>
    </row>
    <row r="145" spans="1:32" hidden="1" x14ac:dyDescent="0.25">
      <c r="A145" s="322" t="s">
        <v>410</v>
      </c>
      <c r="B145" s="93" t="str">
        <f t="shared" si="41"/>
        <v>NO</v>
      </c>
      <c r="C145" s="93" t="s">
        <v>5503</v>
      </c>
      <c r="D145" s="2">
        <v>37448</v>
      </c>
      <c r="E145" s="2">
        <v>37469</v>
      </c>
      <c r="F145" s="2">
        <f t="shared" si="47"/>
        <v>41122</v>
      </c>
      <c r="G145" s="6">
        <v>600.95000000000005</v>
      </c>
      <c r="H145" s="7" t="s">
        <v>412</v>
      </c>
      <c r="I145" s="7" t="s">
        <v>86</v>
      </c>
      <c r="J145" s="103" t="s">
        <v>4792</v>
      </c>
      <c r="K145" s="266">
        <f t="shared" si="42"/>
        <v>2012</v>
      </c>
      <c r="L145" s="408"/>
      <c r="M145" s="408"/>
      <c r="N145" s="32" t="s">
        <v>389</v>
      </c>
      <c r="O145" s="32" t="s">
        <v>413</v>
      </c>
      <c r="P145" s="278" t="s">
        <v>414</v>
      </c>
      <c r="Q145" s="235" t="s">
        <v>411</v>
      </c>
      <c r="R145" s="75">
        <v>976.5</v>
      </c>
      <c r="S145" s="75">
        <v>0</v>
      </c>
      <c r="T145" s="75">
        <v>976.5</v>
      </c>
      <c r="U145" s="200">
        <v>1202</v>
      </c>
      <c r="V145" s="287">
        <f t="shared" ca="1" si="43"/>
        <v>10</v>
      </c>
      <c r="W145" s="75">
        <f t="shared" ca="1" si="44"/>
        <v>10517.5</v>
      </c>
      <c r="X145" s="200">
        <f t="shared" ca="1" si="45"/>
        <v>10592.5</v>
      </c>
      <c r="Y145" s="1">
        <v>0.5</v>
      </c>
      <c r="Z145" s="1"/>
      <c r="AA145" s="219"/>
      <c r="AB145" s="302"/>
      <c r="AC145" s="302"/>
      <c r="AD145" s="302"/>
      <c r="AE145" s="302"/>
      <c r="AF145">
        <f t="shared" si="46"/>
        <v>0</v>
      </c>
    </row>
    <row r="146" spans="1:32" ht="26.25" hidden="1" x14ac:dyDescent="0.25">
      <c r="A146" s="322" t="s">
        <v>415</v>
      </c>
      <c r="B146" s="93" t="str">
        <f t="shared" si="41"/>
        <v>NO</v>
      </c>
      <c r="C146" s="93" t="s">
        <v>5503</v>
      </c>
      <c r="D146" s="2">
        <v>37448</v>
      </c>
      <c r="E146" s="2">
        <v>37469</v>
      </c>
      <c r="F146" s="2">
        <f t="shared" si="47"/>
        <v>41122</v>
      </c>
      <c r="G146" s="6">
        <v>423.3</v>
      </c>
      <c r="H146" s="7" t="s">
        <v>412</v>
      </c>
      <c r="I146" s="7" t="s">
        <v>86</v>
      </c>
      <c r="J146" s="103" t="s">
        <v>4792</v>
      </c>
      <c r="K146" s="266">
        <f t="shared" si="42"/>
        <v>2012</v>
      </c>
      <c r="L146" s="408"/>
      <c r="M146" s="408"/>
      <c r="N146" s="32" t="s">
        <v>389</v>
      </c>
      <c r="O146" s="32" t="s">
        <v>413</v>
      </c>
      <c r="P146" s="278" t="s">
        <v>417</v>
      </c>
      <c r="Q146" s="235" t="s">
        <v>416</v>
      </c>
      <c r="R146" s="75">
        <v>711</v>
      </c>
      <c r="S146" s="75">
        <v>0</v>
      </c>
      <c r="T146" s="75">
        <v>711</v>
      </c>
      <c r="U146" s="200">
        <v>848</v>
      </c>
      <c r="V146" s="287">
        <f t="shared" ca="1" si="43"/>
        <v>10</v>
      </c>
      <c r="W146" s="75">
        <f t="shared" ca="1" si="44"/>
        <v>7420</v>
      </c>
      <c r="X146" s="200">
        <f t="shared" ca="1" si="45"/>
        <v>7495</v>
      </c>
      <c r="Y146" s="1">
        <v>0.5</v>
      </c>
      <c r="Z146" s="1"/>
      <c r="AA146" s="219"/>
      <c r="AB146" s="302"/>
      <c r="AC146" s="302"/>
      <c r="AD146" s="302"/>
      <c r="AE146" s="302"/>
      <c r="AF146">
        <f t="shared" si="46"/>
        <v>0</v>
      </c>
    </row>
    <row r="147" spans="1:32" hidden="1" x14ac:dyDescent="0.25">
      <c r="A147" s="322" t="s">
        <v>418</v>
      </c>
      <c r="B147" s="93" t="str">
        <f t="shared" si="41"/>
        <v>NO</v>
      </c>
      <c r="C147" s="93" t="s">
        <v>5503</v>
      </c>
      <c r="D147" s="2">
        <v>37448</v>
      </c>
      <c r="E147" s="2"/>
      <c r="F147" s="2"/>
      <c r="G147" s="6"/>
      <c r="H147" s="7"/>
      <c r="I147" s="7"/>
      <c r="J147" s="185" t="s">
        <v>4802</v>
      </c>
      <c r="K147" s="266"/>
      <c r="L147" s="384"/>
      <c r="M147" s="384"/>
      <c r="N147" s="136"/>
      <c r="O147" s="32" t="s">
        <v>13</v>
      </c>
      <c r="P147" s="278"/>
      <c r="Q147" s="235"/>
      <c r="R147" s="75">
        <v>495</v>
      </c>
      <c r="S147" s="75">
        <v>-420</v>
      </c>
      <c r="T147" s="75">
        <v>75</v>
      </c>
      <c r="U147" s="200"/>
      <c r="V147" s="75"/>
      <c r="W147" s="75"/>
      <c r="X147" s="200"/>
      <c r="Y147" s="1">
        <v>0.5</v>
      </c>
      <c r="Z147" s="1"/>
      <c r="AA147" s="219"/>
      <c r="AB147" s="302"/>
      <c r="AC147" s="302"/>
      <c r="AD147" s="302"/>
      <c r="AE147" s="302"/>
      <c r="AF147">
        <f t="shared" si="46"/>
        <v>0</v>
      </c>
    </row>
    <row r="148" spans="1:32" hidden="1" x14ac:dyDescent="0.25">
      <c r="A148" s="323"/>
      <c r="D148" s="2"/>
      <c r="E148" s="2"/>
      <c r="F148" s="2"/>
      <c r="G148" s="6"/>
      <c r="H148" s="7"/>
      <c r="I148" s="7"/>
      <c r="J148" s="186"/>
      <c r="K148" s="186"/>
      <c r="L148" s="386"/>
      <c r="M148" s="386"/>
      <c r="N148" s="32"/>
      <c r="O148" s="32"/>
      <c r="P148" s="278"/>
      <c r="Q148" s="235"/>
      <c r="R148" s="75"/>
      <c r="S148" s="75"/>
      <c r="T148" s="75"/>
      <c r="U148" s="200"/>
      <c r="V148" s="75"/>
      <c r="W148" s="75"/>
      <c r="X148" s="200"/>
      <c r="Y148" s="1"/>
      <c r="Z148" s="1"/>
      <c r="AA148" s="219"/>
      <c r="AB148" s="302"/>
      <c r="AC148" s="302"/>
      <c r="AD148" s="302"/>
      <c r="AE148" s="302"/>
      <c r="AF148">
        <f t="shared" si="46"/>
        <v>0</v>
      </c>
    </row>
    <row r="149" spans="1:32" hidden="1" x14ac:dyDescent="0.25">
      <c r="A149" s="322" t="s">
        <v>419</v>
      </c>
      <c r="B149" s="93" t="str">
        <f>IF(COUNTIF(GIS,A151),"YES","NO")</f>
        <v>NO</v>
      </c>
      <c r="C149" s="93" t="s">
        <v>5503</v>
      </c>
      <c r="D149" s="2">
        <v>37454</v>
      </c>
      <c r="E149" s="2">
        <v>37500</v>
      </c>
      <c r="F149" s="2">
        <f t="shared" si="47"/>
        <v>41153</v>
      </c>
      <c r="G149" s="6">
        <v>167</v>
      </c>
      <c r="H149" s="7" t="s">
        <v>420</v>
      </c>
      <c r="I149" s="7" t="s">
        <v>15</v>
      </c>
      <c r="J149" s="103" t="s">
        <v>4792</v>
      </c>
      <c r="K149" s="266">
        <f>YEAR(F149)</f>
        <v>2012</v>
      </c>
      <c r="L149" s="380"/>
      <c r="M149" s="380"/>
      <c r="N149" s="32" t="s">
        <v>421</v>
      </c>
      <c r="O149" s="32" t="s">
        <v>422</v>
      </c>
      <c r="P149" s="278" t="s">
        <v>423</v>
      </c>
      <c r="Q149" s="233">
        <v>200207008</v>
      </c>
      <c r="R149" s="75">
        <v>1828.5</v>
      </c>
      <c r="S149" s="75">
        <v>0</v>
      </c>
      <c r="T149" s="75">
        <v>1828.5</v>
      </c>
      <c r="U149" s="200">
        <v>334</v>
      </c>
      <c r="V149" s="287">
        <f ca="1">IF(YEAR($W$3)-YEAR(E149)&gt;9,10,IF(MONTH($W$3)&lt;MONTH(E149),YEAR($W$3)-YEAR(E149),YEAR($W$3)-YEAR(E149)+1))</f>
        <v>10</v>
      </c>
      <c r="W149" s="75">
        <f t="shared" ref="W149:W153" ca="1" si="48">IF(V149&lt;6, ROUNDUP(G149,0)*$W$6*V149, ROUNDUP(G149,0)*($W$6*5 + (V149-5)*$W$7))</f>
        <v>2922.5</v>
      </c>
      <c r="X149" s="200">
        <f t="shared" ref="X149:X153" ca="1" si="49">IF(V149=0,T149,((T149-ROUNDUP(G149,0)*1.5)+W149))</f>
        <v>4500.5</v>
      </c>
      <c r="Y149" s="1">
        <v>0.5</v>
      </c>
      <c r="Z149" s="1"/>
      <c r="AA149" s="219"/>
      <c r="AB149" s="302"/>
      <c r="AC149" s="302"/>
      <c r="AD149" s="302"/>
      <c r="AE149" s="302"/>
      <c r="AF149">
        <f t="shared" si="46"/>
        <v>0</v>
      </c>
    </row>
    <row r="150" spans="1:32" hidden="1" x14ac:dyDescent="0.25">
      <c r="A150" s="322" t="s">
        <v>424</v>
      </c>
      <c r="B150" s="93" t="str">
        <f>IF(COUNTIF(GIS,A152),"YES","NO")</f>
        <v>NO</v>
      </c>
      <c r="C150" s="93" t="s">
        <v>5503</v>
      </c>
      <c r="D150" s="2">
        <v>37454</v>
      </c>
      <c r="E150" s="2">
        <v>37500</v>
      </c>
      <c r="F150" s="2">
        <f t="shared" si="47"/>
        <v>41153</v>
      </c>
      <c r="G150" s="6">
        <v>641</v>
      </c>
      <c r="H150" s="7" t="s">
        <v>209</v>
      </c>
      <c r="I150" s="7" t="s">
        <v>15</v>
      </c>
      <c r="J150" s="103" t="s">
        <v>4792</v>
      </c>
      <c r="K150" s="266">
        <f>YEAR(F150)</f>
        <v>2012</v>
      </c>
      <c r="L150" s="380"/>
      <c r="M150" s="380"/>
      <c r="N150" s="32" t="s">
        <v>421</v>
      </c>
      <c r="O150" s="32" t="s">
        <v>425</v>
      </c>
      <c r="P150" s="278" t="s">
        <v>423</v>
      </c>
      <c r="Q150" s="233">
        <v>200207014</v>
      </c>
      <c r="R150" s="75">
        <v>10651.5</v>
      </c>
      <c r="S150" s="75">
        <v>0</v>
      </c>
      <c r="T150" s="75">
        <v>10651.5</v>
      </c>
      <c r="U150" s="200">
        <v>1282</v>
      </c>
      <c r="V150" s="287">
        <f ca="1">IF(YEAR($W$3)-YEAR(E150)&gt;9,10,IF(MONTH($W$3)&lt;MONTH(E150),YEAR($W$3)-YEAR(E150),YEAR($W$3)-YEAR(E150)+1))</f>
        <v>10</v>
      </c>
      <c r="W150" s="75">
        <f t="shared" ca="1" si="48"/>
        <v>11217.5</v>
      </c>
      <c r="X150" s="200">
        <f t="shared" ca="1" si="49"/>
        <v>20907.5</v>
      </c>
      <c r="Y150" s="1">
        <v>0.5</v>
      </c>
      <c r="Z150" s="1"/>
      <c r="AA150" s="219"/>
      <c r="AB150" s="302"/>
      <c r="AC150" s="302"/>
      <c r="AD150" s="302"/>
      <c r="AE150" s="302"/>
      <c r="AF150">
        <f t="shared" si="46"/>
        <v>0</v>
      </c>
    </row>
    <row r="151" spans="1:32" hidden="1" x14ac:dyDescent="0.25">
      <c r="A151" s="322" t="s">
        <v>426</v>
      </c>
      <c r="B151" s="93" t="str">
        <f>IF(COUNTIF(GIS,A153),"YES","NO")</f>
        <v>NO</v>
      </c>
      <c r="C151" s="93" t="s">
        <v>5503</v>
      </c>
      <c r="D151" s="2">
        <v>37454</v>
      </c>
      <c r="E151" s="2">
        <v>37500</v>
      </c>
      <c r="F151" s="2">
        <f t="shared" si="47"/>
        <v>41153</v>
      </c>
      <c r="G151" s="6">
        <v>975</v>
      </c>
      <c r="H151" s="7" t="s">
        <v>209</v>
      </c>
      <c r="I151" s="7" t="s">
        <v>15</v>
      </c>
      <c r="J151" s="103" t="s">
        <v>4792</v>
      </c>
      <c r="K151" s="266">
        <f>YEAR(F151)</f>
        <v>2012</v>
      </c>
      <c r="L151" s="380"/>
      <c r="M151" s="380"/>
      <c r="N151" s="32" t="s">
        <v>421</v>
      </c>
      <c r="O151" s="32" t="s">
        <v>427</v>
      </c>
      <c r="P151" s="278" t="s">
        <v>423</v>
      </c>
      <c r="Q151" s="233">
        <v>200207016</v>
      </c>
      <c r="R151" s="75">
        <v>27862.5</v>
      </c>
      <c r="S151" s="75">
        <v>0</v>
      </c>
      <c r="T151" s="75">
        <v>27862.5</v>
      </c>
      <c r="U151" s="200">
        <v>1950</v>
      </c>
      <c r="V151" s="287">
        <f ca="1">IF(YEAR($W$3)-YEAR(E151)&gt;9,10,IF(MONTH($W$3)&lt;MONTH(E151),YEAR($W$3)-YEAR(E151),YEAR($W$3)-YEAR(E151)+1))</f>
        <v>10</v>
      </c>
      <c r="W151" s="75">
        <f t="shared" ca="1" si="48"/>
        <v>17062.5</v>
      </c>
      <c r="X151" s="200">
        <f t="shared" ca="1" si="49"/>
        <v>43462.5</v>
      </c>
      <c r="Y151" s="1">
        <v>0.5</v>
      </c>
      <c r="Z151" s="1"/>
      <c r="AA151" s="219"/>
      <c r="AB151" s="302"/>
      <c r="AC151" s="302"/>
      <c r="AD151" s="302"/>
      <c r="AE151" s="302"/>
      <c r="AF151">
        <f t="shared" si="46"/>
        <v>0</v>
      </c>
    </row>
    <row r="152" spans="1:32" hidden="1" x14ac:dyDescent="0.25">
      <c r="A152" s="322" t="s">
        <v>428</v>
      </c>
      <c r="B152" s="93" t="str">
        <f>IF(COUNTIF(GIS,A154),"YES","NO")</f>
        <v>NO</v>
      </c>
      <c r="C152" s="93" t="s">
        <v>5503</v>
      </c>
      <c r="D152" s="2">
        <v>37454</v>
      </c>
      <c r="E152" s="2">
        <v>37500</v>
      </c>
      <c r="F152" s="2">
        <f t="shared" si="47"/>
        <v>41153</v>
      </c>
      <c r="G152" s="6">
        <v>49</v>
      </c>
      <c r="H152" s="7" t="s">
        <v>209</v>
      </c>
      <c r="I152" s="7" t="s">
        <v>15</v>
      </c>
      <c r="J152" s="103" t="s">
        <v>4792</v>
      </c>
      <c r="K152" s="266">
        <f>YEAR(F152)</f>
        <v>2012</v>
      </c>
      <c r="L152" s="380"/>
      <c r="M152" s="380"/>
      <c r="N152" s="32" t="s">
        <v>421</v>
      </c>
      <c r="O152" s="32" t="s">
        <v>429</v>
      </c>
      <c r="P152" s="278" t="s">
        <v>423</v>
      </c>
      <c r="Q152" s="233">
        <v>200207017</v>
      </c>
      <c r="R152" s="75">
        <v>491.5</v>
      </c>
      <c r="S152" s="75">
        <v>0</v>
      </c>
      <c r="T152" s="75">
        <v>491.5</v>
      </c>
      <c r="U152" s="200">
        <v>98</v>
      </c>
      <c r="V152" s="287">
        <f ca="1">IF(YEAR($W$3)-YEAR(E152)&gt;9,10,IF(MONTH($W$3)&lt;MONTH(E152),YEAR($W$3)-YEAR(E152),YEAR($W$3)-YEAR(E152)+1))</f>
        <v>10</v>
      </c>
      <c r="W152" s="75">
        <f t="shared" ca="1" si="48"/>
        <v>857.5</v>
      </c>
      <c r="X152" s="200">
        <f t="shared" ca="1" si="49"/>
        <v>1275.5</v>
      </c>
      <c r="Y152" s="1">
        <v>0.5</v>
      </c>
      <c r="Z152" s="1"/>
      <c r="AA152" s="219"/>
      <c r="AB152" s="302"/>
      <c r="AC152" s="302"/>
      <c r="AD152" s="302"/>
      <c r="AE152" s="302"/>
      <c r="AF152">
        <f t="shared" si="46"/>
        <v>0</v>
      </c>
    </row>
    <row r="153" spans="1:32" hidden="1" x14ac:dyDescent="0.25">
      <c r="A153" s="322" t="s">
        <v>430</v>
      </c>
      <c r="B153" s="93" t="str">
        <f>IF(COUNTIF(GIS,A155),"YES","NO")</f>
        <v>NO</v>
      </c>
      <c r="C153" s="93" t="s">
        <v>5503</v>
      </c>
      <c r="D153" s="2">
        <v>37454</v>
      </c>
      <c r="E153" s="2">
        <v>37500</v>
      </c>
      <c r="F153" s="2">
        <f t="shared" si="47"/>
        <v>41153</v>
      </c>
      <c r="G153" s="6">
        <v>40</v>
      </c>
      <c r="H153" s="7" t="s">
        <v>229</v>
      </c>
      <c r="I153" s="7" t="s">
        <v>15</v>
      </c>
      <c r="J153" s="103" t="s">
        <v>4792</v>
      </c>
      <c r="K153" s="266">
        <f>YEAR(F153)</f>
        <v>2012</v>
      </c>
      <c r="L153" s="380"/>
      <c r="M153" s="380"/>
      <c r="N153" s="32" t="s">
        <v>421</v>
      </c>
      <c r="O153" s="32" t="s">
        <v>431</v>
      </c>
      <c r="P153" s="278" t="s">
        <v>423</v>
      </c>
      <c r="Q153" s="233">
        <v>200207028</v>
      </c>
      <c r="R153" s="75">
        <v>2335</v>
      </c>
      <c r="S153" s="75">
        <v>0</v>
      </c>
      <c r="T153" s="75">
        <v>2335</v>
      </c>
      <c r="U153" s="200">
        <v>80</v>
      </c>
      <c r="V153" s="287">
        <f ca="1">IF(YEAR($W$3)-YEAR(E153)&gt;9,10,IF(MONTH($W$3)&lt;MONTH(E153),YEAR($W$3)-YEAR(E153),YEAR($W$3)-YEAR(E153)+1))</f>
        <v>10</v>
      </c>
      <c r="W153" s="75">
        <f t="shared" ca="1" si="48"/>
        <v>700</v>
      </c>
      <c r="X153" s="200">
        <f t="shared" ca="1" si="49"/>
        <v>2975</v>
      </c>
      <c r="Y153" s="1">
        <v>0.5</v>
      </c>
      <c r="Z153" s="1"/>
      <c r="AA153" s="219"/>
      <c r="AB153" s="302"/>
      <c r="AC153" s="302"/>
      <c r="AD153" s="302"/>
      <c r="AE153" s="302"/>
      <c r="AF153">
        <f t="shared" si="46"/>
        <v>0</v>
      </c>
    </row>
    <row r="154" spans="1:32" hidden="1" x14ac:dyDescent="0.25">
      <c r="D154" s="2"/>
      <c r="E154" s="2"/>
      <c r="F154" s="2"/>
      <c r="G154" s="6"/>
      <c r="H154" s="7"/>
      <c r="I154" s="7"/>
      <c r="J154" s="105" t="s">
        <v>4805</v>
      </c>
      <c r="K154" s="105"/>
      <c r="L154" s="381"/>
      <c r="M154" s="381"/>
      <c r="N154" s="270"/>
      <c r="O154" s="32"/>
      <c r="P154" s="278"/>
      <c r="Q154" s="233"/>
      <c r="R154" s="75">
        <v>-3689</v>
      </c>
      <c r="S154" s="75"/>
      <c r="T154" s="75">
        <v>-3689</v>
      </c>
      <c r="U154" s="200"/>
      <c r="V154" s="75"/>
      <c r="W154" s="75"/>
      <c r="X154" s="200"/>
      <c r="Z154" s="1"/>
      <c r="AA154" s="219"/>
      <c r="AB154" s="302"/>
      <c r="AC154" s="302"/>
      <c r="AD154" s="302"/>
      <c r="AE154" s="302"/>
      <c r="AF154">
        <f t="shared" si="46"/>
        <v>0</v>
      </c>
    </row>
    <row r="155" spans="1:32" hidden="1" x14ac:dyDescent="0.25">
      <c r="D155" s="2"/>
      <c r="E155" s="2"/>
      <c r="F155" s="2"/>
      <c r="G155" s="6"/>
      <c r="H155" s="7"/>
      <c r="I155" s="7"/>
      <c r="J155" s="105" t="s">
        <v>4800</v>
      </c>
      <c r="K155" s="105"/>
      <c r="L155" s="381"/>
      <c r="M155" s="381"/>
      <c r="N155" s="270"/>
      <c r="O155" s="32"/>
      <c r="P155" s="278"/>
      <c r="Q155" s="233"/>
      <c r="R155" s="75">
        <v>-75</v>
      </c>
      <c r="S155" s="75"/>
      <c r="T155" s="75">
        <v>-75</v>
      </c>
      <c r="U155" s="200"/>
      <c r="V155" s="75"/>
      <c r="W155" s="75"/>
      <c r="X155" s="200"/>
      <c r="Z155" s="1"/>
      <c r="AA155" s="219"/>
      <c r="AB155" s="302"/>
      <c r="AC155" s="302"/>
      <c r="AD155" s="302"/>
      <c r="AE155" s="302"/>
      <c r="AF155">
        <f t="shared" si="46"/>
        <v>0</v>
      </c>
    </row>
    <row r="156" spans="1:32" hidden="1" x14ac:dyDescent="0.25">
      <c r="A156" s="323"/>
      <c r="D156" s="8"/>
      <c r="E156" s="8"/>
      <c r="F156" s="2"/>
      <c r="G156" s="6"/>
      <c r="H156" s="7"/>
      <c r="I156" s="7"/>
      <c r="J156" s="186"/>
      <c r="K156" s="186"/>
      <c r="L156" s="386"/>
      <c r="M156" s="386"/>
      <c r="N156" s="32"/>
      <c r="O156" s="32"/>
      <c r="P156" s="278"/>
      <c r="Q156" s="233"/>
      <c r="R156" s="75"/>
      <c r="S156" s="75"/>
      <c r="T156" s="75"/>
      <c r="U156" s="200"/>
      <c r="V156" s="75"/>
      <c r="W156" s="75"/>
      <c r="X156" s="200"/>
      <c r="Y156" s="1"/>
      <c r="Z156" s="1"/>
      <c r="AA156" s="219"/>
      <c r="AB156" s="302"/>
      <c r="AC156" s="302"/>
      <c r="AD156" s="302"/>
      <c r="AE156" s="302"/>
      <c r="AF156">
        <f t="shared" si="46"/>
        <v>0</v>
      </c>
    </row>
    <row r="157" spans="1:32" ht="15.75" hidden="1" thickBot="1" x14ac:dyDescent="0.3">
      <c r="A157" s="323"/>
      <c r="D157" s="8"/>
      <c r="E157" s="8"/>
      <c r="F157" s="2"/>
      <c r="G157" s="6"/>
      <c r="H157" s="7"/>
      <c r="I157" s="7"/>
      <c r="J157" s="186"/>
      <c r="K157" s="186"/>
      <c r="L157" s="386"/>
      <c r="M157" s="386"/>
      <c r="N157" s="32"/>
      <c r="O157" s="32"/>
      <c r="P157" s="278"/>
      <c r="Q157" s="233"/>
      <c r="R157" s="76">
        <v>73667.5</v>
      </c>
      <c r="S157" s="76">
        <v>118044.5</v>
      </c>
      <c r="T157" s="76">
        <v>191712</v>
      </c>
      <c r="U157" s="200"/>
      <c r="V157" s="75"/>
      <c r="W157" s="75"/>
      <c r="X157" s="200"/>
      <c r="Y157" s="1"/>
      <c r="Z157" s="1"/>
      <c r="AA157" s="219"/>
      <c r="AB157" s="302"/>
      <c r="AC157" s="302"/>
      <c r="AD157" s="302"/>
      <c r="AE157" s="302"/>
      <c r="AF157">
        <f t="shared" si="46"/>
        <v>0</v>
      </c>
    </row>
    <row r="158" spans="1:32" hidden="1" x14ac:dyDescent="0.25">
      <c r="A158" s="323"/>
      <c r="D158" s="8"/>
      <c r="E158" s="8"/>
      <c r="F158" s="2"/>
      <c r="G158" s="6"/>
      <c r="H158" s="7"/>
      <c r="I158" s="7"/>
      <c r="J158" s="186"/>
      <c r="K158" s="186"/>
      <c r="L158" s="386"/>
      <c r="M158" s="386"/>
      <c r="N158" s="32"/>
      <c r="O158" s="32"/>
      <c r="P158" s="278"/>
      <c r="Q158" s="233"/>
      <c r="R158" s="75"/>
      <c r="S158" s="75"/>
      <c r="T158" s="75"/>
      <c r="U158" s="200"/>
      <c r="V158" s="75"/>
      <c r="W158" s="75"/>
      <c r="X158" s="200"/>
      <c r="Y158" s="1"/>
      <c r="Z158" s="1"/>
      <c r="AA158" s="219"/>
      <c r="AB158" s="302"/>
      <c r="AC158" s="302"/>
      <c r="AD158" s="302"/>
      <c r="AE158" s="302"/>
      <c r="AF158">
        <f t="shared" si="46"/>
        <v>0</v>
      </c>
    </row>
    <row r="159" spans="1:32" hidden="1" x14ac:dyDescent="0.25">
      <c r="A159" s="323"/>
      <c r="D159" s="8"/>
      <c r="E159" s="8"/>
      <c r="F159" s="2"/>
      <c r="G159" s="6"/>
      <c r="H159" s="7"/>
      <c r="I159" s="7"/>
      <c r="J159" s="186"/>
      <c r="K159" s="186"/>
      <c r="L159" s="386"/>
      <c r="M159" s="386"/>
      <c r="N159" s="32"/>
      <c r="O159" s="32"/>
      <c r="P159" s="278"/>
      <c r="Q159" s="233" t="s">
        <v>432</v>
      </c>
      <c r="R159" s="75">
        <v>330330.5</v>
      </c>
      <c r="S159" s="75">
        <v>400319</v>
      </c>
      <c r="T159" s="75">
        <v>730649.5</v>
      </c>
      <c r="U159" s="200"/>
      <c r="V159" s="75"/>
      <c r="W159" s="75"/>
      <c r="X159" s="200"/>
      <c r="Y159" s="17"/>
      <c r="Z159" s="17"/>
      <c r="AA159" s="220"/>
      <c r="AB159" s="302"/>
      <c r="AC159" s="302"/>
      <c r="AD159" s="302"/>
      <c r="AE159" s="302"/>
      <c r="AF159">
        <f t="shared" si="46"/>
        <v>0</v>
      </c>
    </row>
    <row r="160" spans="1:32" hidden="1" x14ac:dyDescent="0.25">
      <c r="A160" s="323"/>
      <c r="D160" s="8"/>
      <c r="E160" s="8"/>
      <c r="F160" s="2"/>
      <c r="G160" s="6"/>
      <c r="H160" s="7"/>
      <c r="I160" s="7"/>
      <c r="J160" s="186"/>
      <c r="K160" s="186"/>
      <c r="L160" s="386"/>
      <c r="M160" s="386"/>
      <c r="N160" s="32"/>
      <c r="O160" s="32"/>
      <c r="P160" s="278"/>
      <c r="Q160" s="233"/>
      <c r="R160" s="75"/>
      <c r="S160" s="75"/>
      <c r="T160" s="75"/>
      <c r="U160" s="200"/>
      <c r="V160" s="75"/>
      <c r="W160" s="75"/>
      <c r="X160" s="200"/>
      <c r="Y160" s="1"/>
      <c r="Z160" s="1"/>
      <c r="AA160" s="219"/>
      <c r="AB160" s="302"/>
      <c r="AC160" s="302"/>
      <c r="AD160" s="302"/>
      <c r="AE160" s="302"/>
      <c r="AF160">
        <f t="shared" si="46"/>
        <v>0</v>
      </c>
    </row>
    <row r="161" spans="1:32" hidden="1" x14ac:dyDescent="0.25">
      <c r="A161" s="322" t="s">
        <v>433</v>
      </c>
      <c r="B161" s="93" t="str">
        <f>IF(COUNTIF(GIS,A163),"YES","NO")</f>
        <v>NO</v>
      </c>
      <c r="C161" s="93" t="s">
        <v>5503</v>
      </c>
      <c r="D161" s="2">
        <v>37818</v>
      </c>
      <c r="E161" s="2">
        <v>37865</v>
      </c>
      <c r="F161" s="2">
        <f t="shared" si="47"/>
        <v>41518</v>
      </c>
      <c r="G161" s="6">
        <v>2523.6799999999998</v>
      </c>
      <c r="H161" s="7" t="s">
        <v>229</v>
      </c>
      <c r="I161" s="7" t="s">
        <v>15</v>
      </c>
      <c r="J161" s="103" t="s">
        <v>4833</v>
      </c>
      <c r="K161" s="266">
        <f>YEAR(F161)</f>
        <v>2013</v>
      </c>
      <c r="L161" s="380"/>
      <c r="M161" s="380"/>
      <c r="N161" s="32" t="s">
        <v>421</v>
      </c>
      <c r="O161" s="32" t="s">
        <v>435</v>
      </c>
      <c r="P161" s="278" t="s">
        <v>436</v>
      </c>
      <c r="Q161" s="233" t="s">
        <v>434</v>
      </c>
      <c r="R161" s="75">
        <v>3861</v>
      </c>
      <c r="S161" s="75"/>
      <c r="T161" s="75">
        <v>3861</v>
      </c>
      <c r="U161" s="200">
        <v>5048</v>
      </c>
      <c r="V161" s="287">
        <f ca="1">IF(YEAR($W$3)-YEAR(E161)&gt;9,10,IF(MONTH($W$3)&lt;MONTH(E161),YEAR($W$3)-YEAR(E161),YEAR($W$3)-YEAR(E161)+1))</f>
        <v>10</v>
      </c>
      <c r="W161" s="75">
        <f t="shared" ref="W161:W164" ca="1" si="50">IF(V161&lt;6, ROUNDUP(G161,0)*$W$6*V161, ROUNDUP(G161,0)*($W$6*5 + (V161-5)*$W$7))</f>
        <v>44170</v>
      </c>
      <c r="X161" s="200">
        <f t="shared" ref="X161:X164" ca="1" si="51">IF(V161=0,T161,((T161-ROUNDUP(G161,0)*1.5)+W161))</f>
        <v>44245</v>
      </c>
      <c r="Y161" s="1">
        <v>0.5</v>
      </c>
      <c r="Z161" s="1"/>
      <c r="AA161" s="219"/>
      <c r="AB161" s="302" t="s">
        <v>6414</v>
      </c>
      <c r="AC161" s="302"/>
      <c r="AD161" s="302"/>
      <c r="AE161" s="302"/>
      <c r="AF161">
        <f t="shared" si="46"/>
        <v>0</v>
      </c>
    </row>
    <row r="162" spans="1:32" hidden="1" x14ac:dyDescent="0.25">
      <c r="A162" s="322" t="s">
        <v>437</v>
      </c>
      <c r="B162" s="93" t="str">
        <f>IF(COUNTIF(GIS,A164),"YES","NO")</f>
        <v>NO</v>
      </c>
      <c r="C162" s="93" t="s">
        <v>5503</v>
      </c>
      <c r="D162" s="2">
        <v>37818</v>
      </c>
      <c r="E162" s="2">
        <v>37865</v>
      </c>
      <c r="F162" s="2">
        <f t="shared" si="47"/>
        <v>41518</v>
      </c>
      <c r="G162" s="6">
        <v>1600.66</v>
      </c>
      <c r="H162" s="7" t="s">
        <v>229</v>
      </c>
      <c r="I162" s="7" t="s">
        <v>15</v>
      </c>
      <c r="J162" s="105" t="s">
        <v>4833</v>
      </c>
      <c r="K162" s="266">
        <f>YEAR(F162)</f>
        <v>2013</v>
      </c>
      <c r="L162" s="381"/>
      <c r="M162" s="381"/>
      <c r="N162" s="32" t="s">
        <v>421</v>
      </c>
      <c r="O162" s="32" t="s">
        <v>439</v>
      </c>
      <c r="P162" s="278" t="s">
        <v>436</v>
      </c>
      <c r="Q162" s="233" t="s">
        <v>438</v>
      </c>
      <c r="R162" s="75">
        <v>2476.5</v>
      </c>
      <c r="S162" s="75"/>
      <c r="T162" s="75">
        <v>2476.5</v>
      </c>
      <c r="U162" s="200">
        <v>3202</v>
      </c>
      <c r="V162" s="287">
        <f ca="1">IF(YEAR($W$3)-YEAR(E162)&gt;9,10,IF(MONTH($W$3)&lt;MONTH(E162),YEAR($W$3)-YEAR(E162),YEAR($W$3)-YEAR(E162)+1))</f>
        <v>10</v>
      </c>
      <c r="W162" s="75">
        <f t="shared" ca="1" si="50"/>
        <v>28017.5</v>
      </c>
      <c r="X162" s="200">
        <f t="shared" ca="1" si="51"/>
        <v>28092.5</v>
      </c>
      <c r="Y162" s="1">
        <v>0.5</v>
      </c>
      <c r="Z162" s="1"/>
      <c r="AA162" s="219"/>
      <c r="AB162" s="302" t="s">
        <v>6415</v>
      </c>
      <c r="AC162" s="302"/>
      <c r="AD162" s="302"/>
      <c r="AE162" s="302"/>
      <c r="AF162">
        <f t="shared" si="46"/>
        <v>0</v>
      </c>
    </row>
    <row r="163" spans="1:32" hidden="1" x14ac:dyDescent="0.25">
      <c r="A163" s="322" t="s">
        <v>440</v>
      </c>
      <c r="B163" s="93" t="str">
        <f>IF(COUNTIF(GIS,A165),"YES","NO")</f>
        <v>NO</v>
      </c>
      <c r="C163" s="93" t="s">
        <v>5503</v>
      </c>
      <c r="D163" s="2">
        <v>37818</v>
      </c>
      <c r="E163" s="2">
        <v>37865</v>
      </c>
      <c r="F163" s="2">
        <f t="shared" si="47"/>
        <v>41518</v>
      </c>
      <c r="G163" s="6">
        <v>2298.16</v>
      </c>
      <c r="H163" s="7" t="s">
        <v>229</v>
      </c>
      <c r="I163" s="7" t="s">
        <v>15</v>
      </c>
      <c r="J163" s="105" t="s">
        <v>4833</v>
      </c>
      <c r="K163" s="266">
        <f>YEAR(F163)</f>
        <v>2013</v>
      </c>
      <c r="L163" s="381"/>
      <c r="M163" s="381"/>
      <c r="N163" s="32" t="s">
        <v>421</v>
      </c>
      <c r="O163" s="32" t="s">
        <v>442</v>
      </c>
      <c r="P163" s="278" t="s">
        <v>436</v>
      </c>
      <c r="Q163" s="233" t="s">
        <v>441</v>
      </c>
      <c r="R163" s="75">
        <v>3523.5</v>
      </c>
      <c r="S163" s="75"/>
      <c r="T163" s="75">
        <v>3523.5</v>
      </c>
      <c r="U163" s="200">
        <v>4598</v>
      </c>
      <c r="V163" s="287">
        <f ca="1">IF(YEAR($W$3)-YEAR(E163)&gt;9,10,IF(MONTH($W$3)&lt;MONTH(E163),YEAR($W$3)-YEAR(E163),YEAR($W$3)-YEAR(E163)+1))</f>
        <v>10</v>
      </c>
      <c r="W163" s="75">
        <f t="shared" ca="1" si="50"/>
        <v>40232.5</v>
      </c>
      <c r="X163" s="200">
        <f t="shared" ca="1" si="51"/>
        <v>40307.5</v>
      </c>
      <c r="Y163" s="1">
        <v>0.5</v>
      </c>
      <c r="Z163" s="1"/>
      <c r="AA163" s="219"/>
      <c r="AB163" s="302" t="s">
        <v>6416</v>
      </c>
      <c r="AC163" s="302"/>
      <c r="AD163" s="302"/>
      <c r="AE163" s="302"/>
      <c r="AF163">
        <f t="shared" si="46"/>
        <v>0</v>
      </c>
    </row>
    <row r="164" spans="1:32" hidden="1" x14ac:dyDescent="0.25">
      <c r="A164" s="322" t="s">
        <v>443</v>
      </c>
      <c r="B164" s="93" t="str">
        <f>IF(COUNTIF(GIS,A166),"YES","NO")</f>
        <v>NO</v>
      </c>
      <c r="C164" s="93" t="s">
        <v>5503</v>
      </c>
      <c r="D164" s="2">
        <v>37818</v>
      </c>
      <c r="E164" s="2">
        <v>37865</v>
      </c>
      <c r="F164" s="2">
        <f t="shared" si="47"/>
        <v>41518</v>
      </c>
      <c r="G164" s="6">
        <v>1332.06</v>
      </c>
      <c r="H164" s="7" t="s">
        <v>229</v>
      </c>
      <c r="I164" s="7" t="s">
        <v>15</v>
      </c>
      <c r="J164" s="105" t="s">
        <v>4833</v>
      </c>
      <c r="K164" s="266">
        <f>YEAR(F164)</f>
        <v>2013</v>
      </c>
      <c r="L164" s="381"/>
      <c r="M164" s="381"/>
      <c r="N164" s="32" t="s">
        <v>421</v>
      </c>
      <c r="O164" s="32" t="s">
        <v>445</v>
      </c>
      <c r="P164" s="278" t="s">
        <v>436</v>
      </c>
      <c r="Q164" s="233" t="s">
        <v>444</v>
      </c>
      <c r="R164" s="75">
        <v>2074.5</v>
      </c>
      <c r="S164" s="75"/>
      <c r="T164" s="75">
        <v>2074.5</v>
      </c>
      <c r="U164" s="200">
        <v>2666</v>
      </c>
      <c r="V164" s="287">
        <f ca="1">IF(YEAR($W$3)-YEAR(E164)&gt;9,10,IF(MONTH($W$3)&lt;MONTH(E164),YEAR($W$3)-YEAR(E164),YEAR($W$3)-YEAR(E164)+1))</f>
        <v>10</v>
      </c>
      <c r="W164" s="75">
        <f t="shared" ca="1" si="50"/>
        <v>23327.5</v>
      </c>
      <c r="X164" s="200">
        <f t="shared" ca="1" si="51"/>
        <v>23402.5</v>
      </c>
      <c r="Y164" s="1">
        <v>0.5</v>
      </c>
      <c r="Z164" s="1"/>
      <c r="AA164" s="219"/>
      <c r="AB164" s="302" t="s">
        <v>6417</v>
      </c>
      <c r="AC164" s="302"/>
      <c r="AD164" s="302"/>
      <c r="AE164" s="302"/>
      <c r="AF164">
        <f t="shared" si="46"/>
        <v>0</v>
      </c>
    </row>
    <row r="165" spans="1:32" hidden="1" x14ac:dyDescent="0.25">
      <c r="A165" s="323"/>
      <c r="D165" s="8"/>
      <c r="E165" s="8"/>
      <c r="F165" s="2"/>
      <c r="G165" s="6"/>
      <c r="H165" s="7"/>
      <c r="I165" s="7"/>
      <c r="J165" s="186"/>
      <c r="K165" s="186"/>
      <c r="L165" s="386"/>
      <c r="M165" s="386"/>
      <c r="N165" s="32"/>
      <c r="O165" s="32"/>
      <c r="P165" s="278"/>
      <c r="Q165" s="233"/>
      <c r="R165" s="75"/>
      <c r="S165" s="75"/>
      <c r="T165" s="75"/>
      <c r="U165" s="200"/>
      <c r="V165" s="75"/>
      <c r="W165" s="75"/>
      <c r="X165" s="200"/>
      <c r="Y165" s="1"/>
      <c r="Z165" s="1"/>
      <c r="AA165" s="219"/>
      <c r="AB165" s="302"/>
      <c r="AC165" s="302"/>
      <c r="AD165" s="302"/>
      <c r="AE165" s="302"/>
      <c r="AF165">
        <f t="shared" si="46"/>
        <v>0</v>
      </c>
    </row>
    <row r="166" spans="1:32" hidden="1" x14ac:dyDescent="0.25">
      <c r="A166" s="322" t="s">
        <v>21</v>
      </c>
      <c r="B166" s="93" t="str">
        <f>IF(COUNTIF(GIS,A168),"YES","NO")</f>
        <v>NO</v>
      </c>
      <c r="C166" s="93" t="s">
        <v>5503</v>
      </c>
      <c r="D166" s="2">
        <v>34171</v>
      </c>
      <c r="E166" s="8"/>
      <c r="F166" s="2"/>
      <c r="G166" s="6">
        <v>0</v>
      </c>
      <c r="H166" s="7"/>
      <c r="I166" s="7"/>
      <c r="J166" s="105" t="s">
        <v>4802</v>
      </c>
      <c r="K166" s="266"/>
      <c r="L166" s="381"/>
      <c r="M166" s="381"/>
      <c r="N166" s="32"/>
      <c r="O166" s="32"/>
      <c r="P166" s="278"/>
      <c r="Q166" s="234"/>
      <c r="R166" s="75"/>
      <c r="S166" s="75">
        <v>-4200</v>
      </c>
      <c r="T166" s="75">
        <v>-4200</v>
      </c>
      <c r="U166" s="200"/>
      <c r="V166" s="75"/>
      <c r="W166" s="75"/>
      <c r="X166" s="200"/>
      <c r="Y166" s="1"/>
      <c r="Z166" s="1"/>
      <c r="AA166" s="219"/>
      <c r="AB166" s="302"/>
      <c r="AC166" s="302"/>
      <c r="AD166" s="302"/>
      <c r="AE166" s="302"/>
      <c r="AF166">
        <f t="shared" si="46"/>
        <v>0</v>
      </c>
    </row>
    <row r="167" spans="1:32" hidden="1" x14ac:dyDescent="0.25">
      <c r="A167" s="323"/>
      <c r="D167" s="8"/>
      <c r="E167" s="8"/>
      <c r="F167" s="2"/>
      <c r="G167" s="6"/>
      <c r="H167" s="7"/>
      <c r="I167" s="7"/>
      <c r="J167" s="186"/>
      <c r="K167" s="186"/>
      <c r="L167" s="386"/>
      <c r="M167" s="386"/>
      <c r="N167" s="32"/>
      <c r="O167" s="32"/>
      <c r="P167" s="278"/>
      <c r="Q167" s="233"/>
      <c r="R167" s="75"/>
      <c r="S167" s="75"/>
      <c r="T167" s="75"/>
      <c r="U167" s="200"/>
      <c r="V167" s="75"/>
      <c r="W167" s="75"/>
      <c r="X167" s="200"/>
      <c r="Y167" s="1"/>
      <c r="Z167" s="1"/>
      <c r="AA167" s="219"/>
      <c r="AB167" s="302"/>
      <c r="AC167" s="302"/>
      <c r="AD167" s="302"/>
      <c r="AE167" s="302"/>
      <c r="AF167">
        <f t="shared" si="46"/>
        <v>0</v>
      </c>
    </row>
    <row r="168" spans="1:32" ht="15.75" hidden="1" thickBot="1" x14ac:dyDescent="0.3">
      <c r="A168" s="323"/>
      <c r="D168" s="8"/>
      <c r="E168" s="8"/>
      <c r="F168" s="2"/>
      <c r="G168" s="6"/>
      <c r="H168" s="7"/>
      <c r="I168" s="7"/>
      <c r="J168" s="186"/>
      <c r="K168" s="186"/>
      <c r="L168" s="386"/>
      <c r="M168" s="386"/>
      <c r="N168" s="32"/>
      <c r="O168" s="32"/>
      <c r="P168" s="278"/>
      <c r="Q168" s="233" t="s">
        <v>446</v>
      </c>
      <c r="R168" s="76">
        <v>342266</v>
      </c>
      <c r="S168" s="76">
        <v>396119</v>
      </c>
      <c r="T168" s="76">
        <v>738385</v>
      </c>
      <c r="U168" s="200"/>
      <c r="V168" s="75"/>
      <c r="W168" s="75"/>
      <c r="X168" s="200"/>
      <c r="Y168" s="17"/>
      <c r="Z168" s="17"/>
      <c r="AA168" s="220"/>
      <c r="AB168" s="302"/>
      <c r="AC168" s="302"/>
      <c r="AD168" s="302"/>
      <c r="AE168" s="302"/>
      <c r="AF168">
        <f t="shared" si="46"/>
        <v>0</v>
      </c>
    </row>
    <row r="169" spans="1:32" hidden="1" x14ac:dyDescent="0.25">
      <c r="A169" s="323"/>
      <c r="D169" s="8"/>
      <c r="E169" s="8"/>
      <c r="F169" s="2"/>
      <c r="G169" s="6"/>
      <c r="H169" s="7"/>
      <c r="I169" s="7"/>
      <c r="J169" s="186"/>
      <c r="K169" s="186"/>
      <c r="L169" s="386"/>
      <c r="M169" s="386"/>
      <c r="N169" s="32"/>
      <c r="O169" s="32"/>
      <c r="P169" s="278"/>
      <c r="Q169" s="233"/>
      <c r="R169" s="75"/>
      <c r="S169" s="75"/>
      <c r="T169" s="75"/>
      <c r="U169" s="200"/>
      <c r="V169" s="75"/>
      <c r="W169" s="75"/>
      <c r="X169" s="200"/>
      <c r="Y169" s="1"/>
      <c r="Z169" s="1"/>
      <c r="AA169" s="219"/>
      <c r="AB169" s="302"/>
      <c r="AC169" s="302"/>
      <c r="AD169" s="302"/>
      <c r="AE169" s="302"/>
      <c r="AF169">
        <f t="shared" si="46"/>
        <v>0</v>
      </c>
    </row>
    <row r="170" spans="1:32" hidden="1" x14ac:dyDescent="0.25">
      <c r="A170" s="322" t="s">
        <v>447</v>
      </c>
      <c r="B170" s="93" t="str">
        <f>IF(COUNTIF(GIS,A172),"YES","NO")</f>
        <v>NO</v>
      </c>
      <c r="C170" s="93" t="s">
        <v>5503</v>
      </c>
      <c r="D170" s="2">
        <v>38156</v>
      </c>
      <c r="E170" s="2">
        <v>38231</v>
      </c>
      <c r="F170" s="2">
        <f t="shared" si="47"/>
        <v>41883</v>
      </c>
      <c r="G170" s="6">
        <v>379</v>
      </c>
      <c r="H170" s="7" t="s">
        <v>111</v>
      </c>
      <c r="I170" s="7" t="s">
        <v>86</v>
      </c>
      <c r="J170" s="105" t="s">
        <v>4834</v>
      </c>
      <c r="K170" s="266">
        <f>YEAR(F170)</f>
        <v>2014</v>
      </c>
      <c r="L170" s="412"/>
      <c r="M170" s="412"/>
      <c r="N170" s="32" t="s">
        <v>449</v>
      </c>
      <c r="O170" s="32" t="s">
        <v>113</v>
      </c>
      <c r="P170" s="278" t="s">
        <v>450</v>
      </c>
      <c r="Q170" s="236" t="s">
        <v>448</v>
      </c>
      <c r="R170" s="75">
        <v>1780.5</v>
      </c>
      <c r="S170" s="75"/>
      <c r="T170" s="75">
        <v>1780.5</v>
      </c>
      <c r="U170" s="200">
        <v>758</v>
      </c>
      <c r="V170" s="287">
        <f ca="1">IF(YEAR($W$3)-YEAR(E170)&gt;9,10,IF(MONTH($W$3)&lt;MONTH(E170),YEAR($W$3)-YEAR(E170),YEAR($W$3)-YEAR(E170)+1))</f>
        <v>10</v>
      </c>
      <c r="W170" s="75">
        <f t="shared" ref="W170:W171" ca="1" si="52">IF(V170&lt;6, ROUNDUP(G170,0)*$W$6*V170, ROUNDUP(G170,0)*($W$6*5 + (V170-5)*$W$7))</f>
        <v>6632.5</v>
      </c>
      <c r="X170" s="200">
        <f t="shared" ref="X170:X171" ca="1" si="53">IF(V170=0,T170,((T170-ROUNDUP(G170,0)*1.5)+W170))</f>
        <v>7844.5</v>
      </c>
      <c r="Y170" s="1">
        <v>0.5</v>
      </c>
      <c r="Z170" s="1"/>
      <c r="AA170" s="219"/>
      <c r="AB170" s="302"/>
      <c r="AC170" s="302"/>
      <c r="AD170" s="302"/>
      <c r="AE170" s="302"/>
      <c r="AF170">
        <f t="shared" si="46"/>
        <v>0</v>
      </c>
    </row>
    <row r="171" spans="1:32" ht="26.25" hidden="1" x14ac:dyDescent="0.25">
      <c r="A171" s="322" t="s">
        <v>451</v>
      </c>
      <c r="B171" s="93" t="str">
        <f>IF(COUNTIF(GIS,A173),"YES","NO")</f>
        <v>NO</v>
      </c>
      <c r="C171" s="93" t="s">
        <v>5503</v>
      </c>
      <c r="D171" s="2">
        <v>38156</v>
      </c>
      <c r="E171" s="2">
        <v>38231</v>
      </c>
      <c r="F171" s="2">
        <f t="shared" si="47"/>
        <v>41883</v>
      </c>
      <c r="G171" s="6">
        <v>262.76</v>
      </c>
      <c r="H171" s="7" t="s">
        <v>453</v>
      </c>
      <c r="I171" s="7" t="s">
        <v>86</v>
      </c>
      <c r="J171" s="105" t="s">
        <v>4834</v>
      </c>
      <c r="K171" s="266">
        <f>YEAR(F171)</f>
        <v>2014</v>
      </c>
      <c r="L171" s="412"/>
      <c r="M171" s="412"/>
      <c r="N171" s="32" t="s">
        <v>449</v>
      </c>
      <c r="O171" s="32" t="s">
        <v>454</v>
      </c>
      <c r="P171" s="278" t="s">
        <v>455</v>
      </c>
      <c r="Q171" s="236" t="s">
        <v>452</v>
      </c>
      <c r="R171" s="75">
        <v>9674.5</v>
      </c>
      <c r="S171" s="75"/>
      <c r="T171" s="75">
        <v>9674.5</v>
      </c>
      <c r="U171" s="200">
        <v>526</v>
      </c>
      <c r="V171" s="287">
        <f ca="1">IF(YEAR($W$3)-YEAR(E171)&gt;9,10,IF(MONTH($W$3)&lt;MONTH(E171),YEAR($W$3)-YEAR(E171),YEAR($W$3)-YEAR(E171)+1))</f>
        <v>10</v>
      </c>
      <c r="W171" s="75">
        <f t="shared" ca="1" si="52"/>
        <v>4602.5</v>
      </c>
      <c r="X171" s="200">
        <f t="shared" ca="1" si="53"/>
        <v>13882.5</v>
      </c>
      <c r="Y171" s="1">
        <v>0.5</v>
      </c>
      <c r="Z171" s="1"/>
      <c r="AA171" s="219"/>
      <c r="AB171" s="302"/>
      <c r="AC171" s="302"/>
      <c r="AD171" s="302"/>
      <c r="AE171" s="302"/>
      <c r="AF171">
        <f t="shared" si="46"/>
        <v>0</v>
      </c>
    </row>
    <row r="172" spans="1:32" hidden="1" x14ac:dyDescent="0.25">
      <c r="A172" s="323"/>
      <c r="D172" s="8"/>
      <c r="E172" s="8"/>
      <c r="F172" s="2"/>
      <c r="G172" s="6"/>
      <c r="H172" s="7"/>
      <c r="I172" s="7"/>
      <c r="J172" s="186"/>
      <c r="K172" s="186"/>
      <c r="L172" s="386"/>
      <c r="M172" s="386"/>
      <c r="N172" s="32"/>
      <c r="O172" s="32"/>
      <c r="P172" s="278"/>
      <c r="Q172" s="233"/>
      <c r="R172" s="75"/>
      <c r="S172" s="75"/>
      <c r="T172" s="75"/>
      <c r="U172" s="200"/>
      <c r="V172" s="75"/>
      <c r="W172" s="75"/>
      <c r="X172" s="200"/>
      <c r="Y172" s="1"/>
      <c r="Z172" s="1"/>
      <c r="AA172" s="219"/>
      <c r="AB172" s="302"/>
      <c r="AC172" s="302"/>
      <c r="AD172" s="302"/>
      <c r="AE172" s="302"/>
      <c r="AF172">
        <f t="shared" si="46"/>
        <v>0</v>
      </c>
    </row>
    <row r="173" spans="1:32" ht="26.25" hidden="1" x14ac:dyDescent="0.25">
      <c r="A173" s="322" t="s">
        <v>456</v>
      </c>
      <c r="B173" s="93" t="str">
        <f t="shared" ref="B173:B187" si="54">IF(COUNTIF(GIS,A175),"YES","NO")</f>
        <v>NO</v>
      </c>
      <c r="C173" s="93" t="s">
        <v>5503</v>
      </c>
      <c r="D173" s="2">
        <v>38253</v>
      </c>
      <c r="E173" s="2">
        <v>38322</v>
      </c>
      <c r="F173" s="2">
        <f t="shared" si="47"/>
        <v>41974</v>
      </c>
      <c r="G173" s="6">
        <v>640</v>
      </c>
      <c r="H173" s="7" t="s">
        <v>458</v>
      </c>
      <c r="I173" s="7" t="s">
        <v>86</v>
      </c>
      <c r="J173" s="105" t="s">
        <v>4834</v>
      </c>
      <c r="K173" s="266">
        <f t="shared" ref="K173:K180" si="55">YEAR(F173)</f>
        <v>2014</v>
      </c>
      <c r="L173" s="412"/>
      <c r="M173" s="412"/>
      <c r="N173" s="32" t="s">
        <v>459</v>
      </c>
      <c r="O173" s="32" t="s">
        <v>460</v>
      </c>
      <c r="P173" s="278" t="s">
        <v>461</v>
      </c>
      <c r="Q173" s="233" t="s">
        <v>457</v>
      </c>
      <c r="R173" s="75">
        <v>2315</v>
      </c>
      <c r="S173" s="75">
        <v>1920</v>
      </c>
      <c r="T173" s="75">
        <v>4235</v>
      </c>
      <c r="U173" s="200">
        <v>1280</v>
      </c>
      <c r="V173" s="287">
        <f t="shared" ref="V173:V180" ca="1" si="56">IF(YEAR($W$3)-YEAR(E173)&gt;9,10,IF(MONTH($W$3)&lt;MONTH(E173),YEAR($W$3)-YEAR(E173),YEAR($W$3)-YEAR(E173)+1))</f>
        <v>10</v>
      </c>
      <c r="W173" s="75">
        <f t="shared" ref="W173:W180" ca="1" si="57">IF(V173&lt;6, ROUNDUP(G173,0)*$W$6*V173, ROUNDUP(G173,0)*($W$6*5 + (V173-5)*$W$7))</f>
        <v>11200</v>
      </c>
      <c r="X173" s="200">
        <f t="shared" ref="X173:X180" ca="1" si="58">IF(V173=0,T173,((T173-ROUNDUP(G173,0)*1.5)+W173))</f>
        <v>14475</v>
      </c>
      <c r="Y173" s="1">
        <v>0.5</v>
      </c>
      <c r="Z173" s="1"/>
      <c r="AA173" s="219"/>
      <c r="AB173" s="302"/>
      <c r="AC173" s="302"/>
      <c r="AD173" s="302"/>
      <c r="AE173" s="302"/>
      <c r="AF173">
        <f t="shared" si="46"/>
        <v>0</v>
      </c>
    </row>
    <row r="174" spans="1:32" ht="26.25" hidden="1" x14ac:dyDescent="0.25">
      <c r="A174" s="322" t="s">
        <v>462</v>
      </c>
      <c r="B174" s="93" t="str">
        <f t="shared" si="54"/>
        <v>NO</v>
      </c>
      <c r="C174" s="93" t="s">
        <v>5503</v>
      </c>
      <c r="D174" s="2">
        <v>38253</v>
      </c>
      <c r="E174" s="2">
        <v>38322</v>
      </c>
      <c r="F174" s="2">
        <f t="shared" si="47"/>
        <v>41974</v>
      </c>
      <c r="G174" s="6">
        <v>660</v>
      </c>
      <c r="H174" s="7" t="s">
        <v>458</v>
      </c>
      <c r="I174" s="7" t="s">
        <v>86</v>
      </c>
      <c r="J174" s="105" t="s">
        <v>4834</v>
      </c>
      <c r="K174" s="266">
        <f t="shared" si="55"/>
        <v>2014</v>
      </c>
      <c r="L174" s="412"/>
      <c r="M174" s="412"/>
      <c r="N174" s="32" t="s">
        <v>459</v>
      </c>
      <c r="O174" s="32" t="s">
        <v>460</v>
      </c>
      <c r="P174" s="278" t="s">
        <v>464</v>
      </c>
      <c r="Q174" s="233" t="s">
        <v>463</v>
      </c>
      <c r="R174" s="75">
        <v>2385</v>
      </c>
      <c r="S174" s="75">
        <v>0</v>
      </c>
      <c r="T174" s="75">
        <v>2385</v>
      </c>
      <c r="U174" s="200">
        <v>1320</v>
      </c>
      <c r="V174" s="287">
        <f t="shared" ca="1" si="56"/>
        <v>10</v>
      </c>
      <c r="W174" s="75">
        <f t="shared" ca="1" si="57"/>
        <v>11550</v>
      </c>
      <c r="X174" s="200">
        <f t="shared" ca="1" si="58"/>
        <v>12945</v>
      </c>
      <c r="Y174" s="1">
        <v>0.5</v>
      </c>
      <c r="Z174" s="1"/>
      <c r="AA174" s="219"/>
      <c r="AB174" s="302"/>
      <c r="AC174" s="302"/>
      <c r="AD174" s="302"/>
      <c r="AE174" s="302"/>
      <c r="AF174">
        <f t="shared" si="46"/>
        <v>0</v>
      </c>
    </row>
    <row r="175" spans="1:32" hidden="1" x14ac:dyDescent="0.25">
      <c r="A175" s="322" t="s">
        <v>465</v>
      </c>
      <c r="B175" s="93" t="str">
        <f t="shared" si="54"/>
        <v>NO</v>
      </c>
      <c r="C175" s="93" t="s">
        <v>5503</v>
      </c>
      <c r="D175" s="2">
        <v>38253</v>
      </c>
      <c r="E175" s="2">
        <v>38322</v>
      </c>
      <c r="F175" s="2">
        <f t="shared" si="47"/>
        <v>41974</v>
      </c>
      <c r="G175" s="6">
        <v>520</v>
      </c>
      <c r="H175" s="7" t="s">
        <v>458</v>
      </c>
      <c r="I175" s="7" t="s">
        <v>86</v>
      </c>
      <c r="J175" s="105" t="s">
        <v>4834</v>
      </c>
      <c r="K175" s="266">
        <f t="shared" si="55"/>
        <v>2014</v>
      </c>
      <c r="L175" s="412"/>
      <c r="M175" s="412"/>
      <c r="N175" s="32" t="s">
        <v>459</v>
      </c>
      <c r="O175" s="32" t="s">
        <v>460</v>
      </c>
      <c r="P175" s="278" t="s">
        <v>467</v>
      </c>
      <c r="Q175" s="233" t="s">
        <v>466</v>
      </c>
      <c r="R175" s="75">
        <v>1895</v>
      </c>
      <c r="S175" s="75">
        <v>0</v>
      </c>
      <c r="T175" s="75">
        <v>1895</v>
      </c>
      <c r="U175" s="200">
        <v>1040</v>
      </c>
      <c r="V175" s="287">
        <f t="shared" ca="1" si="56"/>
        <v>10</v>
      </c>
      <c r="W175" s="75">
        <f t="shared" ca="1" si="57"/>
        <v>9100</v>
      </c>
      <c r="X175" s="200">
        <f t="shared" ca="1" si="58"/>
        <v>10215</v>
      </c>
      <c r="Y175" s="1">
        <v>0.5</v>
      </c>
      <c r="Z175" s="1"/>
      <c r="AA175" s="219"/>
      <c r="AB175" s="302"/>
      <c r="AC175" s="302"/>
      <c r="AD175" s="302"/>
      <c r="AE175" s="302"/>
      <c r="AF175">
        <f t="shared" si="46"/>
        <v>0</v>
      </c>
    </row>
    <row r="176" spans="1:32" ht="39" hidden="1" x14ac:dyDescent="0.25">
      <c r="A176" s="322" t="s">
        <v>468</v>
      </c>
      <c r="B176" s="93" t="str">
        <f t="shared" si="54"/>
        <v>NO</v>
      </c>
      <c r="C176" s="93" t="s">
        <v>5503</v>
      </c>
      <c r="D176" s="2">
        <v>38253</v>
      </c>
      <c r="E176" s="2">
        <v>38322</v>
      </c>
      <c r="F176" s="2">
        <f t="shared" si="47"/>
        <v>41974</v>
      </c>
      <c r="G176" s="6">
        <v>920</v>
      </c>
      <c r="H176" s="7" t="s">
        <v>458</v>
      </c>
      <c r="I176" s="7" t="s">
        <v>86</v>
      </c>
      <c r="J176" s="105" t="s">
        <v>4834</v>
      </c>
      <c r="K176" s="266">
        <f t="shared" si="55"/>
        <v>2014</v>
      </c>
      <c r="L176" s="412"/>
      <c r="M176" s="412"/>
      <c r="N176" s="32" t="s">
        <v>459</v>
      </c>
      <c r="O176" s="32" t="s">
        <v>460</v>
      </c>
      <c r="P176" s="278" t="s">
        <v>470</v>
      </c>
      <c r="Q176" s="233" t="s">
        <v>469</v>
      </c>
      <c r="R176" s="75">
        <v>3295</v>
      </c>
      <c r="S176" s="75">
        <v>3680</v>
      </c>
      <c r="T176" s="75">
        <v>6975</v>
      </c>
      <c r="U176" s="200">
        <v>1840</v>
      </c>
      <c r="V176" s="287">
        <f t="shared" ca="1" si="56"/>
        <v>10</v>
      </c>
      <c r="W176" s="75">
        <f t="shared" ca="1" si="57"/>
        <v>16100</v>
      </c>
      <c r="X176" s="200">
        <f t="shared" ca="1" si="58"/>
        <v>21695</v>
      </c>
      <c r="Y176" s="1">
        <v>0.5</v>
      </c>
      <c r="Z176" s="1"/>
      <c r="AA176" s="219"/>
      <c r="AB176" s="302"/>
      <c r="AC176" s="302"/>
      <c r="AD176" s="302"/>
      <c r="AE176" s="302"/>
      <c r="AF176">
        <f t="shared" si="46"/>
        <v>0</v>
      </c>
    </row>
    <row r="177" spans="1:32" ht="26.25" hidden="1" x14ac:dyDescent="0.25">
      <c r="A177" s="322" t="s">
        <v>471</v>
      </c>
      <c r="B177" s="93" t="str">
        <f t="shared" si="54"/>
        <v>NO</v>
      </c>
      <c r="C177" s="93" t="s">
        <v>5503</v>
      </c>
      <c r="D177" s="2">
        <v>38253</v>
      </c>
      <c r="E177" s="2">
        <v>38322</v>
      </c>
      <c r="F177" s="2">
        <f t="shared" si="47"/>
        <v>41974</v>
      </c>
      <c r="G177" s="6">
        <v>1115</v>
      </c>
      <c r="H177" s="7" t="s">
        <v>85</v>
      </c>
      <c r="I177" s="7" t="s">
        <v>86</v>
      </c>
      <c r="J177" s="105" t="s">
        <v>4834</v>
      </c>
      <c r="K177" s="266">
        <f t="shared" si="55"/>
        <v>2014</v>
      </c>
      <c r="L177" s="412"/>
      <c r="M177" s="412"/>
      <c r="N177" s="32" t="s">
        <v>459</v>
      </c>
      <c r="O177" s="32" t="s">
        <v>473</v>
      </c>
      <c r="P177" s="278" t="s">
        <v>474</v>
      </c>
      <c r="Q177" s="233" t="s">
        <v>472</v>
      </c>
      <c r="R177" s="75">
        <v>3977.5</v>
      </c>
      <c r="S177" s="75">
        <v>6690</v>
      </c>
      <c r="T177" s="75">
        <v>10667.5</v>
      </c>
      <c r="U177" s="200">
        <v>2230</v>
      </c>
      <c r="V177" s="287">
        <f t="shared" ca="1" si="56"/>
        <v>10</v>
      </c>
      <c r="W177" s="75">
        <f t="shared" ca="1" si="57"/>
        <v>19512.5</v>
      </c>
      <c r="X177" s="200">
        <f t="shared" ca="1" si="58"/>
        <v>28507.5</v>
      </c>
      <c r="Y177" s="1">
        <v>0.5</v>
      </c>
      <c r="Z177" s="1"/>
      <c r="AA177" s="219"/>
      <c r="AB177" s="302"/>
      <c r="AC177" s="302"/>
      <c r="AD177" s="302"/>
      <c r="AE177" s="302"/>
      <c r="AF177">
        <f t="shared" si="46"/>
        <v>0</v>
      </c>
    </row>
    <row r="178" spans="1:32" ht="39" hidden="1" x14ac:dyDescent="0.25">
      <c r="A178" s="322" t="s">
        <v>475</v>
      </c>
      <c r="B178" s="93" t="str">
        <f t="shared" si="54"/>
        <v>NO</v>
      </c>
      <c r="C178" s="93" t="s">
        <v>5503</v>
      </c>
      <c r="D178" s="2">
        <v>38253</v>
      </c>
      <c r="E178" s="2">
        <v>38322</v>
      </c>
      <c r="F178" s="2">
        <f t="shared" si="47"/>
        <v>41974</v>
      </c>
      <c r="G178" s="6">
        <v>1200</v>
      </c>
      <c r="H178" s="7" t="s">
        <v>85</v>
      </c>
      <c r="I178" s="7" t="s">
        <v>86</v>
      </c>
      <c r="J178" s="105" t="s">
        <v>4834</v>
      </c>
      <c r="K178" s="266">
        <f t="shared" si="55"/>
        <v>2014</v>
      </c>
      <c r="L178" s="412"/>
      <c r="M178" s="412"/>
      <c r="N178" s="32" t="s">
        <v>459</v>
      </c>
      <c r="O178" s="32" t="s">
        <v>473</v>
      </c>
      <c r="P178" s="278" t="s">
        <v>477</v>
      </c>
      <c r="Q178" s="233" t="s">
        <v>476</v>
      </c>
      <c r="R178" s="75">
        <v>4275</v>
      </c>
      <c r="S178" s="75">
        <v>7200</v>
      </c>
      <c r="T178" s="75">
        <v>11475</v>
      </c>
      <c r="U178" s="200">
        <v>2400</v>
      </c>
      <c r="V178" s="287">
        <f t="shared" ca="1" si="56"/>
        <v>10</v>
      </c>
      <c r="W178" s="75">
        <f t="shared" ca="1" si="57"/>
        <v>21000</v>
      </c>
      <c r="X178" s="200">
        <f t="shared" ca="1" si="58"/>
        <v>30675</v>
      </c>
      <c r="Y178" s="1">
        <v>0.5</v>
      </c>
      <c r="Z178" s="1"/>
      <c r="AA178" s="219"/>
      <c r="AB178" s="302"/>
      <c r="AC178" s="302"/>
      <c r="AD178" s="302"/>
      <c r="AE178" s="302"/>
      <c r="AF178">
        <f t="shared" si="46"/>
        <v>0</v>
      </c>
    </row>
    <row r="179" spans="1:32" ht="26.25" hidden="1" x14ac:dyDescent="0.25">
      <c r="A179" s="322" t="s">
        <v>478</v>
      </c>
      <c r="B179" s="93" t="str">
        <f t="shared" si="54"/>
        <v>NO</v>
      </c>
      <c r="C179" s="93" t="s">
        <v>5503</v>
      </c>
      <c r="D179" s="2">
        <v>38253</v>
      </c>
      <c r="E179" s="2">
        <v>38322</v>
      </c>
      <c r="F179" s="2">
        <f t="shared" si="47"/>
        <v>41974</v>
      </c>
      <c r="G179" s="6">
        <v>360</v>
      </c>
      <c r="H179" s="7" t="s">
        <v>85</v>
      </c>
      <c r="I179" s="7" t="s">
        <v>86</v>
      </c>
      <c r="J179" s="105" t="s">
        <v>4834</v>
      </c>
      <c r="K179" s="266">
        <f t="shared" si="55"/>
        <v>2014</v>
      </c>
      <c r="L179" s="412"/>
      <c r="M179" s="412"/>
      <c r="N179" s="32" t="s">
        <v>459</v>
      </c>
      <c r="O179" s="32" t="s">
        <v>473</v>
      </c>
      <c r="P179" s="278" t="s">
        <v>480</v>
      </c>
      <c r="Q179" s="233" t="s">
        <v>479</v>
      </c>
      <c r="R179" s="75">
        <v>1335</v>
      </c>
      <c r="S179" s="75">
        <v>0</v>
      </c>
      <c r="T179" s="75">
        <v>1335</v>
      </c>
      <c r="U179" s="200">
        <v>720</v>
      </c>
      <c r="V179" s="287">
        <f t="shared" ca="1" si="56"/>
        <v>10</v>
      </c>
      <c r="W179" s="75">
        <f t="shared" ca="1" si="57"/>
        <v>6300</v>
      </c>
      <c r="X179" s="200">
        <f t="shared" ca="1" si="58"/>
        <v>7095</v>
      </c>
      <c r="Y179" s="1">
        <v>0.5</v>
      </c>
      <c r="Z179" s="1"/>
      <c r="AA179" s="219"/>
      <c r="AB179" s="302"/>
      <c r="AC179" s="302"/>
      <c r="AD179" s="302"/>
      <c r="AE179" s="302"/>
      <c r="AF179">
        <f t="shared" si="46"/>
        <v>0</v>
      </c>
    </row>
    <row r="180" spans="1:32" ht="39" hidden="1" x14ac:dyDescent="0.25">
      <c r="A180" s="322" t="s">
        <v>481</v>
      </c>
      <c r="B180" s="93" t="str">
        <f t="shared" si="54"/>
        <v>NO</v>
      </c>
      <c r="C180" s="93" t="s">
        <v>5503</v>
      </c>
      <c r="D180" s="2">
        <v>38253</v>
      </c>
      <c r="E180" s="2">
        <v>38322</v>
      </c>
      <c r="F180" s="2">
        <f t="shared" si="47"/>
        <v>41974</v>
      </c>
      <c r="G180" s="6">
        <v>1320</v>
      </c>
      <c r="H180" s="7" t="s">
        <v>85</v>
      </c>
      <c r="I180" s="7" t="s">
        <v>86</v>
      </c>
      <c r="J180" s="105" t="s">
        <v>4834</v>
      </c>
      <c r="K180" s="266">
        <f t="shared" si="55"/>
        <v>2014</v>
      </c>
      <c r="L180" s="412"/>
      <c r="M180" s="412"/>
      <c r="N180" s="32" t="s">
        <v>459</v>
      </c>
      <c r="O180" s="32" t="s">
        <v>473</v>
      </c>
      <c r="P180" s="278" t="s">
        <v>483</v>
      </c>
      <c r="Q180" s="233" t="s">
        <v>482</v>
      </c>
      <c r="R180" s="75">
        <v>4695</v>
      </c>
      <c r="S180" s="75">
        <v>7920</v>
      </c>
      <c r="T180" s="75">
        <v>12615</v>
      </c>
      <c r="U180" s="200">
        <v>2640</v>
      </c>
      <c r="V180" s="287">
        <f t="shared" ca="1" si="56"/>
        <v>10</v>
      </c>
      <c r="W180" s="75">
        <f t="shared" ca="1" si="57"/>
        <v>23100</v>
      </c>
      <c r="X180" s="200">
        <f t="shared" ca="1" si="58"/>
        <v>33735</v>
      </c>
      <c r="Y180" s="1">
        <v>0.5</v>
      </c>
      <c r="Z180" s="1"/>
      <c r="AA180" s="219"/>
      <c r="AB180" s="302"/>
      <c r="AC180" s="302"/>
      <c r="AD180" s="302"/>
      <c r="AE180" s="302"/>
      <c r="AF180">
        <f t="shared" si="46"/>
        <v>0</v>
      </c>
    </row>
    <row r="181" spans="1:32" ht="39" hidden="1" x14ac:dyDescent="0.25">
      <c r="A181" s="322" t="s">
        <v>484</v>
      </c>
      <c r="B181" s="93" t="str">
        <f t="shared" si="54"/>
        <v>NO</v>
      </c>
      <c r="C181" s="93" t="s">
        <v>5503</v>
      </c>
      <c r="D181" s="2">
        <v>38253</v>
      </c>
      <c r="E181" s="2"/>
      <c r="F181" s="2"/>
      <c r="G181" s="6"/>
      <c r="H181" s="7"/>
      <c r="I181" s="7"/>
      <c r="J181" s="105" t="s">
        <v>4806</v>
      </c>
      <c r="K181" s="266"/>
      <c r="L181" s="383"/>
      <c r="M181" s="383"/>
      <c r="N181" s="32"/>
      <c r="O181" s="32"/>
      <c r="P181" s="278"/>
      <c r="Q181" s="233" t="s">
        <v>485</v>
      </c>
      <c r="R181" s="75">
        <v>1685</v>
      </c>
      <c r="S181" s="75">
        <v>56120</v>
      </c>
      <c r="T181" s="75">
        <v>57805</v>
      </c>
      <c r="U181" s="200"/>
      <c r="V181" s="75"/>
      <c r="W181" s="75"/>
      <c r="X181" s="200"/>
      <c r="Y181" s="1"/>
      <c r="Z181" s="1"/>
      <c r="AA181" s="219"/>
      <c r="AB181" s="302"/>
      <c r="AC181" s="302"/>
      <c r="AD181" s="302"/>
      <c r="AE181" s="302"/>
      <c r="AF181">
        <f t="shared" si="46"/>
        <v>0</v>
      </c>
    </row>
    <row r="182" spans="1:32" hidden="1" x14ac:dyDescent="0.25">
      <c r="A182" s="322" t="s">
        <v>486</v>
      </c>
      <c r="B182" s="93" t="str">
        <f t="shared" si="54"/>
        <v>NO</v>
      </c>
      <c r="C182" s="93" t="s">
        <v>5503</v>
      </c>
      <c r="D182" s="2">
        <v>38253</v>
      </c>
      <c r="E182" s="2">
        <v>38322</v>
      </c>
      <c r="F182" s="2">
        <f t="shared" si="47"/>
        <v>41974</v>
      </c>
      <c r="G182" s="6">
        <v>360</v>
      </c>
      <c r="H182" s="7" t="s">
        <v>85</v>
      </c>
      <c r="I182" s="7" t="s">
        <v>86</v>
      </c>
      <c r="J182" s="105" t="s">
        <v>4834</v>
      </c>
      <c r="K182" s="266">
        <f t="shared" ref="K182:K187" si="59">YEAR(F182)</f>
        <v>2014</v>
      </c>
      <c r="L182" s="412"/>
      <c r="M182" s="412"/>
      <c r="N182" s="32" t="s">
        <v>459</v>
      </c>
      <c r="O182" s="32" t="s">
        <v>473</v>
      </c>
      <c r="P182" s="278" t="s">
        <v>488</v>
      </c>
      <c r="Q182" s="233" t="s">
        <v>487</v>
      </c>
      <c r="R182" s="75">
        <v>1335</v>
      </c>
      <c r="S182" s="75">
        <v>1440</v>
      </c>
      <c r="T182" s="75">
        <v>2775</v>
      </c>
      <c r="U182" s="200">
        <v>720</v>
      </c>
      <c r="V182" s="287">
        <f t="shared" ref="V182:V187" ca="1" si="60">IF(YEAR($W$3)-YEAR(E182)&gt;9,10,IF(MONTH($W$3)&lt;MONTH(E182),YEAR($W$3)-YEAR(E182),YEAR($W$3)-YEAR(E182)+1))</f>
        <v>10</v>
      </c>
      <c r="W182" s="75">
        <f t="shared" ref="W182:W187" ca="1" si="61">IF(V182&lt;6, ROUNDUP(G182,0)*$W$6*V182, ROUNDUP(G182,0)*($W$6*5 + (V182-5)*$W$7))</f>
        <v>6300</v>
      </c>
      <c r="X182" s="200">
        <f t="shared" ref="X182:X187" ca="1" si="62">IF(V182=0,T182,((T182-ROUNDUP(G182,0)*1.5)+W182))</f>
        <v>8535</v>
      </c>
      <c r="Y182" s="1">
        <v>0.5</v>
      </c>
      <c r="Z182" s="1"/>
      <c r="AA182" s="219"/>
      <c r="AB182" s="302"/>
      <c r="AC182" s="302"/>
      <c r="AD182" s="302"/>
      <c r="AE182" s="302"/>
      <c r="AF182">
        <f t="shared" si="46"/>
        <v>0</v>
      </c>
    </row>
    <row r="183" spans="1:32" ht="26.25" hidden="1" x14ac:dyDescent="0.25">
      <c r="A183" s="322" t="s">
        <v>489</v>
      </c>
      <c r="B183" s="93" t="str">
        <f t="shared" si="54"/>
        <v>NO</v>
      </c>
      <c r="C183" s="93" t="s">
        <v>5503</v>
      </c>
      <c r="D183" s="2">
        <v>38253</v>
      </c>
      <c r="E183" s="2">
        <v>38322</v>
      </c>
      <c r="F183" s="2">
        <f t="shared" si="47"/>
        <v>41974</v>
      </c>
      <c r="G183" s="6">
        <v>480</v>
      </c>
      <c r="H183" s="7" t="s">
        <v>85</v>
      </c>
      <c r="I183" s="7" t="s">
        <v>86</v>
      </c>
      <c r="J183" s="105" t="s">
        <v>4834</v>
      </c>
      <c r="K183" s="266">
        <f t="shared" si="59"/>
        <v>2014</v>
      </c>
      <c r="L183" s="412"/>
      <c r="M183" s="412"/>
      <c r="N183" s="32" t="s">
        <v>459</v>
      </c>
      <c r="O183" s="32" t="s">
        <v>473</v>
      </c>
      <c r="P183" s="278" t="s">
        <v>491</v>
      </c>
      <c r="Q183" s="233" t="s">
        <v>490</v>
      </c>
      <c r="R183" s="75">
        <v>1755</v>
      </c>
      <c r="S183" s="75">
        <v>1920</v>
      </c>
      <c r="T183" s="75">
        <v>3675</v>
      </c>
      <c r="U183" s="200">
        <v>960</v>
      </c>
      <c r="V183" s="287">
        <f t="shared" ca="1" si="60"/>
        <v>10</v>
      </c>
      <c r="W183" s="75">
        <f t="shared" ca="1" si="61"/>
        <v>8400</v>
      </c>
      <c r="X183" s="200">
        <f t="shared" ca="1" si="62"/>
        <v>11355</v>
      </c>
      <c r="Y183" s="1">
        <v>0.5</v>
      </c>
      <c r="Z183" s="1"/>
      <c r="AA183" s="219"/>
      <c r="AB183" s="302"/>
      <c r="AC183" s="302"/>
      <c r="AD183" s="302"/>
      <c r="AE183" s="302"/>
      <c r="AF183">
        <f t="shared" si="46"/>
        <v>0</v>
      </c>
    </row>
    <row r="184" spans="1:32" ht="77.25" hidden="1" x14ac:dyDescent="0.25">
      <c r="A184" s="322" t="s">
        <v>492</v>
      </c>
      <c r="B184" s="93" t="str">
        <f t="shared" si="54"/>
        <v>NO</v>
      </c>
      <c r="C184" s="93" t="s">
        <v>5503</v>
      </c>
      <c r="D184" s="2">
        <v>38253</v>
      </c>
      <c r="E184" s="2">
        <v>38292</v>
      </c>
      <c r="F184" s="2">
        <f t="shared" si="47"/>
        <v>41944</v>
      </c>
      <c r="G184" s="6">
        <v>887.77</v>
      </c>
      <c r="H184" s="7" t="s">
        <v>85</v>
      </c>
      <c r="I184" s="7" t="s">
        <v>86</v>
      </c>
      <c r="J184" s="105" t="s">
        <v>4848</v>
      </c>
      <c r="K184" s="266">
        <f t="shared" si="59"/>
        <v>2014</v>
      </c>
      <c r="L184" s="409"/>
      <c r="M184" s="409"/>
      <c r="N184" s="32" t="s">
        <v>459</v>
      </c>
      <c r="O184" s="32" t="s">
        <v>473</v>
      </c>
      <c r="P184" s="278" t="s">
        <v>494</v>
      </c>
      <c r="Q184" s="233" t="s">
        <v>493</v>
      </c>
      <c r="R184" s="75">
        <v>3995</v>
      </c>
      <c r="S184" s="75">
        <v>6720</v>
      </c>
      <c r="T184" s="75">
        <v>10715</v>
      </c>
      <c r="U184" s="200">
        <v>1776</v>
      </c>
      <c r="V184" s="287">
        <f t="shared" ca="1" si="60"/>
        <v>10</v>
      </c>
      <c r="W184" s="75">
        <f t="shared" ca="1" si="61"/>
        <v>15540</v>
      </c>
      <c r="X184" s="200">
        <f t="shared" ca="1" si="62"/>
        <v>24923</v>
      </c>
      <c r="Y184" s="1">
        <v>0.5</v>
      </c>
      <c r="Z184" s="1"/>
      <c r="AA184" s="219"/>
      <c r="AB184" s="302"/>
      <c r="AC184" s="302"/>
      <c r="AD184" s="302"/>
      <c r="AE184" s="302"/>
      <c r="AF184">
        <f t="shared" si="46"/>
        <v>0</v>
      </c>
    </row>
    <row r="185" spans="1:32" hidden="1" x14ac:dyDescent="0.25">
      <c r="A185" s="322" t="s">
        <v>495</v>
      </c>
      <c r="B185" s="93" t="str">
        <f t="shared" si="54"/>
        <v>NO</v>
      </c>
      <c r="C185" s="93" t="s">
        <v>5503</v>
      </c>
      <c r="D185" s="2">
        <v>38253</v>
      </c>
      <c r="E185" s="2">
        <v>38292</v>
      </c>
      <c r="F185" s="2">
        <f t="shared" si="47"/>
        <v>41944</v>
      </c>
      <c r="G185" s="6">
        <v>480</v>
      </c>
      <c r="H185" s="7" t="s">
        <v>97</v>
      </c>
      <c r="I185" s="7" t="s">
        <v>86</v>
      </c>
      <c r="J185" s="105" t="s">
        <v>4834</v>
      </c>
      <c r="K185" s="266">
        <f t="shared" si="59"/>
        <v>2014</v>
      </c>
      <c r="L185" s="412"/>
      <c r="M185" s="412"/>
      <c r="N185" s="32" t="s">
        <v>497</v>
      </c>
      <c r="O185" s="32" t="s">
        <v>498</v>
      </c>
      <c r="P185" s="278" t="s">
        <v>499</v>
      </c>
      <c r="Q185" s="233" t="s">
        <v>496</v>
      </c>
      <c r="R185" s="75">
        <v>1755</v>
      </c>
      <c r="S185" s="75">
        <v>1920</v>
      </c>
      <c r="T185" s="75">
        <v>3675</v>
      </c>
      <c r="U185" s="200">
        <v>960</v>
      </c>
      <c r="V185" s="287">
        <f t="shared" ca="1" si="60"/>
        <v>10</v>
      </c>
      <c r="W185" s="75">
        <f t="shared" ca="1" si="61"/>
        <v>8400</v>
      </c>
      <c r="X185" s="200">
        <f t="shared" ca="1" si="62"/>
        <v>11355</v>
      </c>
      <c r="Y185" s="1">
        <v>0.5</v>
      </c>
      <c r="Z185" s="1"/>
      <c r="AA185" s="219"/>
      <c r="AB185" s="302"/>
      <c r="AC185" s="302"/>
      <c r="AD185" s="302"/>
      <c r="AE185" s="302"/>
      <c r="AF185">
        <f t="shared" si="46"/>
        <v>0</v>
      </c>
    </row>
    <row r="186" spans="1:32" hidden="1" x14ac:dyDescent="0.25">
      <c r="A186" s="322" t="s">
        <v>500</v>
      </c>
      <c r="B186" s="93" t="str">
        <f t="shared" si="54"/>
        <v>NO</v>
      </c>
      <c r="C186" s="93" t="s">
        <v>5503</v>
      </c>
      <c r="D186" s="2">
        <v>38253</v>
      </c>
      <c r="E186" s="2">
        <v>38292</v>
      </c>
      <c r="F186" s="2">
        <f t="shared" si="47"/>
        <v>41944</v>
      </c>
      <c r="G186" s="6">
        <v>59.49</v>
      </c>
      <c r="H186" s="7" t="s">
        <v>97</v>
      </c>
      <c r="I186" s="7" t="s">
        <v>86</v>
      </c>
      <c r="J186" s="105" t="s">
        <v>4834</v>
      </c>
      <c r="K186" s="266">
        <f t="shared" si="59"/>
        <v>2014</v>
      </c>
      <c r="L186" s="412"/>
      <c r="M186" s="412"/>
      <c r="N186" s="32" t="s">
        <v>497</v>
      </c>
      <c r="O186" s="32" t="s">
        <v>502</v>
      </c>
      <c r="P186" s="278" t="s">
        <v>503</v>
      </c>
      <c r="Q186" s="233" t="s">
        <v>501</v>
      </c>
      <c r="R186" s="75">
        <v>285</v>
      </c>
      <c r="S186" s="75">
        <v>240</v>
      </c>
      <c r="T186" s="75">
        <v>525</v>
      </c>
      <c r="U186" s="200">
        <v>120</v>
      </c>
      <c r="V186" s="287">
        <f t="shared" ca="1" si="60"/>
        <v>10</v>
      </c>
      <c r="W186" s="75">
        <f t="shared" ca="1" si="61"/>
        <v>1050</v>
      </c>
      <c r="X186" s="200">
        <f t="shared" ca="1" si="62"/>
        <v>1485</v>
      </c>
      <c r="Y186" s="1">
        <v>0.5</v>
      </c>
      <c r="Z186" s="1"/>
      <c r="AA186" s="219"/>
      <c r="AB186" s="302"/>
      <c r="AC186" s="302"/>
      <c r="AD186" s="302"/>
      <c r="AE186" s="302"/>
      <c r="AF186">
        <f t="shared" si="46"/>
        <v>0</v>
      </c>
    </row>
    <row r="187" spans="1:32" ht="26.25" hidden="1" x14ac:dyDescent="0.25">
      <c r="A187" s="322" t="s">
        <v>504</v>
      </c>
      <c r="B187" s="93" t="str">
        <f t="shared" si="54"/>
        <v>NO</v>
      </c>
      <c r="C187" s="93" t="s">
        <v>5503</v>
      </c>
      <c r="D187" s="2">
        <v>38253</v>
      </c>
      <c r="E187" s="2">
        <v>38292</v>
      </c>
      <c r="F187" s="2">
        <f t="shared" si="47"/>
        <v>41944</v>
      </c>
      <c r="G187" s="6">
        <v>80</v>
      </c>
      <c r="H187" s="7" t="s">
        <v>97</v>
      </c>
      <c r="I187" s="7" t="s">
        <v>86</v>
      </c>
      <c r="J187" s="105" t="s">
        <v>4834</v>
      </c>
      <c r="K187" s="266">
        <f t="shared" si="59"/>
        <v>2014</v>
      </c>
      <c r="L187" s="412"/>
      <c r="M187" s="412"/>
      <c r="N187" s="32" t="s">
        <v>497</v>
      </c>
      <c r="O187" s="32" t="s">
        <v>506</v>
      </c>
      <c r="P187" s="278" t="s">
        <v>507</v>
      </c>
      <c r="Q187" s="233" t="s">
        <v>505</v>
      </c>
      <c r="R187" s="75">
        <v>355</v>
      </c>
      <c r="S187" s="75">
        <v>640</v>
      </c>
      <c r="T187" s="75">
        <v>995</v>
      </c>
      <c r="U187" s="200">
        <v>160</v>
      </c>
      <c r="V187" s="287">
        <f t="shared" ca="1" si="60"/>
        <v>10</v>
      </c>
      <c r="W187" s="75">
        <f t="shared" ca="1" si="61"/>
        <v>1400</v>
      </c>
      <c r="X187" s="200">
        <f t="shared" ca="1" si="62"/>
        <v>2275</v>
      </c>
      <c r="Y187" s="1">
        <v>0.5</v>
      </c>
      <c r="Z187" s="1"/>
      <c r="AA187" s="219"/>
      <c r="AB187" s="302"/>
      <c r="AC187" s="302"/>
      <c r="AD187" s="302"/>
      <c r="AE187" s="302"/>
      <c r="AF187">
        <f t="shared" si="46"/>
        <v>0</v>
      </c>
    </row>
    <row r="188" spans="1:32" hidden="1" x14ac:dyDescent="0.25">
      <c r="A188" s="323"/>
      <c r="D188" s="2"/>
      <c r="E188" s="2"/>
      <c r="F188" s="2"/>
      <c r="G188" s="6"/>
      <c r="H188" s="7"/>
      <c r="I188" s="7"/>
      <c r="J188" s="186"/>
      <c r="K188" s="186"/>
      <c r="L188" s="386"/>
      <c r="M188" s="386"/>
      <c r="N188" s="32"/>
      <c r="O188" s="32"/>
      <c r="P188" s="278"/>
      <c r="Q188" s="233" t="s">
        <v>508</v>
      </c>
      <c r="R188" s="75">
        <v>46792.5</v>
      </c>
      <c r="S188" s="75">
        <v>38605</v>
      </c>
      <c r="T188" s="75">
        <v>85397.5</v>
      </c>
      <c r="U188" s="200"/>
      <c r="V188" s="75"/>
      <c r="W188" s="75"/>
      <c r="X188" s="200"/>
      <c r="Y188" s="1"/>
      <c r="Z188" s="1"/>
      <c r="AA188" s="219"/>
      <c r="AB188" s="302"/>
      <c r="AC188" s="302"/>
      <c r="AD188" s="302"/>
      <c r="AE188" s="302"/>
      <c r="AF188">
        <f t="shared" si="46"/>
        <v>0</v>
      </c>
    </row>
    <row r="189" spans="1:32" hidden="1" x14ac:dyDescent="0.25">
      <c r="A189" s="323"/>
      <c r="D189" s="2"/>
      <c r="E189" s="2"/>
      <c r="F189" s="2"/>
      <c r="G189" s="6"/>
      <c r="H189" s="7"/>
      <c r="I189" s="7"/>
      <c r="J189" s="186"/>
      <c r="K189" s="186"/>
      <c r="L189" s="386"/>
      <c r="M189" s="386"/>
      <c r="N189" s="32"/>
      <c r="O189" s="32"/>
      <c r="P189" s="278"/>
      <c r="Q189" s="233"/>
      <c r="R189" s="75"/>
      <c r="S189" s="75"/>
      <c r="T189" s="75"/>
      <c r="U189" s="200"/>
      <c r="V189" s="75"/>
      <c r="W189" s="75"/>
      <c r="X189" s="200"/>
      <c r="Y189" s="1"/>
      <c r="Z189" s="1"/>
      <c r="AA189" s="219"/>
      <c r="AB189" s="302"/>
      <c r="AC189" s="302"/>
      <c r="AD189" s="302"/>
      <c r="AE189" s="302"/>
      <c r="AF189">
        <f t="shared" si="46"/>
        <v>0</v>
      </c>
    </row>
    <row r="190" spans="1:32" hidden="1" x14ac:dyDescent="0.25">
      <c r="A190" s="322" t="s">
        <v>509</v>
      </c>
      <c r="B190" s="93" t="str">
        <f>IF(COUNTIF(GIS,A192),"YES","NO")</f>
        <v>NO</v>
      </c>
      <c r="C190" s="93" t="s">
        <v>5503</v>
      </c>
      <c r="D190" s="2">
        <v>38280</v>
      </c>
      <c r="E190" s="2">
        <v>38353</v>
      </c>
      <c r="F190" s="2">
        <f t="shared" si="47"/>
        <v>42005</v>
      </c>
      <c r="G190" s="6">
        <v>160</v>
      </c>
      <c r="H190" s="7" t="s">
        <v>511</v>
      </c>
      <c r="I190" s="7" t="s">
        <v>512</v>
      </c>
      <c r="J190" s="105" t="s">
        <v>4834</v>
      </c>
      <c r="K190" s="266">
        <f>YEAR(F190)</f>
        <v>2015</v>
      </c>
      <c r="L190" s="381"/>
      <c r="M190" s="381"/>
      <c r="N190" s="32"/>
      <c r="O190" s="32" t="s">
        <v>513</v>
      </c>
      <c r="P190" s="278" t="s">
        <v>514</v>
      </c>
      <c r="Q190" s="233" t="s">
        <v>510</v>
      </c>
      <c r="R190" s="75">
        <v>635</v>
      </c>
      <c r="S190" s="75">
        <v>31680</v>
      </c>
      <c r="T190" s="75">
        <v>32315</v>
      </c>
      <c r="U190" s="200">
        <v>320</v>
      </c>
      <c r="V190" s="287">
        <f ca="1">IF(YEAR($W$3)-YEAR(E190)&gt;9,10,IF(MONTH($W$3)&lt;MONTH(E190),YEAR($W$3)-YEAR(E190),YEAR($W$3)-YEAR(E190)+1))</f>
        <v>10</v>
      </c>
      <c r="W190" s="75">
        <f t="shared" ref="W190:W194" ca="1" si="63">IF(V190&lt;6, ROUNDUP(G190,0)*$W$6*V190, ROUNDUP(G190,0)*($W$6*5 + (V190-5)*$W$7))</f>
        <v>2800</v>
      </c>
      <c r="X190" s="200">
        <f t="shared" ref="X190:X194" ca="1" si="64">IF(V190=0,T190,((T190-ROUNDUP(G190,0)*1.5)+W190))</f>
        <v>34875</v>
      </c>
      <c r="Y190" s="1">
        <v>0.5</v>
      </c>
      <c r="Z190" s="1"/>
      <c r="AA190" s="219"/>
      <c r="AB190" s="302"/>
      <c r="AC190" s="302"/>
      <c r="AD190" s="302"/>
      <c r="AE190" s="302"/>
      <c r="AF190">
        <f t="shared" si="46"/>
        <v>0</v>
      </c>
    </row>
    <row r="191" spans="1:32" hidden="1" x14ac:dyDescent="0.25">
      <c r="A191" s="322" t="s">
        <v>515</v>
      </c>
      <c r="B191" s="93" t="str">
        <f>IF(COUNTIF(GIS,A193),"YES","NO")</f>
        <v>NO</v>
      </c>
      <c r="C191" s="93" t="s">
        <v>5503</v>
      </c>
      <c r="D191" s="2">
        <v>38280</v>
      </c>
      <c r="E191" s="2">
        <v>38353</v>
      </c>
      <c r="F191" s="2">
        <f t="shared" si="47"/>
        <v>42005</v>
      </c>
      <c r="G191" s="6">
        <v>152.43</v>
      </c>
      <c r="H191" s="7" t="s">
        <v>517</v>
      </c>
      <c r="I191" s="7" t="s">
        <v>512</v>
      </c>
      <c r="J191" s="105" t="s">
        <v>4834</v>
      </c>
      <c r="K191" s="266">
        <f>YEAR(F191)</f>
        <v>2015</v>
      </c>
      <c r="L191" s="381"/>
      <c r="M191" s="381"/>
      <c r="N191" s="32"/>
      <c r="O191" s="32" t="s">
        <v>518</v>
      </c>
      <c r="P191" s="278" t="s">
        <v>519</v>
      </c>
      <c r="Q191" s="233" t="s">
        <v>516</v>
      </c>
      <c r="R191" s="75">
        <v>610.5</v>
      </c>
      <c r="S191" s="75">
        <v>0</v>
      </c>
      <c r="T191" s="75">
        <v>610.5</v>
      </c>
      <c r="U191" s="200">
        <v>306</v>
      </c>
      <c r="V191" s="287">
        <f ca="1">IF(YEAR($W$3)-YEAR(E191)&gt;9,10,IF(MONTH($W$3)&lt;MONTH(E191),YEAR($W$3)-YEAR(E191),YEAR($W$3)-YEAR(E191)+1))</f>
        <v>10</v>
      </c>
      <c r="W191" s="75">
        <f t="shared" ca="1" si="63"/>
        <v>2677.5</v>
      </c>
      <c r="X191" s="200">
        <f t="shared" ca="1" si="64"/>
        <v>3058.5</v>
      </c>
      <c r="Y191" s="1">
        <v>0.5</v>
      </c>
      <c r="Z191" s="1"/>
      <c r="AA191" s="219"/>
      <c r="AB191" s="302"/>
      <c r="AC191" s="302"/>
      <c r="AD191" s="302"/>
      <c r="AE191" s="302"/>
      <c r="AF191">
        <f t="shared" si="46"/>
        <v>0</v>
      </c>
    </row>
    <row r="192" spans="1:32" ht="26.25" hidden="1" x14ac:dyDescent="0.25">
      <c r="A192" s="322" t="s">
        <v>520</v>
      </c>
      <c r="B192" s="93" t="str">
        <f>IF(COUNTIF(GIS,A194),"YES","NO")</f>
        <v>NO</v>
      </c>
      <c r="C192" s="93" t="s">
        <v>5503</v>
      </c>
      <c r="D192" s="2">
        <v>38280</v>
      </c>
      <c r="E192" s="2">
        <v>38353</v>
      </c>
      <c r="F192" s="2">
        <f t="shared" si="47"/>
        <v>42005</v>
      </c>
      <c r="G192" s="6">
        <v>40</v>
      </c>
      <c r="H192" s="7" t="s">
        <v>522</v>
      </c>
      <c r="I192" s="7" t="s">
        <v>512</v>
      </c>
      <c r="J192" s="105" t="s">
        <v>4834</v>
      </c>
      <c r="K192" s="266">
        <f>YEAR(F192)</f>
        <v>2015</v>
      </c>
      <c r="L192" s="381"/>
      <c r="M192" s="381"/>
      <c r="N192" s="32" t="s">
        <v>523</v>
      </c>
      <c r="O192" s="32" t="s">
        <v>524</v>
      </c>
      <c r="P192" s="278" t="s">
        <v>525</v>
      </c>
      <c r="Q192" s="233" t="s">
        <v>521</v>
      </c>
      <c r="R192" s="75">
        <v>215</v>
      </c>
      <c r="S192" s="75">
        <v>8320</v>
      </c>
      <c r="T192" s="75">
        <v>8535</v>
      </c>
      <c r="U192" s="200">
        <v>80</v>
      </c>
      <c r="V192" s="287">
        <f ca="1">IF(YEAR($W$3)-YEAR(E192)&gt;9,10,IF(MONTH($W$3)&lt;MONTH(E192),YEAR($W$3)-YEAR(E192),YEAR($W$3)-YEAR(E192)+1))</f>
        <v>10</v>
      </c>
      <c r="W192" s="75">
        <f t="shared" ca="1" si="63"/>
        <v>700</v>
      </c>
      <c r="X192" s="200">
        <f t="shared" ca="1" si="64"/>
        <v>9175</v>
      </c>
      <c r="Y192" s="1">
        <v>0.5</v>
      </c>
      <c r="Z192" s="1"/>
      <c r="AA192" s="219"/>
      <c r="AB192" s="302" t="s">
        <v>6254</v>
      </c>
      <c r="AC192" s="308">
        <v>41723</v>
      </c>
      <c r="AD192" s="309">
        <v>0.25</v>
      </c>
      <c r="AE192" s="302" t="s">
        <v>6230</v>
      </c>
      <c r="AF192">
        <f t="shared" si="46"/>
        <v>0</v>
      </c>
    </row>
    <row r="193" spans="1:32" hidden="1" x14ac:dyDescent="0.25">
      <c r="A193" s="322" t="s">
        <v>526</v>
      </c>
      <c r="B193" s="93" t="str">
        <f>IF(COUNTIF(GIS,A195),"YES","NO")</f>
        <v>NO</v>
      </c>
      <c r="C193" s="93" t="s">
        <v>5503</v>
      </c>
      <c r="D193" s="2">
        <v>38280</v>
      </c>
      <c r="E193" s="2">
        <v>38353</v>
      </c>
      <c r="F193" s="2">
        <f t="shared" si="47"/>
        <v>42005</v>
      </c>
      <c r="G193" s="6">
        <v>400</v>
      </c>
      <c r="H193" s="7" t="s">
        <v>528</v>
      </c>
      <c r="I193" s="7" t="s">
        <v>198</v>
      </c>
      <c r="J193" s="105" t="s">
        <v>4834</v>
      </c>
      <c r="K193" s="266">
        <f>YEAR(F193)</f>
        <v>2015</v>
      </c>
      <c r="L193" s="381"/>
      <c r="M193" s="381"/>
      <c r="N193" s="32" t="s">
        <v>529</v>
      </c>
      <c r="O193" s="32" t="s">
        <v>530</v>
      </c>
      <c r="P193" s="278" t="s">
        <v>531</v>
      </c>
      <c r="Q193" s="233" t="s">
        <v>527</v>
      </c>
      <c r="R193" s="75">
        <v>1475</v>
      </c>
      <c r="S193" s="75">
        <v>43200</v>
      </c>
      <c r="T193" s="75">
        <v>44675</v>
      </c>
      <c r="U193" s="200">
        <v>800</v>
      </c>
      <c r="V193" s="287">
        <f ca="1">IF(YEAR($W$3)-YEAR(E193)&gt;9,10,IF(MONTH($W$3)&lt;MONTH(E193),YEAR($W$3)-YEAR(E193),YEAR($W$3)-YEAR(E193)+1))</f>
        <v>10</v>
      </c>
      <c r="W193" s="75">
        <f t="shared" ca="1" si="63"/>
        <v>7000</v>
      </c>
      <c r="X193" s="200">
        <f t="shared" ca="1" si="64"/>
        <v>51075</v>
      </c>
      <c r="Y193" s="1">
        <v>0.5</v>
      </c>
      <c r="Z193" s="1"/>
      <c r="AA193" s="219"/>
      <c r="AB193" s="302"/>
      <c r="AC193" s="302"/>
      <c r="AD193" s="302"/>
      <c r="AE193" s="302"/>
      <c r="AF193">
        <f t="shared" si="46"/>
        <v>0</v>
      </c>
    </row>
    <row r="194" spans="1:32" ht="26.25" hidden="1" x14ac:dyDescent="0.25">
      <c r="A194" s="322" t="s">
        <v>532</v>
      </c>
      <c r="B194" s="93" t="str">
        <f>IF(COUNTIF(GIS,A196),"YES","NO")</f>
        <v>NO</v>
      </c>
      <c r="C194" s="93" t="s">
        <v>5503</v>
      </c>
      <c r="D194" s="2">
        <v>38280</v>
      </c>
      <c r="E194" s="2">
        <v>38353</v>
      </c>
      <c r="F194" s="2">
        <f t="shared" si="47"/>
        <v>42005</v>
      </c>
      <c r="G194" s="6">
        <v>596.74</v>
      </c>
      <c r="H194" s="7" t="s">
        <v>534</v>
      </c>
      <c r="I194" s="7" t="s">
        <v>15</v>
      </c>
      <c r="J194" s="105" t="s">
        <v>4834</v>
      </c>
      <c r="K194" s="266">
        <f>YEAR(F194)</f>
        <v>2015</v>
      </c>
      <c r="L194" s="381"/>
      <c r="M194" s="381"/>
      <c r="N194" s="32" t="s">
        <v>535</v>
      </c>
      <c r="O194" s="32" t="s">
        <v>536</v>
      </c>
      <c r="P194" s="278" t="s">
        <v>537</v>
      </c>
      <c r="Q194" s="233" t="s">
        <v>533</v>
      </c>
      <c r="R194" s="75">
        <v>2164.5</v>
      </c>
      <c r="S194" s="75">
        <v>213726</v>
      </c>
      <c r="T194" s="75">
        <v>215890.5</v>
      </c>
      <c r="U194" s="200">
        <v>1194</v>
      </c>
      <c r="V194" s="287">
        <f ca="1">IF(YEAR($W$3)-YEAR(E194)&gt;9,10,IF(MONTH($W$3)&lt;MONTH(E194),YEAR($W$3)-YEAR(E194),YEAR($W$3)-YEAR(E194)+1))</f>
        <v>10</v>
      </c>
      <c r="W194" s="75">
        <f t="shared" ca="1" si="63"/>
        <v>10447.5</v>
      </c>
      <c r="X194" s="200">
        <f t="shared" ca="1" si="64"/>
        <v>225442.5</v>
      </c>
      <c r="Y194" s="1">
        <v>0.5</v>
      </c>
      <c r="Z194" s="1"/>
      <c r="AA194" s="219"/>
      <c r="AB194" s="302" t="s">
        <v>6418</v>
      </c>
      <c r="AC194" s="302"/>
      <c r="AD194" s="302"/>
      <c r="AE194" s="302"/>
      <c r="AF194">
        <f t="shared" si="46"/>
        <v>0</v>
      </c>
    </row>
    <row r="195" spans="1:32" hidden="1" x14ac:dyDescent="0.25">
      <c r="A195" s="323"/>
      <c r="D195" s="7"/>
      <c r="E195" s="13"/>
      <c r="F195" s="2"/>
      <c r="G195" s="6"/>
      <c r="H195" s="7"/>
      <c r="I195" s="7"/>
      <c r="J195" s="186"/>
      <c r="K195" s="186"/>
      <c r="L195" s="386"/>
      <c r="M195" s="386"/>
      <c r="N195" s="32"/>
      <c r="O195" s="32"/>
      <c r="P195" s="278"/>
      <c r="Q195" s="233" t="s">
        <v>508</v>
      </c>
      <c r="R195" s="75">
        <v>5100</v>
      </c>
      <c r="S195" s="75">
        <v>296926</v>
      </c>
      <c r="T195" s="75">
        <v>302026</v>
      </c>
      <c r="U195" s="200"/>
      <c r="V195" s="75"/>
      <c r="W195" s="75"/>
      <c r="X195" s="200"/>
      <c r="Y195" s="1"/>
      <c r="Z195" s="1"/>
      <c r="AA195" s="219"/>
      <c r="AB195" s="302"/>
      <c r="AC195" s="302"/>
      <c r="AD195" s="302"/>
      <c r="AE195" s="302"/>
      <c r="AF195">
        <f t="shared" si="46"/>
        <v>0</v>
      </c>
    </row>
    <row r="196" spans="1:32" hidden="1" x14ac:dyDescent="0.25">
      <c r="A196" s="323"/>
      <c r="D196" s="7"/>
      <c r="E196" s="13"/>
      <c r="F196" s="2"/>
      <c r="G196" s="6"/>
      <c r="H196" s="7"/>
      <c r="I196" s="7"/>
      <c r="J196" s="186"/>
      <c r="K196" s="186"/>
      <c r="L196" s="386"/>
      <c r="M196" s="386"/>
      <c r="N196" s="32"/>
      <c r="O196" s="32"/>
      <c r="P196" s="278"/>
      <c r="Q196" s="233"/>
      <c r="R196" s="75"/>
      <c r="S196" s="75"/>
      <c r="T196" s="75"/>
      <c r="U196" s="200"/>
      <c r="V196" s="75"/>
      <c r="W196" s="75"/>
      <c r="X196" s="200"/>
      <c r="Y196" s="1"/>
      <c r="Z196" s="1"/>
      <c r="AA196" s="219"/>
      <c r="AB196" s="302"/>
      <c r="AC196" s="302"/>
      <c r="AD196" s="302"/>
      <c r="AE196" s="302"/>
      <c r="AF196">
        <f t="shared" si="46"/>
        <v>0</v>
      </c>
    </row>
    <row r="197" spans="1:32" ht="15.75" hidden="1" thickBot="1" x14ac:dyDescent="0.3">
      <c r="A197" s="323"/>
      <c r="D197" s="7"/>
      <c r="E197" s="13"/>
      <c r="F197" s="2"/>
      <c r="G197" s="6">
        <v>0</v>
      </c>
      <c r="H197" s="7"/>
      <c r="I197" s="7"/>
      <c r="J197" s="186"/>
      <c r="K197" s="186"/>
      <c r="L197" s="386"/>
      <c r="M197" s="386"/>
      <c r="N197" s="32"/>
      <c r="O197" s="32"/>
      <c r="P197" s="278"/>
      <c r="Q197" s="233" t="s">
        <v>538</v>
      </c>
      <c r="R197" s="76">
        <v>394158.5</v>
      </c>
      <c r="S197" s="76">
        <v>731650</v>
      </c>
      <c r="T197" s="76">
        <v>1125808.5</v>
      </c>
      <c r="U197" s="200"/>
      <c r="V197" s="75"/>
      <c r="W197" s="75"/>
      <c r="X197" s="200"/>
      <c r="Y197" s="17"/>
      <c r="Z197" s="17"/>
      <c r="AA197" s="220"/>
      <c r="AB197" s="302"/>
      <c r="AC197" s="302"/>
      <c r="AD197" s="302"/>
      <c r="AE197" s="302"/>
      <c r="AF197">
        <f t="shared" si="46"/>
        <v>0</v>
      </c>
    </row>
    <row r="198" spans="1:32" hidden="1" x14ac:dyDescent="0.25">
      <c r="A198" s="323"/>
      <c r="D198" s="7"/>
      <c r="E198" s="13"/>
      <c r="F198" s="2"/>
      <c r="G198" s="3"/>
      <c r="H198" s="7"/>
      <c r="I198" s="7"/>
      <c r="J198" s="186"/>
      <c r="K198" s="186"/>
      <c r="L198" s="386"/>
      <c r="M198" s="386"/>
      <c r="N198" s="32"/>
      <c r="O198" s="32"/>
      <c r="P198" s="278"/>
      <c r="Q198" s="233"/>
      <c r="R198" s="75"/>
      <c r="S198" s="75"/>
      <c r="T198" s="75"/>
      <c r="U198" s="200"/>
      <c r="V198" s="75"/>
      <c r="W198" s="75"/>
      <c r="X198" s="200"/>
      <c r="Y198" s="1"/>
      <c r="Z198" s="1"/>
      <c r="AA198" s="219"/>
      <c r="AB198" s="302"/>
      <c r="AC198" s="302"/>
      <c r="AD198" s="302"/>
      <c r="AE198" s="302"/>
      <c r="AF198">
        <f t="shared" si="46"/>
        <v>0</v>
      </c>
    </row>
    <row r="199" spans="1:32" hidden="1" x14ac:dyDescent="0.25">
      <c r="A199" s="322" t="s">
        <v>12</v>
      </c>
      <c r="B199" s="93" t="str">
        <f>IF(COUNTIF(GIS,A201),"YES","NO")</f>
        <v>NO</v>
      </c>
      <c r="C199" s="93" t="s">
        <v>5503</v>
      </c>
      <c r="D199" s="2">
        <v>34991</v>
      </c>
      <c r="E199" s="2">
        <v>35034</v>
      </c>
      <c r="F199" s="2">
        <f t="shared" si="47"/>
        <v>38687</v>
      </c>
      <c r="G199" s="6"/>
      <c r="H199" s="7"/>
      <c r="I199" s="7"/>
      <c r="J199" s="103" t="s">
        <v>4780</v>
      </c>
      <c r="K199" s="266">
        <f>YEAR(F199)</f>
        <v>2005</v>
      </c>
      <c r="L199" s="380"/>
      <c r="M199" s="380"/>
      <c r="N199" s="32"/>
      <c r="O199" s="32"/>
      <c r="P199" s="278"/>
      <c r="Q199" s="237"/>
      <c r="R199" s="209"/>
      <c r="S199" s="75">
        <v>-790.5</v>
      </c>
      <c r="T199" s="75">
        <v>-790.5</v>
      </c>
      <c r="V199" s="287">
        <f ca="1">IF(YEAR($W$3)-YEAR(E199)&gt;9,10,IF(MONTH($W$3)&lt;MONTH(E199),YEAR($W$3)-YEAR(E199),YEAR($W$3)-YEAR(E199)+1))</f>
        <v>10</v>
      </c>
      <c r="W199" s="75">
        <f ca="1">IF(V199&lt;6, ROUNDUP(G199,0)*$W$6*V199, ROUNDUP(G199,0)*($W$6*5 + (V199-5)*$W$7))</f>
        <v>0</v>
      </c>
      <c r="X199" s="200">
        <f ca="1">IF(V199=0,T199,((T199-ROUNDUP(G199,0)*1.5)+W199))</f>
        <v>-790.5</v>
      </c>
      <c r="Y199" s="1"/>
      <c r="Z199" s="1"/>
      <c r="AA199" s="219"/>
      <c r="AB199" s="302"/>
      <c r="AC199" s="302"/>
      <c r="AD199" s="302"/>
      <c r="AE199" s="302"/>
      <c r="AF199">
        <f t="shared" si="46"/>
        <v>0</v>
      </c>
    </row>
    <row r="200" spans="1:32" hidden="1" x14ac:dyDescent="0.25">
      <c r="A200" s="323"/>
      <c r="D200" s="7"/>
      <c r="E200" s="13"/>
      <c r="F200" s="2"/>
      <c r="G200" s="6"/>
      <c r="H200" s="7"/>
      <c r="I200" s="7"/>
      <c r="J200" s="186"/>
      <c r="K200" s="186"/>
      <c r="L200" s="386"/>
      <c r="M200" s="386"/>
      <c r="N200" s="32"/>
      <c r="O200" s="32"/>
      <c r="P200" s="278"/>
      <c r="Q200" s="233"/>
      <c r="R200" s="75"/>
      <c r="S200" s="75"/>
      <c r="T200" s="75"/>
      <c r="U200" s="200"/>
      <c r="V200" s="75"/>
      <c r="W200" s="75"/>
      <c r="X200" s="200"/>
      <c r="Y200" s="1"/>
      <c r="Z200" s="1"/>
      <c r="AA200" s="219"/>
      <c r="AB200" s="302"/>
      <c r="AC200" s="302"/>
      <c r="AD200" s="302"/>
      <c r="AE200" s="302"/>
      <c r="AF200">
        <f t="shared" si="46"/>
        <v>0</v>
      </c>
    </row>
    <row r="201" spans="1:32" ht="15.75" hidden="1" thickBot="1" x14ac:dyDescent="0.3">
      <c r="A201" s="323"/>
      <c r="D201" s="7"/>
      <c r="E201" s="13"/>
      <c r="F201" s="2"/>
      <c r="G201" s="6"/>
      <c r="H201" s="7"/>
      <c r="I201" s="7"/>
      <c r="J201" s="186"/>
      <c r="K201" s="186"/>
      <c r="L201" s="386"/>
      <c r="M201" s="386"/>
      <c r="N201" s="32"/>
      <c r="O201" s="32"/>
      <c r="P201" s="278"/>
      <c r="Q201" s="233" t="s">
        <v>539</v>
      </c>
      <c r="R201" s="76">
        <v>394158.5</v>
      </c>
      <c r="S201" s="76">
        <v>730859.5</v>
      </c>
      <c r="T201" s="76">
        <v>1125018</v>
      </c>
      <c r="U201" s="200"/>
      <c r="V201" s="75"/>
      <c r="W201" s="75"/>
      <c r="X201" s="200"/>
      <c r="Y201" s="17"/>
      <c r="Z201" s="17"/>
      <c r="AA201" s="220"/>
      <c r="AB201" s="302"/>
      <c r="AC201" s="302"/>
      <c r="AD201" s="302"/>
      <c r="AE201" s="302"/>
      <c r="AF201">
        <f t="shared" si="46"/>
        <v>0</v>
      </c>
    </row>
    <row r="202" spans="1:32" hidden="1" x14ac:dyDescent="0.25">
      <c r="A202" s="323"/>
      <c r="D202" s="7"/>
      <c r="E202" s="13"/>
      <c r="F202" s="2"/>
      <c r="G202" s="6"/>
      <c r="H202" s="7"/>
      <c r="I202" s="7"/>
      <c r="J202" s="186"/>
      <c r="K202" s="186"/>
      <c r="L202" s="386"/>
      <c r="M202" s="386"/>
      <c r="N202" s="32"/>
      <c r="O202" s="32"/>
      <c r="P202" s="278"/>
      <c r="Q202" s="233"/>
      <c r="R202" s="75"/>
      <c r="S202" s="75"/>
      <c r="T202" s="75"/>
      <c r="U202" s="200"/>
      <c r="V202" s="75"/>
      <c r="W202" s="75"/>
      <c r="X202" s="200"/>
      <c r="Y202" s="1"/>
      <c r="Z202" s="1"/>
      <c r="AA202" s="219"/>
      <c r="AB202" s="302"/>
      <c r="AC202" s="302"/>
      <c r="AD202" s="302"/>
      <c r="AE202" s="302"/>
      <c r="AF202">
        <f t="shared" si="46"/>
        <v>0</v>
      </c>
    </row>
    <row r="203" spans="1:32" hidden="1" x14ac:dyDescent="0.25">
      <c r="A203" s="322" t="s">
        <v>540</v>
      </c>
      <c r="B203" s="93" t="str">
        <f>IF(COUNTIF(GIS,A205),"YES","NO")</f>
        <v>NO</v>
      </c>
      <c r="C203" s="93" t="s">
        <v>5503</v>
      </c>
      <c r="D203" s="4">
        <v>38826</v>
      </c>
      <c r="E203" s="2">
        <v>38869</v>
      </c>
      <c r="F203" s="2">
        <f t="shared" si="47"/>
        <v>42522</v>
      </c>
      <c r="G203" s="6">
        <v>199.5</v>
      </c>
      <c r="H203" s="7" t="s">
        <v>209</v>
      </c>
      <c r="I203" s="7" t="s">
        <v>15</v>
      </c>
      <c r="J203" s="186"/>
      <c r="K203" s="266">
        <f>YEAR(F203)</f>
        <v>2016</v>
      </c>
      <c r="L203" s="386"/>
      <c r="M203" s="386"/>
      <c r="N203" s="32" t="s">
        <v>542</v>
      </c>
      <c r="O203" s="32" t="s">
        <v>543</v>
      </c>
      <c r="P203" s="278" t="s">
        <v>544</v>
      </c>
      <c r="Q203" s="233" t="s">
        <v>541</v>
      </c>
      <c r="R203" s="75">
        <v>32430</v>
      </c>
      <c r="S203" s="75">
        <v>0</v>
      </c>
      <c r="T203" s="75">
        <v>32430</v>
      </c>
      <c r="U203" s="200">
        <v>400</v>
      </c>
      <c r="V203" s="287">
        <f ca="1">IF(YEAR($W$3)-YEAR(E203)&gt;9,10,IF(MONTH($W$3)&lt;MONTH(E203),YEAR($W$3)-YEAR(E203),YEAR($W$3)-YEAR(E203)+1))</f>
        <v>10</v>
      </c>
      <c r="W203" s="75">
        <f ca="1">IF(V203&lt;6, ROUNDUP(G203,0)*$W$6*V203, ROUNDUP(G203,0)*($W$6*5 + (V203-5)*$W$7))</f>
        <v>3500</v>
      </c>
      <c r="X203" s="200">
        <f ca="1">IF(V203=0,T203,((T203-ROUNDUP(G203,0)*1.5)+W203))</f>
        <v>35630</v>
      </c>
      <c r="Y203" s="1">
        <v>0.5</v>
      </c>
      <c r="Z203" s="1"/>
      <c r="AA203" s="219"/>
      <c r="AB203" s="301" t="s">
        <v>7483</v>
      </c>
      <c r="AC203" s="302"/>
      <c r="AD203" s="302"/>
      <c r="AE203" s="302"/>
      <c r="AF203">
        <f t="shared" ref="AF203:AF266" si="65">COUNTIF(FilterList,A203)</f>
        <v>0</v>
      </c>
    </row>
    <row r="204" spans="1:32" hidden="1" x14ac:dyDescent="0.25">
      <c r="A204" s="323"/>
      <c r="D204" s="4"/>
      <c r="E204" s="2"/>
      <c r="F204" s="2"/>
      <c r="G204" s="6"/>
      <c r="H204" s="7"/>
      <c r="I204" s="7"/>
      <c r="J204" s="186"/>
      <c r="K204" s="186"/>
      <c r="L204" s="386"/>
      <c r="M204" s="386"/>
      <c r="N204" s="32"/>
      <c r="O204" s="32"/>
      <c r="P204" s="278"/>
      <c r="Q204" s="233"/>
      <c r="R204" s="75"/>
      <c r="S204" s="75"/>
      <c r="T204" s="75"/>
      <c r="U204" s="200"/>
      <c r="V204" s="75"/>
      <c r="W204" s="75"/>
      <c r="X204" s="200"/>
      <c r="Y204" s="1"/>
      <c r="Z204" s="1"/>
      <c r="AA204" s="219"/>
      <c r="AB204" s="302"/>
      <c r="AC204" s="302"/>
      <c r="AD204" s="302"/>
      <c r="AE204" s="302"/>
      <c r="AF204">
        <f t="shared" si="65"/>
        <v>0</v>
      </c>
    </row>
    <row r="205" spans="1:32" hidden="1" x14ac:dyDescent="0.25">
      <c r="A205" s="325" t="s">
        <v>545</v>
      </c>
      <c r="B205" s="93" t="str">
        <f t="shared" ref="B205:B220" si="66">IF(COUNTIF(GIS,A207),"YES","NO")</f>
        <v>NO</v>
      </c>
      <c r="C205" s="93" t="s">
        <v>5503</v>
      </c>
      <c r="D205" s="4">
        <v>39008</v>
      </c>
      <c r="E205" s="2">
        <v>39052</v>
      </c>
      <c r="F205" s="2">
        <f t="shared" ref="F205:F267" si="67">DATE(YEAR(E205)+10,MONTH(E205),DAY(E205))</f>
        <v>42705</v>
      </c>
      <c r="G205" s="6">
        <v>160</v>
      </c>
      <c r="H205" s="7" t="s">
        <v>547</v>
      </c>
      <c r="I205" s="7" t="s">
        <v>548</v>
      </c>
      <c r="J205" s="105" t="s">
        <v>5268</v>
      </c>
      <c r="K205" s="266">
        <f t="shared" ref="K205:K220" si="68">YEAR(F205)</f>
        <v>2016</v>
      </c>
      <c r="L205" s="381"/>
      <c r="M205" s="381"/>
      <c r="N205" s="32" t="s">
        <v>549</v>
      </c>
      <c r="O205" s="32" t="s">
        <v>550</v>
      </c>
      <c r="P205" s="278" t="s">
        <v>551</v>
      </c>
      <c r="Q205" s="233" t="s">
        <v>546</v>
      </c>
      <c r="R205" s="75">
        <v>690</v>
      </c>
      <c r="S205" s="75"/>
      <c r="T205" s="75">
        <v>690</v>
      </c>
      <c r="U205" s="200">
        <v>320</v>
      </c>
      <c r="V205" s="287">
        <f t="shared" ref="V205:V220" ca="1" si="69">IF(YEAR($W$3)-YEAR(E205)&gt;9,10,IF(MONTH($W$3)&lt;MONTH(E205),YEAR($W$3)-YEAR(E205),YEAR($W$3)-YEAR(E205)+1))</f>
        <v>10</v>
      </c>
      <c r="W205" s="75">
        <f t="shared" ref="W205:W220" ca="1" si="70">IF(V205&lt;6, ROUNDUP(G205,0)*$W$6*V205, ROUNDUP(G205,0)*($W$6*5 + (V205-5)*$W$7))</f>
        <v>2800</v>
      </c>
      <c r="X205" s="200">
        <f t="shared" ref="X205:X220" ca="1" si="71">IF(V205=0,T205,((T205-ROUNDUP(G205,0)*1.5)+W205))</f>
        <v>3250</v>
      </c>
      <c r="Y205" s="1">
        <v>0.5</v>
      </c>
      <c r="Z205" s="1"/>
      <c r="AA205" s="219"/>
      <c r="AB205" s="302" t="s">
        <v>6391</v>
      </c>
      <c r="AC205" s="302"/>
      <c r="AD205" s="302"/>
      <c r="AE205" s="302"/>
      <c r="AF205">
        <f t="shared" si="65"/>
        <v>0</v>
      </c>
    </row>
    <row r="206" spans="1:32" hidden="1" x14ac:dyDescent="0.25">
      <c r="A206" s="322" t="s">
        <v>552</v>
      </c>
      <c r="B206" s="93" t="str">
        <f t="shared" si="66"/>
        <v>NO</v>
      </c>
      <c r="C206" s="93" t="s">
        <v>5503</v>
      </c>
      <c r="D206" s="4">
        <v>39008</v>
      </c>
      <c r="E206" s="2">
        <v>39052</v>
      </c>
      <c r="F206" s="2">
        <f t="shared" si="67"/>
        <v>42705</v>
      </c>
      <c r="G206" s="6">
        <v>1280</v>
      </c>
      <c r="H206" s="7" t="s">
        <v>511</v>
      </c>
      <c r="I206" s="7" t="s">
        <v>512</v>
      </c>
      <c r="J206" s="105" t="s">
        <v>5268</v>
      </c>
      <c r="K206" s="266">
        <f t="shared" si="68"/>
        <v>2016</v>
      </c>
      <c r="L206" s="381"/>
      <c r="M206" s="381"/>
      <c r="N206" s="32" t="s">
        <v>554</v>
      </c>
      <c r="O206" s="32" t="s">
        <v>555</v>
      </c>
      <c r="P206" s="278" t="s">
        <v>556</v>
      </c>
      <c r="Q206" s="233" t="s">
        <v>553</v>
      </c>
      <c r="R206" s="75">
        <v>4610</v>
      </c>
      <c r="S206" s="75">
        <v>10240</v>
      </c>
      <c r="T206" s="75">
        <v>14850</v>
      </c>
      <c r="U206" s="200">
        <v>2560</v>
      </c>
      <c r="V206" s="287">
        <f t="shared" ca="1" si="69"/>
        <v>10</v>
      </c>
      <c r="W206" s="75">
        <f t="shared" ca="1" si="70"/>
        <v>22400</v>
      </c>
      <c r="X206" s="200">
        <f t="shared" ca="1" si="71"/>
        <v>35330</v>
      </c>
      <c r="Y206" s="1">
        <v>0.5</v>
      </c>
      <c r="Z206" s="1"/>
      <c r="AA206" s="219"/>
      <c r="AB206" s="302" t="s">
        <v>6419</v>
      </c>
      <c r="AC206" s="302"/>
      <c r="AD206" s="302"/>
      <c r="AE206" s="302"/>
      <c r="AF206">
        <f t="shared" si="65"/>
        <v>0</v>
      </c>
    </row>
    <row r="207" spans="1:32" ht="25.5" hidden="1" x14ac:dyDescent="0.25">
      <c r="A207" s="322" t="s">
        <v>557</v>
      </c>
      <c r="B207" s="93" t="str">
        <f t="shared" si="66"/>
        <v>NO</v>
      </c>
      <c r="C207" s="93" t="s">
        <v>5503</v>
      </c>
      <c r="D207" s="4">
        <v>39008</v>
      </c>
      <c r="E207" s="2">
        <v>39052</v>
      </c>
      <c r="F207" s="2">
        <f t="shared" si="67"/>
        <v>42705</v>
      </c>
      <c r="G207" s="6">
        <v>634.85</v>
      </c>
      <c r="H207" s="7" t="s">
        <v>559</v>
      </c>
      <c r="I207" s="7" t="s">
        <v>512</v>
      </c>
      <c r="J207" s="105" t="s">
        <v>5268</v>
      </c>
      <c r="K207" s="266">
        <f t="shared" si="68"/>
        <v>2016</v>
      </c>
      <c r="L207" s="381"/>
      <c r="M207" s="381"/>
      <c r="N207" s="32"/>
      <c r="O207" s="32" t="s">
        <v>560</v>
      </c>
      <c r="P207" s="278" t="s">
        <v>561</v>
      </c>
      <c r="Q207" s="233" t="s">
        <v>558</v>
      </c>
      <c r="R207" s="75">
        <v>2352.5</v>
      </c>
      <c r="S207" s="75">
        <v>2540</v>
      </c>
      <c r="T207" s="75">
        <v>4892.5</v>
      </c>
      <c r="U207" s="200">
        <v>1270</v>
      </c>
      <c r="V207" s="287">
        <f t="shared" ca="1" si="69"/>
        <v>10</v>
      </c>
      <c r="W207" s="75">
        <f t="shared" ca="1" si="70"/>
        <v>11112.5</v>
      </c>
      <c r="X207" s="200">
        <f t="shared" ca="1" si="71"/>
        <v>15052.5</v>
      </c>
      <c r="Y207" s="1">
        <v>0.5</v>
      </c>
      <c r="Z207" s="1"/>
      <c r="AA207" s="219"/>
      <c r="AB207" s="302" t="s">
        <v>6248</v>
      </c>
      <c r="AC207" s="308">
        <v>41723</v>
      </c>
      <c r="AD207" s="309">
        <v>0.25</v>
      </c>
      <c r="AE207" s="302" t="s">
        <v>6227</v>
      </c>
      <c r="AF207">
        <f t="shared" si="65"/>
        <v>0</v>
      </c>
    </row>
    <row r="208" spans="1:32" ht="26.25" hidden="1" x14ac:dyDescent="0.25">
      <c r="A208" s="322" t="s">
        <v>562</v>
      </c>
      <c r="B208" s="93" t="str">
        <f t="shared" si="66"/>
        <v>NO</v>
      </c>
      <c r="C208" s="93" t="s">
        <v>5503</v>
      </c>
      <c r="D208" s="4">
        <v>39008</v>
      </c>
      <c r="E208" s="2">
        <v>39052</v>
      </c>
      <c r="F208" s="2">
        <f t="shared" si="67"/>
        <v>42705</v>
      </c>
      <c r="G208" s="6">
        <v>1349.92</v>
      </c>
      <c r="H208" s="7" t="s">
        <v>564</v>
      </c>
      <c r="I208" s="7" t="s">
        <v>512</v>
      </c>
      <c r="J208" s="105" t="s">
        <v>5268</v>
      </c>
      <c r="K208" s="266">
        <f t="shared" si="68"/>
        <v>2016</v>
      </c>
      <c r="L208" s="381"/>
      <c r="M208" s="381"/>
      <c r="N208" s="32"/>
      <c r="O208" s="32" t="s">
        <v>565</v>
      </c>
      <c r="P208" s="278" t="s">
        <v>566</v>
      </c>
      <c r="Q208" s="233" t="s">
        <v>563</v>
      </c>
      <c r="R208" s="75">
        <v>4855</v>
      </c>
      <c r="S208" s="75">
        <v>2700</v>
      </c>
      <c r="T208" s="75">
        <v>7555</v>
      </c>
      <c r="U208" s="200">
        <v>2700</v>
      </c>
      <c r="V208" s="287">
        <f t="shared" ca="1" si="69"/>
        <v>10</v>
      </c>
      <c r="W208" s="75">
        <f t="shared" ca="1" si="70"/>
        <v>23625</v>
      </c>
      <c r="X208" s="200">
        <f t="shared" ca="1" si="71"/>
        <v>29155</v>
      </c>
      <c r="Y208" s="1">
        <v>0.5</v>
      </c>
      <c r="Z208" s="1"/>
      <c r="AA208" s="219"/>
      <c r="AB208" s="302" t="s">
        <v>6420</v>
      </c>
      <c r="AC208" s="302"/>
      <c r="AD208" s="302"/>
      <c r="AE208" s="302"/>
      <c r="AF208">
        <f t="shared" si="65"/>
        <v>0</v>
      </c>
    </row>
    <row r="209" spans="1:32" hidden="1" x14ac:dyDescent="0.25">
      <c r="A209" s="322" t="s">
        <v>567</v>
      </c>
      <c r="B209" s="93" t="str">
        <f t="shared" si="66"/>
        <v>NO</v>
      </c>
      <c r="C209" s="93" t="s">
        <v>5503</v>
      </c>
      <c r="D209" s="4">
        <v>39008</v>
      </c>
      <c r="E209" s="2">
        <v>39052</v>
      </c>
      <c r="F209" s="2">
        <f t="shared" si="67"/>
        <v>42705</v>
      </c>
      <c r="G209" s="6">
        <v>1279.28</v>
      </c>
      <c r="H209" s="7" t="s">
        <v>564</v>
      </c>
      <c r="I209" s="7" t="s">
        <v>512</v>
      </c>
      <c r="J209" s="105" t="s">
        <v>5268</v>
      </c>
      <c r="K209" s="266">
        <f t="shared" si="68"/>
        <v>2016</v>
      </c>
      <c r="L209" s="381"/>
      <c r="M209" s="381"/>
      <c r="N209" s="32"/>
      <c r="O209" s="32" t="s">
        <v>569</v>
      </c>
      <c r="P209" s="278" t="s">
        <v>570</v>
      </c>
      <c r="Q209" s="233" t="s">
        <v>568</v>
      </c>
      <c r="R209" s="75">
        <v>4610</v>
      </c>
      <c r="S209" s="75">
        <v>2560</v>
      </c>
      <c r="T209" s="75">
        <v>7170</v>
      </c>
      <c r="U209" s="200">
        <v>2560</v>
      </c>
      <c r="V209" s="287">
        <f t="shared" ca="1" si="69"/>
        <v>10</v>
      </c>
      <c r="W209" s="75">
        <f t="shared" ca="1" si="70"/>
        <v>22400</v>
      </c>
      <c r="X209" s="200">
        <f t="shared" ca="1" si="71"/>
        <v>27650</v>
      </c>
      <c r="Y209" s="1">
        <v>0.5</v>
      </c>
      <c r="Z209" s="1"/>
      <c r="AA209" s="219"/>
      <c r="AB209" s="302" t="s">
        <v>6421</v>
      </c>
      <c r="AC209" s="302"/>
      <c r="AD209" s="302"/>
      <c r="AE209" s="302"/>
      <c r="AF209">
        <f t="shared" si="65"/>
        <v>0</v>
      </c>
    </row>
    <row r="210" spans="1:32" ht="26.25" hidden="1" x14ac:dyDescent="0.25">
      <c r="A210" s="322" t="s">
        <v>571</v>
      </c>
      <c r="B210" s="93" t="str">
        <f t="shared" si="66"/>
        <v>NO</v>
      </c>
      <c r="C210" s="93" t="s">
        <v>5503</v>
      </c>
      <c r="D210" s="4">
        <v>39008</v>
      </c>
      <c r="E210" s="2">
        <v>39052</v>
      </c>
      <c r="F210" s="2">
        <f t="shared" si="67"/>
        <v>42705</v>
      </c>
      <c r="G210" s="6">
        <v>621.33000000000004</v>
      </c>
      <c r="H210" s="7" t="s">
        <v>573</v>
      </c>
      <c r="I210" s="7" t="s">
        <v>512</v>
      </c>
      <c r="J210" s="105" t="s">
        <v>5268</v>
      </c>
      <c r="K210" s="266">
        <f t="shared" si="68"/>
        <v>2016</v>
      </c>
      <c r="L210" s="381"/>
      <c r="M210" s="381"/>
      <c r="N210" s="32"/>
      <c r="O210" s="32" t="s">
        <v>574</v>
      </c>
      <c r="P210" s="278" t="s">
        <v>575</v>
      </c>
      <c r="Q210" s="233" t="s">
        <v>572</v>
      </c>
      <c r="R210" s="75">
        <v>2307</v>
      </c>
      <c r="S210" s="75">
        <v>4976</v>
      </c>
      <c r="T210" s="75">
        <v>7283</v>
      </c>
      <c r="U210" s="200">
        <v>1244</v>
      </c>
      <c r="V210" s="287">
        <f t="shared" ca="1" si="69"/>
        <v>10</v>
      </c>
      <c r="W210" s="75">
        <f t="shared" ca="1" si="70"/>
        <v>10885</v>
      </c>
      <c r="X210" s="200">
        <f t="shared" ca="1" si="71"/>
        <v>17235</v>
      </c>
      <c r="Y210" s="1">
        <v>0.5</v>
      </c>
      <c r="Z210" s="1"/>
      <c r="AA210" s="219"/>
      <c r="AB210" s="302" t="s">
        <v>6422</v>
      </c>
      <c r="AC210" s="302"/>
      <c r="AD210" s="302"/>
      <c r="AE210" s="302"/>
      <c r="AF210">
        <f t="shared" si="65"/>
        <v>0</v>
      </c>
    </row>
    <row r="211" spans="1:32" hidden="1" x14ac:dyDescent="0.25">
      <c r="A211" s="322" t="s">
        <v>576</v>
      </c>
      <c r="B211" s="93" t="str">
        <f t="shared" si="66"/>
        <v>NO</v>
      </c>
      <c r="C211" s="93" t="s">
        <v>5503</v>
      </c>
      <c r="D211" s="4">
        <v>39008</v>
      </c>
      <c r="E211" s="2">
        <v>39052</v>
      </c>
      <c r="F211" s="2">
        <f t="shared" si="67"/>
        <v>42705</v>
      </c>
      <c r="G211" s="6">
        <v>360</v>
      </c>
      <c r="H211" s="7" t="s">
        <v>573</v>
      </c>
      <c r="I211" s="7" t="s">
        <v>512</v>
      </c>
      <c r="J211" s="105" t="s">
        <v>5268</v>
      </c>
      <c r="K211" s="266">
        <f t="shared" si="68"/>
        <v>2016</v>
      </c>
      <c r="L211" s="381"/>
      <c r="M211" s="381"/>
      <c r="N211" s="32"/>
      <c r="O211" s="32" t="s">
        <v>578</v>
      </c>
      <c r="P211" s="278" t="s">
        <v>579</v>
      </c>
      <c r="Q211" s="233" t="s">
        <v>577</v>
      </c>
      <c r="R211" s="75">
        <v>1390</v>
      </c>
      <c r="S211" s="75">
        <v>2880</v>
      </c>
      <c r="T211" s="75">
        <v>4270</v>
      </c>
      <c r="U211" s="200">
        <v>720</v>
      </c>
      <c r="V211" s="287">
        <f t="shared" ca="1" si="69"/>
        <v>10</v>
      </c>
      <c r="W211" s="75">
        <f t="shared" ca="1" si="70"/>
        <v>6300</v>
      </c>
      <c r="X211" s="200">
        <f t="shared" ca="1" si="71"/>
        <v>10030</v>
      </c>
      <c r="Y211" s="1">
        <v>0.5</v>
      </c>
      <c r="Z211" s="1"/>
      <c r="AA211" s="219"/>
      <c r="AB211" s="302" t="s">
        <v>6423</v>
      </c>
      <c r="AC211" s="302"/>
      <c r="AD211" s="302"/>
      <c r="AE211" s="302"/>
      <c r="AF211">
        <f t="shared" si="65"/>
        <v>0</v>
      </c>
    </row>
    <row r="212" spans="1:32" ht="25.5" hidden="1" x14ac:dyDescent="0.25">
      <c r="A212" s="322" t="s">
        <v>580</v>
      </c>
      <c r="B212" s="93" t="str">
        <f t="shared" si="66"/>
        <v>NO</v>
      </c>
      <c r="C212" s="93" t="s">
        <v>5503</v>
      </c>
      <c r="D212" s="4">
        <v>39008</v>
      </c>
      <c r="E212" s="2">
        <v>39052</v>
      </c>
      <c r="F212" s="2">
        <f t="shared" si="67"/>
        <v>42705</v>
      </c>
      <c r="G212" s="6">
        <v>2135.08</v>
      </c>
      <c r="H212" s="7" t="s">
        <v>582</v>
      </c>
      <c r="I212" s="7" t="s">
        <v>15</v>
      </c>
      <c r="J212" s="105" t="s">
        <v>5268</v>
      </c>
      <c r="K212" s="266">
        <f t="shared" si="68"/>
        <v>2016</v>
      </c>
      <c r="L212" s="381"/>
      <c r="M212" s="381"/>
      <c r="N212" s="32" t="s">
        <v>542</v>
      </c>
      <c r="O212" s="32" t="s">
        <v>583</v>
      </c>
      <c r="P212" s="278"/>
      <c r="Q212" s="233" t="s">
        <v>581</v>
      </c>
      <c r="R212" s="75">
        <v>7606</v>
      </c>
      <c r="S212" s="75">
        <v>8544</v>
      </c>
      <c r="T212" s="75">
        <v>16150</v>
      </c>
      <c r="U212" s="200">
        <v>4272</v>
      </c>
      <c r="V212" s="287">
        <f t="shared" ca="1" si="69"/>
        <v>10</v>
      </c>
      <c r="W212" s="75">
        <f t="shared" ca="1" si="70"/>
        <v>37380</v>
      </c>
      <c r="X212" s="200">
        <f t="shared" ca="1" si="71"/>
        <v>50326</v>
      </c>
      <c r="Y212" s="1">
        <v>0.5</v>
      </c>
      <c r="Z212" s="1"/>
      <c r="AA212" s="219"/>
      <c r="AB212" s="302" t="s">
        <v>6424</v>
      </c>
      <c r="AC212" s="302"/>
      <c r="AD212" s="302"/>
      <c r="AE212" s="302"/>
      <c r="AF212">
        <f t="shared" si="65"/>
        <v>0</v>
      </c>
    </row>
    <row r="213" spans="1:32" ht="25.5" hidden="1" x14ac:dyDescent="0.25">
      <c r="A213" s="322" t="s">
        <v>584</v>
      </c>
      <c r="B213" s="93" t="str">
        <f t="shared" si="66"/>
        <v>NO</v>
      </c>
      <c r="C213" s="93" t="s">
        <v>5503</v>
      </c>
      <c r="D213" s="4">
        <v>39008</v>
      </c>
      <c r="E213" s="2">
        <v>39052</v>
      </c>
      <c r="F213" s="2">
        <f t="shared" si="67"/>
        <v>42705</v>
      </c>
      <c r="G213" s="6">
        <v>1417.94</v>
      </c>
      <c r="H213" s="7" t="s">
        <v>582</v>
      </c>
      <c r="I213" s="7" t="s">
        <v>15</v>
      </c>
      <c r="J213" s="105" t="s">
        <v>5268</v>
      </c>
      <c r="K213" s="266">
        <f t="shared" si="68"/>
        <v>2016</v>
      </c>
      <c r="L213" s="381"/>
      <c r="M213" s="381"/>
      <c r="N213" s="32" t="s">
        <v>542</v>
      </c>
      <c r="O213" s="32" t="s">
        <v>586</v>
      </c>
      <c r="P213" s="278"/>
      <c r="Q213" s="233" t="s">
        <v>585</v>
      </c>
      <c r="R213" s="75">
        <v>5093</v>
      </c>
      <c r="S213" s="75">
        <v>5672</v>
      </c>
      <c r="T213" s="75">
        <v>10765</v>
      </c>
      <c r="U213" s="200">
        <v>2836</v>
      </c>
      <c r="V213" s="287">
        <f t="shared" ca="1" si="69"/>
        <v>10</v>
      </c>
      <c r="W213" s="75">
        <f t="shared" ca="1" si="70"/>
        <v>24815</v>
      </c>
      <c r="X213" s="200">
        <f t="shared" ca="1" si="71"/>
        <v>33453</v>
      </c>
      <c r="Y213" s="1">
        <v>0.5</v>
      </c>
      <c r="Z213" s="1"/>
      <c r="AA213" s="219"/>
      <c r="AB213" s="302" t="s">
        <v>6425</v>
      </c>
      <c r="AC213" s="302"/>
      <c r="AD213" s="302"/>
      <c r="AE213" s="302"/>
      <c r="AF213">
        <f t="shared" si="65"/>
        <v>0</v>
      </c>
    </row>
    <row r="214" spans="1:32" ht="26.25" hidden="1" x14ac:dyDescent="0.25">
      <c r="A214" s="322" t="s">
        <v>587</v>
      </c>
      <c r="B214" s="93" t="str">
        <f t="shared" si="66"/>
        <v>NO</v>
      </c>
      <c r="C214" s="93" t="s">
        <v>5503</v>
      </c>
      <c r="D214" s="4">
        <v>39008</v>
      </c>
      <c r="E214" s="2">
        <v>39052</v>
      </c>
      <c r="F214" s="2">
        <f t="shared" si="67"/>
        <v>42705</v>
      </c>
      <c r="G214" s="6">
        <v>196.2</v>
      </c>
      <c r="H214" s="7" t="s">
        <v>582</v>
      </c>
      <c r="I214" s="7" t="s">
        <v>15</v>
      </c>
      <c r="J214" s="105" t="s">
        <v>5268</v>
      </c>
      <c r="K214" s="266">
        <f t="shared" si="68"/>
        <v>2016</v>
      </c>
      <c r="L214" s="381"/>
      <c r="M214" s="381"/>
      <c r="N214" s="32" t="s">
        <v>589</v>
      </c>
      <c r="O214" s="32" t="s">
        <v>590</v>
      </c>
      <c r="P214" s="278"/>
      <c r="Q214" s="233" t="s">
        <v>588</v>
      </c>
      <c r="R214" s="75">
        <v>819.5</v>
      </c>
      <c r="S214" s="75">
        <v>2758</v>
      </c>
      <c r="T214" s="75">
        <v>3577.5</v>
      </c>
      <c r="U214" s="200">
        <v>394</v>
      </c>
      <c r="V214" s="287">
        <f t="shared" ca="1" si="69"/>
        <v>10</v>
      </c>
      <c r="W214" s="75">
        <f t="shared" ca="1" si="70"/>
        <v>3447.5</v>
      </c>
      <c r="X214" s="200">
        <f t="shared" ca="1" si="71"/>
        <v>6729.5</v>
      </c>
      <c r="Y214" s="1">
        <v>0.5</v>
      </c>
      <c r="Z214" s="1"/>
      <c r="AA214" s="219"/>
      <c r="AB214" s="302" t="s">
        <v>6426</v>
      </c>
      <c r="AC214" s="302"/>
      <c r="AD214" s="302"/>
      <c r="AE214" s="302"/>
      <c r="AF214">
        <f t="shared" si="65"/>
        <v>0</v>
      </c>
    </row>
    <row r="215" spans="1:32" ht="25.5" hidden="1" x14ac:dyDescent="0.25">
      <c r="A215" s="322" t="s">
        <v>591</v>
      </c>
      <c r="B215" s="93" t="str">
        <f t="shared" si="66"/>
        <v>NO</v>
      </c>
      <c r="C215" s="93" t="s">
        <v>5503</v>
      </c>
      <c r="D215" s="4">
        <v>39008</v>
      </c>
      <c r="E215" s="2">
        <v>39052</v>
      </c>
      <c r="F215" s="2">
        <f t="shared" si="67"/>
        <v>42705</v>
      </c>
      <c r="G215" s="6">
        <v>2315.89</v>
      </c>
      <c r="H215" s="7" t="s">
        <v>582</v>
      </c>
      <c r="I215" s="7" t="s">
        <v>15</v>
      </c>
      <c r="J215" s="105" t="s">
        <v>5268</v>
      </c>
      <c r="K215" s="266">
        <f t="shared" si="68"/>
        <v>2016</v>
      </c>
      <c r="L215" s="381"/>
      <c r="M215" s="381"/>
      <c r="N215" s="32" t="s">
        <v>542</v>
      </c>
      <c r="O215" s="32" t="s">
        <v>593</v>
      </c>
      <c r="P215" s="278" t="s">
        <v>594</v>
      </c>
      <c r="Q215" s="233" t="s">
        <v>592</v>
      </c>
      <c r="R215" s="75">
        <v>8236</v>
      </c>
      <c r="S215" s="75">
        <v>55584</v>
      </c>
      <c r="T215" s="75">
        <v>63820</v>
      </c>
      <c r="U215" s="200">
        <v>4632</v>
      </c>
      <c r="V215" s="287">
        <f t="shared" ca="1" si="69"/>
        <v>10</v>
      </c>
      <c r="W215" s="75">
        <f t="shared" ca="1" si="70"/>
        <v>40530</v>
      </c>
      <c r="X215" s="200">
        <f t="shared" ca="1" si="71"/>
        <v>100876</v>
      </c>
      <c r="Y215" s="1">
        <v>0.5</v>
      </c>
      <c r="Z215" s="1"/>
      <c r="AA215" s="219"/>
      <c r="AB215" s="302" t="s">
        <v>6427</v>
      </c>
      <c r="AC215" s="302"/>
      <c r="AD215" s="302"/>
      <c r="AE215" s="302"/>
      <c r="AF215">
        <f t="shared" si="65"/>
        <v>0</v>
      </c>
    </row>
    <row r="216" spans="1:32" ht="25.5" hidden="1" x14ac:dyDescent="0.25">
      <c r="A216" s="322" t="s">
        <v>595</v>
      </c>
      <c r="B216" s="93" t="str">
        <f t="shared" si="66"/>
        <v>NO</v>
      </c>
      <c r="C216" s="93" t="s">
        <v>5503</v>
      </c>
      <c r="D216" s="4">
        <v>39008</v>
      </c>
      <c r="E216" s="2">
        <v>39052</v>
      </c>
      <c r="F216" s="2">
        <f t="shared" si="67"/>
        <v>42705</v>
      </c>
      <c r="G216" s="6">
        <v>1777.19</v>
      </c>
      <c r="H216" s="7" t="s">
        <v>582</v>
      </c>
      <c r="I216" s="7" t="s">
        <v>15</v>
      </c>
      <c r="J216" s="105" t="s">
        <v>5268</v>
      </c>
      <c r="K216" s="266">
        <f t="shared" si="68"/>
        <v>2016</v>
      </c>
      <c r="L216" s="381"/>
      <c r="M216" s="381"/>
      <c r="N216" s="32" t="s">
        <v>542</v>
      </c>
      <c r="O216" s="32" t="s">
        <v>597</v>
      </c>
      <c r="P216" s="278" t="s">
        <v>598</v>
      </c>
      <c r="Q216" s="233" t="s">
        <v>596</v>
      </c>
      <c r="R216" s="75">
        <v>6353</v>
      </c>
      <c r="S216" s="75">
        <v>7112</v>
      </c>
      <c r="T216" s="75">
        <v>13465</v>
      </c>
      <c r="U216" s="200">
        <v>3556</v>
      </c>
      <c r="V216" s="287">
        <f t="shared" ca="1" si="69"/>
        <v>10</v>
      </c>
      <c r="W216" s="75">
        <f t="shared" ca="1" si="70"/>
        <v>31115</v>
      </c>
      <c r="X216" s="200">
        <f t="shared" ca="1" si="71"/>
        <v>41913</v>
      </c>
      <c r="Y216" s="1">
        <v>0.5</v>
      </c>
      <c r="Z216" s="1"/>
      <c r="AA216" s="219"/>
      <c r="AB216" s="302" t="s">
        <v>6428</v>
      </c>
      <c r="AC216" s="302"/>
      <c r="AD216" s="302"/>
      <c r="AE216" s="302"/>
      <c r="AF216">
        <f t="shared" si="65"/>
        <v>0</v>
      </c>
    </row>
    <row r="217" spans="1:32" hidden="1" x14ac:dyDescent="0.25">
      <c r="A217" s="322" t="s">
        <v>599</v>
      </c>
      <c r="B217" s="93" t="str">
        <f t="shared" si="66"/>
        <v>NO</v>
      </c>
      <c r="C217" s="93" t="s">
        <v>5503</v>
      </c>
      <c r="D217" s="4">
        <v>39008</v>
      </c>
      <c r="E217" s="2">
        <v>39052</v>
      </c>
      <c r="F217" s="2">
        <f t="shared" si="67"/>
        <v>42705</v>
      </c>
      <c r="G217" s="6">
        <v>249.5</v>
      </c>
      <c r="H217" s="7" t="s">
        <v>229</v>
      </c>
      <c r="I217" s="7" t="s">
        <v>15</v>
      </c>
      <c r="J217" s="105" t="s">
        <v>5268</v>
      </c>
      <c r="K217" s="266">
        <f t="shared" si="68"/>
        <v>2016</v>
      </c>
      <c r="L217" s="381"/>
      <c r="M217" s="381"/>
      <c r="N217" s="32" t="s">
        <v>542</v>
      </c>
      <c r="O217" s="32" t="s">
        <v>601</v>
      </c>
      <c r="P217" s="278" t="s">
        <v>602</v>
      </c>
      <c r="Q217" s="233" t="s">
        <v>600</v>
      </c>
      <c r="R217" s="75">
        <v>1005</v>
      </c>
      <c r="S217" s="75">
        <v>3500</v>
      </c>
      <c r="T217" s="75">
        <v>4505</v>
      </c>
      <c r="U217" s="200">
        <v>500</v>
      </c>
      <c r="V217" s="287">
        <f t="shared" ca="1" si="69"/>
        <v>10</v>
      </c>
      <c r="W217" s="75">
        <f t="shared" ca="1" si="70"/>
        <v>4375</v>
      </c>
      <c r="X217" s="200">
        <f t="shared" ca="1" si="71"/>
        <v>8505</v>
      </c>
      <c r="Y217" s="1">
        <v>0.5</v>
      </c>
      <c r="Z217" s="1"/>
      <c r="AA217" s="219"/>
      <c r="AB217" s="302" t="s">
        <v>6429</v>
      </c>
      <c r="AC217" s="302"/>
      <c r="AD217" s="302"/>
      <c r="AE217" s="302"/>
      <c r="AF217">
        <f t="shared" si="65"/>
        <v>0</v>
      </c>
    </row>
    <row r="218" spans="1:32" hidden="1" x14ac:dyDescent="0.25">
      <c r="A218" s="322" t="s">
        <v>603</v>
      </c>
      <c r="B218" s="93" t="str">
        <f t="shared" si="66"/>
        <v>NO</v>
      </c>
      <c r="C218" s="93" t="s">
        <v>5503</v>
      </c>
      <c r="D218" s="4">
        <v>39008</v>
      </c>
      <c r="E218" s="2">
        <v>39052</v>
      </c>
      <c r="F218" s="2">
        <f t="shared" si="67"/>
        <v>42705</v>
      </c>
      <c r="G218" s="6">
        <v>261</v>
      </c>
      <c r="H218" s="7" t="s">
        <v>229</v>
      </c>
      <c r="I218" s="7" t="s">
        <v>15</v>
      </c>
      <c r="J218" s="105" t="s">
        <v>5268</v>
      </c>
      <c r="K218" s="266">
        <f t="shared" si="68"/>
        <v>2016</v>
      </c>
      <c r="L218" s="381"/>
      <c r="M218" s="381"/>
      <c r="N218" s="32" t="s">
        <v>542</v>
      </c>
      <c r="O218" s="32" t="s">
        <v>605</v>
      </c>
      <c r="P218" s="278" t="s">
        <v>606</v>
      </c>
      <c r="Q218" s="233" t="s">
        <v>604</v>
      </c>
      <c r="R218" s="75">
        <v>1043.5</v>
      </c>
      <c r="S218" s="75">
        <v>3654</v>
      </c>
      <c r="T218" s="75">
        <v>4697.5</v>
      </c>
      <c r="U218" s="200">
        <v>522</v>
      </c>
      <c r="V218" s="287">
        <f t="shared" ca="1" si="69"/>
        <v>10</v>
      </c>
      <c r="W218" s="75">
        <f t="shared" ca="1" si="70"/>
        <v>4567.5</v>
      </c>
      <c r="X218" s="200">
        <f t="shared" ca="1" si="71"/>
        <v>8873.5</v>
      </c>
      <c r="Y218" s="1">
        <v>0.5</v>
      </c>
      <c r="Z218" s="1"/>
      <c r="AA218" s="219"/>
      <c r="AB218" s="302" t="s">
        <v>6430</v>
      </c>
      <c r="AC218" s="302"/>
      <c r="AD218" s="302"/>
      <c r="AE218" s="302"/>
      <c r="AF218">
        <f t="shared" si="65"/>
        <v>0</v>
      </c>
    </row>
    <row r="219" spans="1:32" hidden="1" x14ac:dyDescent="0.25">
      <c r="A219" s="322" t="s">
        <v>607</v>
      </c>
      <c r="B219" s="93" t="str">
        <f t="shared" si="66"/>
        <v>NO</v>
      </c>
      <c r="C219" s="93" t="s">
        <v>5503</v>
      </c>
      <c r="D219" s="4">
        <v>39008</v>
      </c>
      <c r="E219" s="2">
        <v>39052</v>
      </c>
      <c r="F219" s="2">
        <f t="shared" si="67"/>
        <v>42705</v>
      </c>
      <c r="G219" s="6">
        <v>115.126</v>
      </c>
      <c r="H219" s="7" t="s">
        <v>609</v>
      </c>
      <c r="I219" s="7" t="s">
        <v>15</v>
      </c>
      <c r="J219" s="105" t="s">
        <v>5268</v>
      </c>
      <c r="K219" s="266">
        <f t="shared" si="68"/>
        <v>2016</v>
      </c>
      <c r="L219" s="381"/>
      <c r="M219" s="381"/>
      <c r="N219" s="32" t="s">
        <v>610</v>
      </c>
      <c r="O219" s="32" t="s">
        <v>611</v>
      </c>
      <c r="P219" s="278" t="s">
        <v>606</v>
      </c>
      <c r="Q219" s="233" t="s">
        <v>608</v>
      </c>
      <c r="R219" s="75">
        <v>536</v>
      </c>
      <c r="S219" s="75">
        <v>11368</v>
      </c>
      <c r="T219" s="75">
        <v>11904</v>
      </c>
      <c r="U219" s="200">
        <v>232</v>
      </c>
      <c r="V219" s="287">
        <f t="shared" ca="1" si="69"/>
        <v>10</v>
      </c>
      <c r="W219" s="75">
        <f t="shared" ca="1" si="70"/>
        <v>2030</v>
      </c>
      <c r="X219" s="200">
        <f t="shared" ca="1" si="71"/>
        <v>13760</v>
      </c>
      <c r="Y219" s="1">
        <v>0.5</v>
      </c>
      <c r="Z219" s="1"/>
      <c r="AA219" s="219"/>
      <c r="AB219" s="302" t="s">
        <v>6431</v>
      </c>
      <c r="AC219" s="302"/>
      <c r="AD219" s="302"/>
      <c r="AE219" s="302"/>
      <c r="AF219">
        <f t="shared" si="65"/>
        <v>0</v>
      </c>
    </row>
    <row r="220" spans="1:32" hidden="1" x14ac:dyDescent="0.25">
      <c r="A220" s="322" t="s">
        <v>612</v>
      </c>
      <c r="B220" s="93" t="str">
        <f t="shared" si="66"/>
        <v>NO</v>
      </c>
      <c r="C220" s="93" t="s">
        <v>5503</v>
      </c>
      <c r="D220" s="4">
        <v>39008</v>
      </c>
      <c r="E220" s="2">
        <v>39052</v>
      </c>
      <c r="F220" s="2">
        <f t="shared" si="67"/>
        <v>42705</v>
      </c>
      <c r="G220" s="6">
        <v>177.292</v>
      </c>
      <c r="H220" s="7" t="s">
        <v>609</v>
      </c>
      <c r="I220" s="7" t="s">
        <v>15</v>
      </c>
      <c r="J220" s="105" t="s">
        <v>5268</v>
      </c>
      <c r="K220" s="266">
        <f t="shared" si="68"/>
        <v>2016</v>
      </c>
      <c r="L220" s="381"/>
      <c r="M220" s="381"/>
      <c r="N220" s="32" t="s">
        <v>610</v>
      </c>
      <c r="O220" s="32" t="s">
        <v>614</v>
      </c>
      <c r="P220" s="278" t="s">
        <v>615</v>
      </c>
      <c r="Q220" s="233" t="s">
        <v>613</v>
      </c>
      <c r="R220" s="75">
        <v>753</v>
      </c>
      <c r="S220" s="75">
        <v>17444</v>
      </c>
      <c r="T220" s="75">
        <v>18197</v>
      </c>
      <c r="U220" s="200">
        <v>356</v>
      </c>
      <c r="V220" s="287">
        <f t="shared" ca="1" si="69"/>
        <v>10</v>
      </c>
      <c r="W220" s="75">
        <f t="shared" ca="1" si="70"/>
        <v>3115</v>
      </c>
      <c r="X220" s="200">
        <f t="shared" ca="1" si="71"/>
        <v>21045</v>
      </c>
      <c r="Y220" s="1">
        <v>0.5</v>
      </c>
      <c r="Z220" s="1"/>
      <c r="AA220" s="219"/>
      <c r="AB220" s="302" t="s">
        <v>6432</v>
      </c>
      <c r="AC220" s="302"/>
      <c r="AD220" s="302"/>
      <c r="AE220" s="302"/>
      <c r="AF220">
        <f t="shared" si="65"/>
        <v>0</v>
      </c>
    </row>
    <row r="221" spans="1:32" hidden="1" x14ac:dyDescent="0.25">
      <c r="A221" s="323"/>
      <c r="D221" s="4"/>
      <c r="E221" s="2"/>
      <c r="F221" s="2"/>
      <c r="G221" s="6"/>
      <c r="H221" s="7"/>
      <c r="I221" s="7"/>
      <c r="J221" s="186"/>
      <c r="K221" s="186"/>
      <c r="L221" s="386"/>
      <c r="M221" s="386"/>
      <c r="N221" s="32"/>
      <c r="O221" s="32"/>
      <c r="P221" s="278"/>
      <c r="Q221" s="233" t="s">
        <v>616</v>
      </c>
      <c r="R221" s="75">
        <v>84689.5</v>
      </c>
      <c r="S221" s="75">
        <v>141532</v>
      </c>
      <c r="T221" s="75">
        <v>226221.5</v>
      </c>
      <c r="U221" s="200"/>
      <c r="V221" s="75"/>
      <c r="W221" s="75"/>
      <c r="X221" s="200"/>
      <c r="Y221" s="1"/>
      <c r="Z221" s="1"/>
      <c r="AA221" s="219"/>
      <c r="AB221" s="302"/>
      <c r="AC221" s="302"/>
      <c r="AD221" s="302"/>
      <c r="AE221" s="302"/>
      <c r="AF221">
        <f t="shared" si="65"/>
        <v>0</v>
      </c>
    </row>
    <row r="222" spans="1:32" hidden="1" x14ac:dyDescent="0.25">
      <c r="A222" s="323"/>
      <c r="D222" s="4"/>
      <c r="E222" s="2"/>
      <c r="F222" s="2"/>
      <c r="G222" s="6"/>
      <c r="H222" s="7"/>
      <c r="I222" s="7"/>
      <c r="J222" s="186"/>
      <c r="K222" s="186"/>
      <c r="L222" s="386"/>
      <c r="M222" s="386"/>
      <c r="N222" s="32"/>
      <c r="O222" s="32"/>
      <c r="P222" s="278"/>
      <c r="Q222" s="233"/>
      <c r="R222" s="75"/>
      <c r="S222" s="75"/>
      <c r="T222" s="75"/>
      <c r="U222" s="200"/>
      <c r="V222" s="75"/>
      <c r="W222" s="75"/>
      <c r="X222" s="200"/>
      <c r="Y222" s="1"/>
      <c r="Z222" s="1"/>
      <c r="AA222" s="219"/>
      <c r="AB222" s="302"/>
      <c r="AC222" s="302"/>
      <c r="AD222" s="302"/>
      <c r="AE222" s="302"/>
      <c r="AF222">
        <f t="shared" si="65"/>
        <v>0</v>
      </c>
    </row>
    <row r="223" spans="1:32" hidden="1" x14ac:dyDescent="0.25">
      <c r="A223" s="322" t="s">
        <v>617</v>
      </c>
      <c r="B223" s="93" t="str">
        <f t="shared" ref="B223:B254" si="72">IF(COUNTIF(GIS,A225),"YES","NO")</f>
        <v>NO</v>
      </c>
      <c r="C223" s="93" t="s">
        <v>5503</v>
      </c>
      <c r="D223" s="4">
        <v>39071</v>
      </c>
      <c r="E223" s="2">
        <v>39142</v>
      </c>
      <c r="F223" s="2">
        <f t="shared" si="67"/>
        <v>42795</v>
      </c>
      <c r="G223" s="6">
        <v>200.84</v>
      </c>
      <c r="H223" s="7" t="s">
        <v>287</v>
      </c>
      <c r="I223" s="7" t="s">
        <v>72</v>
      </c>
      <c r="J223" s="186"/>
      <c r="K223" s="266">
        <f t="shared" ref="K223:K254" si="73">YEAR(F223)</f>
        <v>2017</v>
      </c>
      <c r="L223" s="386"/>
      <c r="M223" s="386"/>
      <c r="N223" s="32" t="s">
        <v>619</v>
      </c>
      <c r="O223" s="32" t="s">
        <v>620</v>
      </c>
      <c r="P223" s="278" t="s">
        <v>621</v>
      </c>
      <c r="Q223" s="233" t="s">
        <v>618</v>
      </c>
      <c r="R223" s="75">
        <v>833.5</v>
      </c>
      <c r="S223" s="75">
        <v>603</v>
      </c>
      <c r="T223" s="75">
        <v>1436.5</v>
      </c>
      <c r="U223" s="200">
        <v>402</v>
      </c>
      <c r="V223" s="287">
        <f t="shared" ref="V223:V254" ca="1" si="74">IF(YEAR($W$3)-YEAR(E223)&gt;9,10,IF(MONTH($W$3)&lt;MONTH(E223),YEAR($W$3)-YEAR(E223),YEAR($W$3)-YEAR(E223)+1))</f>
        <v>10</v>
      </c>
      <c r="W223" s="75">
        <f t="shared" ref="W223:W254" ca="1" si="75">IF(V223&lt;6, ROUNDUP(G223,0)*$W$6*V223, ROUNDUP(G223,0)*($W$6*5 + (V223-5)*$W$7))</f>
        <v>3517.5</v>
      </c>
      <c r="X223" s="200">
        <f t="shared" ref="X223:X286" ca="1" si="76">IF(V223=0,T223,((T223-ROUNDUP(G223,0)*1.5)+W223))</f>
        <v>4652.5</v>
      </c>
      <c r="Y223" s="1">
        <v>0.5</v>
      </c>
      <c r="Z223" s="1"/>
      <c r="AA223" s="219"/>
      <c r="AB223" s="302"/>
      <c r="AC223" s="302"/>
      <c r="AD223" s="302"/>
      <c r="AE223" s="302"/>
      <c r="AF223">
        <f t="shared" si="65"/>
        <v>0</v>
      </c>
    </row>
    <row r="224" spans="1:32" hidden="1" x14ac:dyDescent="0.25">
      <c r="A224" s="322" t="s">
        <v>622</v>
      </c>
      <c r="B224" s="93" t="str">
        <f t="shared" si="72"/>
        <v>NO</v>
      </c>
      <c r="C224" s="93" t="s">
        <v>5503</v>
      </c>
      <c r="D224" s="4">
        <v>39071</v>
      </c>
      <c r="E224" s="2">
        <v>39142</v>
      </c>
      <c r="F224" s="2">
        <f t="shared" si="67"/>
        <v>42795</v>
      </c>
      <c r="G224" s="6">
        <v>71.36</v>
      </c>
      <c r="H224" s="7" t="s">
        <v>287</v>
      </c>
      <c r="I224" s="7" t="s">
        <v>72</v>
      </c>
      <c r="J224" s="186"/>
      <c r="K224" s="266">
        <f t="shared" si="73"/>
        <v>2017</v>
      </c>
      <c r="L224" s="386"/>
      <c r="M224" s="386"/>
      <c r="N224" s="32" t="s">
        <v>619</v>
      </c>
      <c r="O224" s="32" t="s">
        <v>620</v>
      </c>
      <c r="P224" s="278" t="s">
        <v>623</v>
      </c>
      <c r="Q224" s="233" t="s">
        <v>618</v>
      </c>
      <c r="R224" s="75">
        <v>382</v>
      </c>
      <c r="S224" s="75">
        <v>288</v>
      </c>
      <c r="T224" s="75">
        <v>670</v>
      </c>
      <c r="U224" s="200">
        <v>144</v>
      </c>
      <c r="V224" s="287">
        <f t="shared" ca="1" si="74"/>
        <v>10</v>
      </c>
      <c r="W224" s="75">
        <f t="shared" ca="1" si="75"/>
        <v>1260</v>
      </c>
      <c r="X224" s="200">
        <f t="shared" ca="1" si="76"/>
        <v>1822</v>
      </c>
      <c r="Y224" s="1">
        <v>0.5</v>
      </c>
      <c r="Z224" s="1"/>
      <c r="AA224" s="219"/>
      <c r="AB224" s="302"/>
      <c r="AC224" s="302"/>
      <c r="AD224" s="302"/>
      <c r="AE224" s="302"/>
      <c r="AF224">
        <f t="shared" si="65"/>
        <v>0</v>
      </c>
    </row>
    <row r="225" spans="1:32" ht="39" hidden="1" x14ac:dyDescent="0.25">
      <c r="A225" s="322" t="s">
        <v>624</v>
      </c>
      <c r="B225" s="93" t="str">
        <f t="shared" si="72"/>
        <v>NO</v>
      </c>
      <c r="C225" s="93" t="s">
        <v>5503</v>
      </c>
      <c r="D225" s="4">
        <v>39071</v>
      </c>
      <c r="E225" s="2">
        <v>39142</v>
      </c>
      <c r="F225" s="2">
        <f t="shared" si="67"/>
        <v>42795</v>
      </c>
      <c r="G225" s="6">
        <v>253.67</v>
      </c>
      <c r="H225" s="7" t="s">
        <v>287</v>
      </c>
      <c r="I225" s="7" t="s">
        <v>72</v>
      </c>
      <c r="J225" s="105" t="s">
        <v>4807</v>
      </c>
      <c r="K225" s="266">
        <f t="shared" si="73"/>
        <v>2017</v>
      </c>
      <c r="L225" s="383"/>
      <c r="M225" s="383"/>
      <c r="N225" s="32" t="s">
        <v>619</v>
      </c>
      <c r="O225" s="32" t="s">
        <v>620</v>
      </c>
      <c r="P225" s="278" t="s">
        <v>626</v>
      </c>
      <c r="Q225" s="233" t="s">
        <v>625</v>
      </c>
      <c r="R225" s="75">
        <v>1019</v>
      </c>
      <c r="S225" s="75">
        <v>1016</v>
      </c>
      <c r="T225" s="75">
        <v>2035</v>
      </c>
      <c r="U225" s="200">
        <v>381</v>
      </c>
      <c r="V225" s="287">
        <f t="shared" ca="1" si="74"/>
        <v>10</v>
      </c>
      <c r="W225" s="75">
        <f t="shared" ca="1" si="75"/>
        <v>4445</v>
      </c>
      <c r="X225" s="200">
        <f t="shared" ca="1" si="76"/>
        <v>6099</v>
      </c>
      <c r="Y225" s="1">
        <v>0.5</v>
      </c>
      <c r="Z225" s="1"/>
      <c r="AA225" s="219"/>
      <c r="AB225" s="302"/>
      <c r="AC225" s="302"/>
      <c r="AD225" s="302"/>
      <c r="AE225" s="302"/>
      <c r="AF225">
        <f t="shared" si="65"/>
        <v>0</v>
      </c>
    </row>
    <row r="226" spans="1:32" ht="26.25" hidden="1" x14ac:dyDescent="0.25">
      <c r="A226" s="322" t="s">
        <v>627</v>
      </c>
      <c r="B226" s="93" t="str">
        <f t="shared" si="72"/>
        <v>NO</v>
      </c>
      <c r="C226" s="93" t="s">
        <v>5503</v>
      </c>
      <c r="D226" s="4">
        <v>39071</v>
      </c>
      <c r="E226" s="2">
        <v>39142</v>
      </c>
      <c r="F226" s="2">
        <f t="shared" si="67"/>
        <v>42795</v>
      </c>
      <c r="G226" s="6">
        <v>316.8</v>
      </c>
      <c r="H226" s="7" t="s">
        <v>287</v>
      </c>
      <c r="I226" s="7" t="s">
        <v>72</v>
      </c>
      <c r="J226" s="186"/>
      <c r="K226" s="266">
        <f t="shared" si="73"/>
        <v>2017</v>
      </c>
      <c r="L226" s="386"/>
      <c r="M226" s="386"/>
      <c r="N226" s="32" t="s">
        <v>619</v>
      </c>
      <c r="O226" s="32" t="s">
        <v>620</v>
      </c>
      <c r="P226" s="278" t="s">
        <v>629</v>
      </c>
      <c r="Q226" s="233" t="s">
        <v>628</v>
      </c>
      <c r="R226" s="75">
        <v>1239.5</v>
      </c>
      <c r="S226" s="75">
        <v>1268</v>
      </c>
      <c r="T226" s="75">
        <v>2507.5</v>
      </c>
      <c r="U226" s="200">
        <v>634</v>
      </c>
      <c r="V226" s="287">
        <f t="shared" ca="1" si="74"/>
        <v>10</v>
      </c>
      <c r="W226" s="75">
        <f t="shared" ca="1" si="75"/>
        <v>5547.5</v>
      </c>
      <c r="X226" s="200">
        <f t="shared" ca="1" si="76"/>
        <v>7579.5</v>
      </c>
      <c r="Y226" s="1">
        <v>0.5</v>
      </c>
      <c r="Z226" s="1"/>
      <c r="AA226" s="219"/>
      <c r="AB226" s="302"/>
      <c r="AC226" s="302"/>
      <c r="AD226" s="302"/>
      <c r="AE226" s="302"/>
      <c r="AF226">
        <f t="shared" si="65"/>
        <v>0</v>
      </c>
    </row>
    <row r="227" spans="1:32" ht="26.25" hidden="1" x14ac:dyDescent="0.25">
      <c r="A227" s="325" t="s">
        <v>630</v>
      </c>
      <c r="B227" s="93" t="str">
        <f t="shared" si="72"/>
        <v>NO</v>
      </c>
      <c r="C227" s="93" t="s">
        <v>5503</v>
      </c>
      <c r="D227" s="4">
        <v>39065</v>
      </c>
      <c r="E227" s="2">
        <v>39142</v>
      </c>
      <c r="F227" s="2">
        <f t="shared" si="67"/>
        <v>42795</v>
      </c>
      <c r="G227" s="6">
        <v>205.01</v>
      </c>
      <c r="H227" s="7" t="s">
        <v>632</v>
      </c>
      <c r="I227" s="7" t="s">
        <v>72</v>
      </c>
      <c r="J227" s="186"/>
      <c r="K227" s="266">
        <f t="shared" si="73"/>
        <v>2017</v>
      </c>
      <c r="L227" s="386"/>
      <c r="M227" s="386"/>
      <c r="N227" s="32" t="s">
        <v>633</v>
      </c>
      <c r="O227" s="32" t="s">
        <v>634</v>
      </c>
      <c r="P227" s="278" t="s">
        <v>635</v>
      </c>
      <c r="Q227" s="233" t="s">
        <v>631</v>
      </c>
      <c r="R227" s="75">
        <v>851</v>
      </c>
      <c r="S227" s="75">
        <v>1442</v>
      </c>
      <c r="T227" s="75">
        <v>2293</v>
      </c>
      <c r="U227" s="200">
        <v>412</v>
      </c>
      <c r="V227" s="287">
        <f t="shared" ca="1" si="74"/>
        <v>10</v>
      </c>
      <c r="W227" s="75">
        <f t="shared" ca="1" si="75"/>
        <v>3605</v>
      </c>
      <c r="X227" s="200">
        <f t="shared" ca="1" si="76"/>
        <v>5589</v>
      </c>
      <c r="Y227" s="1">
        <v>0.5</v>
      </c>
      <c r="Z227" s="1"/>
      <c r="AA227" s="219"/>
      <c r="AB227" s="302"/>
      <c r="AC227" s="302"/>
      <c r="AD227" s="302"/>
      <c r="AE227" s="302"/>
      <c r="AF227">
        <f t="shared" si="65"/>
        <v>0</v>
      </c>
    </row>
    <row r="228" spans="1:32" ht="39" hidden="1" x14ac:dyDescent="0.25">
      <c r="A228" s="322" t="s">
        <v>636</v>
      </c>
      <c r="B228" s="93" t="str">
        <f t="shared" si="72"/>
        <v>NO</v>
      </c>
      <c r="C228" s="93" t="s">
        <v>5503</v>
      </c>
      <c r="D228" s="4">
        <v>39065</v>
      </c>
      <c r="E228" s="2">
        <v>39142</v>
      </c>
      <c r="F228" s="2">
        <f t="shared" si="67"/>
        <v>42795</v>
      </c>
      <c r="G228" s="6">
        <v>279.95</v>
      </c>
      <c r="H228" s="7" t="s">
        <v>632</v>
      </c>
      <c r="I228" s="7" t="s">
        <v>72</v>
      </c>
      <c r="J228" s="186"/>
      <c r="K228" s="266">
        <f t="shared" si="73"/>
        <v>2017</v>
      </c>
      <c r="L228" s="386"/>
      <c r="M228" s="386"/>
      <c r="N228" s="32" t="s">
        <v>633</v>
      </c>
      <c r="O228" s="32" t="s">
        <v>634</v>
      </c>
      <c r="P228" s="278" t="s">
        <v>638</v>
      </c>
      <c r="Q228" s="233" t="s">
        <v>637</v>
      </c>
      <c r="R228" s="75">
        <v>1110</v>
      </c>
      <c r="S228" s="75">
        <v>2240</v>
      </c>
      <c r="T228" s="75">
        <v>3350</v>
      </c>
      <c r="U228" s="200">
        <v>560</v>
      </c>
      <c r="V228" s="287">
        <f t="shared" ca="1" si="74"/>
        <v>10</v>
      </c>
      <c r="W228" s="75">
        <f t="shared" ca="1" si="75"/>
        <v>4900</v>
      </c>
      <c r="X228" s="200">
        <f t="shared" ca="1" si="76"/>
        <v>7830</v>
      </c>
      <c r="Y228" s="1">
        <v>0.5</v>
      </c>
      <c r="Z228" s="1"/>
      <c r="AA228" s="219"/>
      <c r="AB228" s="302"/>
      <c r="AC228" s="302"/>
      <c r="AD228" s="302"/>
      <c r="AE228" s="302"/>
      <c r="AF228">
        <f t="shared" si="65"/>
        <v>0</v>
      </c>
    </row>
    <row r="229" spans="1:32" ht="25.5" hidden="1" x14ac:dyDescent="0.25">
      <c r="A229" s="322" t="s">
        <v>639</v>
      </c>
      <c r="B229" s="93" t="str">
        <f t="shared" si="72"/>
        <v>NO</v>
      </c>
      <c r="C229" s="93" t="s">
        <v>5503</v>
      </c>
      <c r="D229" s="4">
        <v>39065</v>
      </c>
      <c r="E229" s="2">
        <v>39142</v>
      </c>
      <c r="F229" s="2">
        <f t="shared" si="67"/>
        <v>42795</v>
      </c>
      <c r="G229" s="6">
        <v>616.38</v>
      </c>
      <c r="H229" s="7" t="s">
        <v>641</v>
      </c>
      <c r="I229" s="7" t="s">
        <v>72</v>
      </c>
      <c r="J229" s="186"/>
      <c r="K229" s="266">
        <f t="shared" si="73"/>
        <v>2017</v>
      </c>
      <c r="L229" s="386"/>
      <c r="M229" s="386"/>
      <c r="N229" s="32" t="s">
        <v>633</v>
      </c>
      <c r="O229" s="32" t="s">
        <v>642</v>
      </c>
      <c r="P229" s="278" t="s">
        <v>643</v>
      </c>
      <c r="Q229" s="233" t="s">
        <v>640</v>
      </c>
      <c r="R229" s="75">
        <v>2289.5</v>
      </c>
      <c r="S229" s="75">
        <v>6170</v>
      </c>
      <c r="T229" s="75">
        <v>8459.5</v>
      </c>
      <c r="U229" s="200">
        <v>1234</v>
      </c>
      <c r="V229" s="287">
        <f t="shared" ca="1" si="74"/>
        <v>10</v>
      </c>
      <c r="W229" s="75">
        <f t="shared" ca="1" si="75"/>
        <v>10797.5</v>
      </c>
      <c r="X229" s="200">
        <f t="shared" ca="1" si="76"/>
        <v>18331.5</v>
      </c>
      <c r="Y229" s="1">
        <v>0.5</v>
      </c>
      <c r="Z229" s="1"/>
      <c r="AA229" s="219"/>
      <c r="AB229" s="302" t="s">
        <v>6433</v>
      </c>
      <c r="AC229" s="302"/>
      <c r="AD229" s="302"/>
      <c r="AE229" s="302"/>
      <c r="AF229">
        <f t="shared" si="65"/>
        <v>0</v>
      </c>
    </row>
    <row r="230" spans="1:32" ht="69" hidden="1" customHeight="1" x14ac:dyDescent="0.25">
      <c r="A230" s="322" t="s">
        <v>644</v>
      </c>
      <c r="B230" s="93" t="str">
        <f t="shared" si="72"/>
        <v>NO</v>
      </c>
      <c r="C230" s="93" t="s">
        <v>5503</v>
      </c>
      <c r="D230" s="4">
        <v>39065</v>
      </c>
      <c r="E230" s="2">
        <v>39142</v>
      </c>
      <c r="F230" s="2">
        <f t="shared" si="67"/>
        <v>42795</v>
      </c>
      <c r="G230" s="6">
        <v>80</v>
      </c>
      <c r="H230" s="7" t="s">
        <v>453</v>
      </c>
      <c r="I230" s="7" t="s">
        <v>72</v>
      </c>
      <c r="J230" s="105" t="s">
        <v>4809</v>
      </c>
      <c r="K230" s="266">
        <f t="shared" si="73"/>
        <v>2017</v>
      </c>
      <c r="L230" s="383"/>
      <c r="M230" s="383"/>
      <c r="N230" s="32" t="s">
        <v>633</v>
      </c>
      <c r="O230" s="32" t="s">
        <v>646</v>
      </c>
      <c r="P230" s="278" t="s">
        <v>4808</v>
      </c>
      <c r="Q230" s="233" t="s">
        <v>645</v>
      </c>
      <c r="R230" s="75">
        <v>410</v>
      </c>
      <c r="S230" s="75">
        <v>480</v>
      </c>
      <c r="T230" s="75">
        <v>890</v>
      </c>
      <c r="U230" s="202"/>
      <c r="V230" s="287">
        <f t="shared" ca="1" si="74"/>
        <v>10</v>
      </c>
      <c r="W230" s="75">
        <f t="shared" ca="1" si="75"/>
        <v>1400</v>
      </c>
      <c r="X230" s="200">
        <f t="shared" ca="1" si="76"/>
        <v>2170</v>
      </c>
      <c r="Y230" s="1">
        <v>0.5</v>
      </c>
      <c r="Z230" s="1"/>
      <c r="AA230" s="219"/>
      <c r="AB230" s="302" t="s">
        <v>6352</v>
      </c>
      <c r="AC230" s="302"/>
      <c r="AD230" s="302"/>
      <c r="AE230" s="302"/>
      <c r="AF230">
        <f t="shared" si="65"/>
        <v>0</v>
      </c>
    </row>
    <row r="231" spans="1:32" ht="39" hidden="1" x14ac:dyDescent="0.25">
      <c r="A231" s="322" t="s">
        <v>647</v>
      </c>
      <c r="B231" s="93" t="str">
        <f t="shared" si="72"/>
        <v>NO</v>
      </c>
      <c r="C231" s="93" t="s">
        <v>5503</v>
      </c>
      <c r="D231" s="4">
        <v>39065</v>
      </c>
      <c r="E231" s="2">
        <v>39142</v>
      </c>
      <c r="F231" s="2">
        <f t="shared" si="67"/>
        <v>42795</v>
      </c>
      <c r="G231" s="6">
        <v>925.03</v>
      </c>
      <c r="H231" s="7" t="s">
        <v>632</v>
      </c>
      <c r="I231" s="7" t="s">
        <v>72</v>
      </c>
      <c r="J231" s="186"/>
      <c r="K231" s="266">
        <f t="shared" si="73"/>
        <v>2017</v>
      </c>
      <c r="L231" s="386"/>
      <c r="M231" s="386"/>
      <c r="N231" s="32" t="s">
        <v>633</v>
      </c>
      <c r="O231" s="32" t="s">
        <v>634</v>
      </c>
      <c r="P231" s="278" t="s">
        <v>649</v>
      </c>
      <c r="Q231" s="233" t="s">
        <v>648</v>
      </c>
      <c r="R231" s="75">
        <v>3371</v>
      </c>
      <c r="S231" s="75">
        <v>0</v>
      </c>
      <c r="T231" s="75">
        <v>3371</v>
      </c>
      <c r="U231" s="200">
        <v>1852</v>
      </c>
      <c r="V231" s="287">
        <f t="shared" ca="1" si="74"/>
        <v>10</v>
      </c>
      <c r="W231" s="75">
        <f t="shared" ca="1" si="75"/>
        <v>16205</v>
      </c>
      <c r="X231" s="200">
        <f t="shared" ca="1" si="76"/>
        <v>18187</v>
      </c>
      <c r="Y231" s="1">
        <v>0.5</v>
      </c>
      <c r="Z231" s="1"/>
      <c r="AA231" s="219"/>
      <c r="AB231" s="302"/>
      <c r="AC231" s="302"/>
      <c r="AD231" s="302"/>
      <c r="AE231" s="302"/>
      <c r="AF231">
        <f t="shared" si="65"/>
        <v>0</v>
      </c>
    </row>
    <row r="232" spans="1:32" hidden="1" x14ac:dyDescent="0.25">
      <c r="A232" s="322" t="s">
        <v>650</v>
      </c>
      <c r="B232" s="93" t="str">
        <f t="shared" si="72"/>
        <v>NO</v>
      </c>
      <c r="C232" s="93" t="s">
        <v>5503</v>
      </c>
      <c r="D232" s="4">
        <v>39065</v>
      </c>
      <c r="E232" s="2">
        <v>39142</v>
      </c>
      <c r="F232" s="2">
        <f t="shared" si="67"/>
        <v>42795</v>
      </c>
      <c r="G232" s="6">
        <v>728.37</v>
      </c>
      <c r="H232" s="7" t="s">
        <v>632</v>
      </c>
      <c r="I232" s="7" t="s">
        <v>72</v>
      </c>
      <c r="J232" s="186"/>
      <c r="K232" s="266">
        <f t="shared" si="73"/>
        <v>2017</v>
      </c>
      <c r="L232" s="386"/>
      <c r="M232" s="386"/>
      <c r="N232" s="32" t="s">
        <v>633</v>
      </c>
      <c r="O232" s="32" t="s">
        <v>634</v>
      </c>
      <c r="P232" s="278" t="s">
        <v>652</v>
      </c>
      <c r="Q232" s="233" t="s">
        <v>651</v>
      </c>
      <c r="R232" s="75">
        <v>2681.5</v>
      </c>
      <c r="S232" s="75">
        <v>0</v>
      </c>
      <c r="T232" s="75">
        <v>2681.5</v>
      </c>
      <c r="U232" s="200">
        <v>1458</v>
      </c>
      <c r="V232" s="287">
        <f t="shared" ca="1" si="74"/>
        <v>10</v>
      </c>
      <c r="W232" s="75">
        <f t="shared" ca="1" si="75"/>
        <v>12757.5</v>
      </c>
      <c r="X232" s="200">
        <f t="shared" ca="1" si="76"/>
        <v>14345.5</v>
      </c>
      <c r="Y232" s="1">
        <v>0.5</v>
      </c>
      <c r="Z232" s="1"/>
      <c r="AA232" s="219"/>
      <c r="AB232" s="302"/>
      <c r="AC232" s="302"/>
      <c r="AD232" s="302"/>
      <c r="AE232" s="302"/>
      <c r="AF232">
        <f t="shared" si="65"/>
        <v>0</v>
      </c>
    </row>
    <row r="233" spans="1:32" ht="39" hidden="1" x14ac:dyDescent="0.25">
      <c r="A233" s="322" t="s">
        <v>653</v>
      </c>
      <c r="B233" s="93" t="str">
        <f t="shared" si="72"/>
        <v>NO</v>
      </c>
      <c r="C233" s="93" t="s">
        <v>5503</v>
      </c>
      <c r="D233" s="4">
        <v>39065</v>
      </c>
      <c r="E233" s="2">
        <v>39142</v>
      </c>
      <c r="F233" s="2">
        <f t="shared" si="67"/>
        <v>42795</v>
      </c>
      <c r="G233" s="6">
        <v>176.79</v>
      </c>
      <c r="H233" s="7" t="s">
        <v>632</v>
      </c>
      <c r="I233" s="7" t="s">
        <v>72</v>
      </c>
      <c r="J233" s="186"/>
      <c r="K233" s="266">
        <f t="shared" si="73"/>
        <v>2017</v>
      </c>
      <c r="L233" s="386"/>
      <c r="M233" s="386"/>
      <c r="N233" s="32" t="s">
        <v>633</v>
      </c>
      <c r="O233" s="32" t="s">
        <v>634</v>
      </c>
      <c r="P233" s="278" t="s">
        <v>655</v>
      </c>
      <c r="Q233" s="233" t="s">
        <v>654</v>
      </c>
      <c r="R233" s="75">
        <v>749.5</v>
      </c>
      <c r="S233" s="75">
        <v>1416</v>
      </c>
      <c r="T233" s="75">
        <v>2165.5</v>
      </c>
      <c r="U233" s="200">
        <v>354</v>
      </c>
      <c r="V233" s="287">
        <f t="shared" ca="1" si="74"/>
        <v>10</v>
      </c>
      <c r="W233" s="75">
        <f t="shared" ca="1" si="75"/>
        <v>3097.5</v>
      </c>
      <c r="X233" s="200">
        <f t="shared" ca="1" si="76"/>
        <v>4997.5</v>
      </c>
      <c r="Y233" s="1">
        <v>0.5</v>
      </c>
      <c r="Z233" s="1"/>
      <c r="AA233" s="219"/>
      <c r="AB233" s="302"/>
      <c r="AC233" s="302"/>
      <c r="AD233" s="302"/>
      <c r="AE233" s="302"/>
      <c r="AF233">
        <f t="shared" si="65"/>
        <v>0</v>
      </c>
    </row>
    <row r="234" spans="1:32" ht="26.25" hidden="1" x14ac:dyDescent="0.25">
      <c r="A234" s="322" t="s">
        <v>656</v>
      </c>
      <c r="B234" s="93" t="str">
        <f t="shared" si="72"/>
        <v>NO</v>
      </c>
      <c r="C234" s="93" t="s">
        <v>5503</v>
      </c>
      <c r="D234" s="4">
        <v>39065</v>
      </c>
      <c r="E234" s="2">
        <v>39142</v>
      </c>
      <c r="F234" s="2">
        <f t="shared" si="67"/>
        <v>42795</v>
      </c>
      <c r="G234" s="6">
        <v>1670.37</v>
      </c>
      <c r="H234" s="7" t="s">
        <v>632</v>
      </c>
      <c r="I234" s="7" t="s">
        <v>72</v>
      </c>
      <c r="J234" s="186"/>
      <c r="K234" s="266">
        <f t="shared" si="73"/>
        <v>2017</v>
      </c>
      <c r="L234" s="386"/>
      <c r="M234" s="386"/>
      <c r="N234" s="32" t="s">
        <v>633</v>
      </c>
      <c r="O234" s="32" t="s">
        <v>634</v>
      </c>
      <c r="P234" s="278" t="s">
        <v>658</v>
      </c>
      <c r="Q234" s="233" t="s">
        <v>657</v>
      </c>
      <c r="R234" s="75">
        <v>5978.5</v>
      </c>
      <c r="S234" s="75">
        <v>0</v>
      </c>
      <c r="T234" s="75">
        <v>5978.5</v>
      </c>
      <c r="U234" s="200">
        <v>3342</v>
      </c>
      <c r="V234" s="287">
        <f t="shared" ca="1" si="74"/>
        <v>10</v>
      </c>
      <c r="W234" s="75">
        <f t="shared" ca="1" si="75"/>
        <v>29242.5</v>
      </c>
      <c r="X234" s="200">
        <f t="shared" ca="1" si="76"/>
        <v>32714.5</v>
      </c>
      <c r="Y234" s="1">
        <v>0.5</v>
      </c>
      <c r="Z234" s="1"/>
      <c r="AA234" s="219"/>
      <c r="AB234" s="302"/>
      <c r="AC234" s="302"/>
      <c r="AD234" s="302"/>
      <c r="AE234" s="302"/>
      <c r="AF234">
        <f t="shared" si="65"/>
        <v>0</v>
      </c>
    </row>
    <row r="235" spans="1:32" ht="39" hidden="1" x14ac:dyDescent="0.25">
      <c r="A235" s="322" t="s">
        <v>659</v>
      </c>
      <c r="B235" s="93" t="str">
        <f t="shared" si="72"/>
        <v>NO</v>
      </c>
      <c r="C235" s="93" t="s">
        <v>5503</v>
      </c>
      <c r="D235" s="4">
        <v>39065</v>
      </c>
      <c r="E235" s="2">
        <v>39142</v>
      </c>
      <c r="F235" s="2">
        <f t="shared" si="67"/>
        <v>42795</v>
      </c>
      <c r="G235" s="6">
        <v>2139.91</v>
      </c>
      <c r="H235" s="7" t="s">
        <v>632</v>
      </c>
      <c r="I235" s="7" t="s">
        <v>72</v>
      </c>
      <c r="J235" s="186"/>
      <c r="K235" s="266">
        <f t="shared" si="73"/>
        <v>2017</v>
      </c>
      <c r="L235" s="386"/>
      <c r="M235" s="386"/>
      <c r="N235" s="32" t="s">
        <v>633</v>
      </c>
      <c r="O235" s="32" t="s">
        <v>634</v>
      </c>
      <c r="P235" s="278" t="s">
        <v>661</v>
      </c>
      <c r="Q235" s="233" t="s">
        <v>660</v>
      </c>
      <c r="R235" s="75">
        <v>7620</v>
      </c>
      <c r="S235" s="75">
        <v>0</v>
      </c>
      <c r="T235" s="75">
        <v>7620</v>
      </c>
      <c r="U235" s="200">
        <v>4280</v>
      </c>
      <c r="V235" s="287">
        <f t="shared" ca="1" si="74"/>
        <v>10</v>
      </c>
      <c r="W235" s="75">
        <f t="shared" ca="1" si="75"/>
        <v>37450</v>
      </c>
      <c r="X235" s="200">
        <f t="shared" ca="1" si="76"/>
        <v>41860</v>
      </c>
      <c r="Y235" s="1">
        <v>0.5</v>
      </c>
      <c r="Z235" s="1"/>
      <c r="AA235" s="219"/>
      <c r="AB235" s="302"/>
      <c r="AC235" s="302"/>
      <c r="AD235" s="302"/>
      <c r="AE235" s="302"/>
      <c r="AF235">
        <f t="shared" si="65"/>
        <v>0</v>
      </c>
    </row>
    <row r="236" spans="1:32" hidden="1" x14ac:dyDescent="0.25">
      <c r="A236" s="322" t="s">
        <v>662</v>
      </c>
      <c r="B236" s="93" t="str">
        <f t="shared" si="72"/>
        <v>NO</v>
      </c>
      <c r="C236" s="93" t="s">
        <v>5503</v>
      </c>
      <c r="D236" s="4">
        <v>39065</v>
      </c>
      <c r="E236" s="2">
        <v>39142</v>
      </c>
      <c r="F236" s="2">
        <f t="shared" si="67"/>
        <v>42795</v>
      </c>
      <c r="G236" s="6">
        <v>380</v>
      </c>
      <c r="H236" s="7" t="s">
        <v>664</v>
      </c>
      <c r="I236" s="7" t="s">
        <v>72</v>
      </c>
      <c r="J236" s="186"/>
      <c r="K236" s="266">
        <f t="shared" si="73"/>
        <v>2017</v>
      </c>
      <c r="L236" s="386"/>
      <c r="M236" s="386"/>
      <c r="N236" s="32" t="s">
        <v>633</v>
      </c>
      <c r="O236" s="32" t="s">
        <v>665</v>
      </c>
      <c r="P236" s="278" t="s">
        <v>666</v>
      </c>
      <c r="Q236" s="233" t="s">
        <v>663</v>
      </c>
      <c r="R236" s="75">
        <v>1460</v>
      </c>
      <c r="S236" s="75">
        <v>10640</v>
      </c>
      <c r="T236" s="75">
        <v>12100</v>
      </c>
      <c r="U236" s="200">
        <v>760</v>
      </c>
      <c r="V236" s="287">
        <f t="shared" ca="1" si="74"/>
        <v>10</v>
      </c>
      <c r="W236" s="75">
        <f t="shared" ca="1" si="75"/>
        <v>6650</v>
      </c>
      <c r="X236" s="200">
        <f t="shared" ca="1" si="76"/>
        <v>18180</v>
      </c>
      <c r="Y236" s="1">
        <v>0.5</v>
      </c>
      <c r="Z236" s="1"/>
      <c r="AA236" s="219"/>
      <c r="AB236" s="302" t="s">
        <v>6353</v>
      </c>
      <c r="AC236" s="302"/>
      <c r="AD236" s="302"/>
      <c r="AE236" s="302"/>
      <c r="AF236">
        <f t="shared" si="65"/>
        <v>0</v>
      </c>
    </row>
    <row r="237" spans="1:32" hidden="1" x14ac:dyDescent="0.25">
      <c r="A237" s="322" t="s">
        <v>667</v>
      </c>
      <c r="B237" s="93" t="str">
        <f t="shared" si="72"/>
        <v>NO</v>
      </c>
      <c r="C237" s="93" t="s">
        <v>5503</v>
      </c>
      <c r="D237" s="4">
        <v>39065</v>
      </c>
      <c r="E237" s="2">
        <v>39142</v>
      </c>
      <c r="F237" s="2">
        <f t="shared" si="67"/>
        <v>42795</v>
      </c>
      <c r="G237" s="6">
        <v>320</v>
      </c>
      <c r="H237" s="7" t="s">
        <v>664</v>
      </c>
      <c r="I237" s="7" t="s">
        <v>72</v>
      </c>
      <c r="J237" s="186"/>
      <c r="K237" s="266">
        <f t="shared" si="73"/>
        <v>2017</v>
      </c>
      <c r="L237" s="386"/>
      <c r="M237" s="386"/>
      <c r="N237" s="32" t="s">
        <v>633</v>
      </c>
      <c r="O237" s="32" t="s">
        <v>665</v>
      </c>
      <c r="P237" s="278" t="s">
        <v>669</v>
      </c>
      <c r="Q237" s="233" t="s">
        <v>668</v>
      </c>
      <c r="R237" s="75">
        <v>1250</v>
      </c>
      <c r="S237" s="75">
        <v>8960</v>
      </c>
      <c r="T237" s="75">
        <v>10210</v>
      </c>
      <c r="U237" s="200">
        <v>640</v>
      </c>
      <c r="V237" s="287">
        <f t="shared" ca="1" si="74"/>
        <v>10</v>
      </c>
      <c r="W237" s="75">
        <f t="shared" ca="1" si="75"/>
        <v>5600</v>
      </c>
      <c r="X237" s="200">
        <f t="shared" ca="1" si="76"/>
        <v>15330</v>
      </c>
      <c r="Y237" s="1">
        <v>0.5</v>
      </c>
      <c r="Z237" s="1"/>
      <c r="AA237" s="219"/>
      <c r="AB237" s="302" t="s">
        <v>6354</v>
      </c>
      <c r="AC237" s="302"/>
      <c r="AD237" s="302"/>
      <c r="AE237" s="302"/>
      <c r="AF237">
        <f t="shared" si="65"/>
        <v>0</v>
      </c>
    </row>
    <row r="238" spans="1:32" hidden="1" x14ac:dyDescent="0.25">
      <c r="A238" s="322" t="s">
        <v>670</v>
      </c>
      <c r="B238" s="93" t="str">
        <f t="shared" si="72"/>
        <v>NO</v>
      </c>
      <c r="C238" s="93" t="s">
        <v>5503</v>
      </c>
      <c r="D238" s="4">
        <v>39065</v>
      </c>
      <c r="E238" s="2">
        <v>39142</v>
      </c>
      <c r="F238" s="2">
        <f t="shared" si="67"/>
        <v>42795</v>
      </c>
      <c r="G238" s="6">
        <v>643.97</v>
      </c>
      <c r="H238" s="93" t="s">
        <v>5808</v>
      </c>
      <c r="I238" s="7" t="s">
        <v>79</v>
      </c>
      <c r="J238" s="186"/>
      <c r="K238" s="266">
        <f t="shared" si="73"/>
        <v>2017</v>
      </c>
      <c r="L238" s="386"/>
      <c r="M238" s="386"/>
      <c r="N238" s="32" t="s">
        <v>673</v>
      </c>
      <c r="O238" s="32" t="s">
        <v>674</v>
      </c>
      <c r="P238" s="278" t="s">
        <v>675</v>
      </c>
      <c r="Q238" s="238" t="s">
        <v>671</v>
      </c>
      <c r="R238" s="75">
        <v>2384</v>
      </c>
      <c r="S238" s="75">
        <v>0</v>
      </c>
      <c r="T238" s="75">
        <v>2384</v>
      </c>
      <c r="U238" s="200">
        <v>1288</v>
      </c>
      <c r="V238" s="287">
        <f t="shared" ca="1" si="74"/>
        <v>10</v>
      </c>
      <c r="W238" s="75">
        <f t="shared" ca="1" si="75"/>
        <v>11270</v>
      </c>
      <c r="X238" s="200">
        <f t="shared" ca="1" si="76"/>
        <v>12688</v>
      </c>
      <c r="Y238" s="1">
        <v>0.5</v>
      </c>
      <c r="Z238" s="1"/>
      <c r="AA238" s="219"/>
      <c r="AB238" s="302" t="s">
        <v>6434</v>
      </c>
      <c r="AC238" s="302"/>
      <c r="AD238" s="302"/>
      <c r="AE238" s="302"/>
      <c r="AF238">
        <f t="shared" si="65"/>
        <v>0</v>
      </c>
    </row>
    <row r="239" spans="1:32" hidden="1" x14ac:dyDescent="0.25">
      <c r="A239" s="322" t="s">
        <v>676</v>
      </c>
      <c r="B239" s="93" t="str">
        <f t="shared" si="72"/>
        <v>NO</v>
      </c>
      <c r="C239" s="93" t="s">
        <v>5503</v>
      </c>
      <c r="D239" s="4">
        <v>39065</v>
      </c>
      <c r="E239" s="2">
        <v>39142</v>
      </c>
      <c r="F239" s="2">
        <f t="shared" si="67"/>
        <v>42795</v>
      </c>
      <c r="G239" s="6">
        <v>644.96</v>
      </c>
      <c r="H239" s="93" t="s">
        <v>5808</v>
      </c>
      <c r="I239" s="7" t="s">
        <v>79</v>
      </c>
      <c r="J239" s="186"/>
      <c r="K239" s="266">
        <f t="shared" si="73"/>
        <v>2017</v>
      </c>
      <c r="L239" s="386"/>
      <c r="M239" s="386"/>
      <c r="N239" s="32" t="s">
        <v>673</v>
      </c>
      <c r="O239" s="32" t="s">
        <v>674</v>
      </c>
      <c r="P239" s="278" t="s">
        <v>678</v>
      </c>
      <c r="Q239" s="233" t="s">
        <v>677</v>
      </c>
      <c r="R239" s="75">
        <v>2387.5</v>
      </c>
      <c r="S239" s="75">
        <v>0</v>
      </c>
      <c r="T239" s="75">
        <v>2387.5</v>
      </c>
      <c r="U239" s="200">
        <v>1290</v>
      </c>
      <c r="V239" s="287">
        <f t="shared" ca="1" si="74"/>
        <v>10</v>
      </c>
      <c r="W239" s="75">
        <f t="shared" ca="1" si="75"/>
        <v>11287.5</v>
      </c>
      <c r="X239" s="200">
        <f t="shared" ca="1" si="76"/>
        <v>12707.5</v>
      </c>
      <c r="Y239" s="1">
        <v>0.5</v>
      </c>
      <c r="Z239" s="1"/>
      <c r="AA239" s="219"/>
      <c r="AB239" s="302" t="s">
        <v>6435</v>
      </c>
      <c r="AC239" s="302"/>
      <c r="AD239" s="302"/>
      <c r="AE239" s="302"/>
      <c r="AF239">
        <f t="shared" si="65"/>
        <v>0</v>
      </c>
    </row>
    <row r="240" spans="1:32" ht="26.25" hidden="1" x14ac:dyDescent="0.25">
      <c r="A240" s="322" t="s">
        <v>679</v>
      </c>
      <c r="B240" s="93" t="str">
        <f t="shared" si="72"/>
        <v>NO</v>
      </c>
      <c r="C240" s="93" t="s">
        <v>5503</v>
      </c>
      <c r="D240" s="4">
        <v>39065</v>
      </c>
      <c r="E240" s="2">
        <v>39142</v>
      </c>
      <c r="F240" s="2">
        <f t="shared" si="67"/>
        <v>42795</v>
      </c>
      <c r="G240" s="6">
        <v>151.24</v>
      </c>
      <c r="H240" s="93" t="s">
        <v>5808</v>
      </c>
      <c r="I240" s="7" t="s">
        <v>79</v>
      </c>
      <c r="J240" s="186"/>
      <c r="K240" s="266">
        <f t="shared" si="73"/>
        <v>2017</v>
      </c>
      <c r="L240" s="386"/>
      <c r="M240" s="386"/>
      <c r="N240" s="32" t="s">
        <v>673</v>
      </c>
      <c r="O240" s="32" t="s">
        <v>674</v>
      </c>
      <c r="P240" s="278" t="s">
        <v>681</v>
      </c>
      <c r="Q240" s="233" t="s">
        <v>680</v>
      </c>
      <c r="R240" s="75">
        <v>662</v>
      </c>
      <c r="S240" s="75">
        <v>0</v>
      </c>
      <c r="T240" s="75">
        <v>662</v>
      </c>
      <c r="U240" s="200">
        <v>304</v>
      </c>
      <c r="V240" s="287">
        <f t="shared" ca="1" si="74"/>
        <v>10</v>
      </c>
      <c r="W240" s="75">
        <f t="shared" ca="1" si="75"/>
        <v>2660</v>
      </c>
      <c r="X240" s="200">
        <f t="shared" ca="1" si="76"/>
        <v>3094</v>
      </c>
      <c r="Y240" s="1">
        <v>0.5</v>
      </c>
      <c r="Z240" s="1"/>
      <c r="AA240" s="219"/>
      <c r="AB240" s="302" t="s">
        <v>6436</v>
      </c>
      <c r="AC240" s="302"/>
      <c r="AD240" s="302"/>
      <c r="AE240" s="302"/>
      <c r="AF240">
        <f t="shared" si="65"/>
        <v>0</v>
      </c>
    </row>
    <row r="241" spans="1:32" hidden="1" x14ac:dyDescent="0.25">
      <c r="A241" s="322" t="s">
        <v>682</v>
      </c>
      <c r="B241" s="93" t="str">
        <f t="shared" si="72"/>
        <v>NO</v>
      </c>
      <c r="C241" s="93" t="s">
        <v>5503</v>
      </c>
      <c r="D241" s="4">
        <v>39065</v>
      </c>
      <c r="E241" s="2">
        <v>39142</v>
      </c>
      <c r="F241" s="2">
        <f t="shared" si="67"/>
        <v>42795</v>
      </c>
      <c r="G241" s="6">
        <v>242.4</v>
      </c>
      <c r="H241" s="7" t="s">
        <v>684</v>
      </c>
      <c r="I241" s="7" t="s">
        <v>86</v>
      </c>
      <c r="J241" s="186"/>
      <c r="K241" s="266">
        <f t="shared" si="73"/>
        <v>2017</v>
      </c>
      <c r="L241" s="413"/>
      <c r="M241" s="413"/>
      <c r="N241" s="32" t="s">
        <v>685</v>
      </c>
      <c r="O241" s="32" t="s">
        <v>686</v>
      </c>
      <c r="P241" s="278" t="s">
        <v>687</v>
      </c>
      <c r="Q241" s="233" t="s">
        <v>683</v>
      </c>
      <c r="R241" s="75">
        <v>980.5</v>
      </c>
      <c r="S241" s="75">
        <v>52974</v>
      </c>
      <c r="T241" s="75">
        <v>53954.5</v>
      </c>
      <c r="U241" s="200">
        <v>486</v>
      </c>
      <c r="V241" s="287">
        <f t="shared" ca="1" si="74"/>
        <v>10</v>
      </c>
      <c r="W241" s="75">
        <f t="shared" ca="1" si="75"/>
        <v>4252.5</v>
      </c>
      <c r="X241" s="200">
        <f t="shared" ca="1" si="76"/>
        <v>57842.5</v>
      </c>
      <c r="Y241" s="1">
        <v>0.5</v>
      </c>
      <c r="Z241" s="1"/>
      <c r="AA241" s="219"/>
      <c r="AB241" s="302" t="s">
        <v>6437</v>
      </c>
      <c r="AC241" s="302"/>
      <c r="AD241" s="302"/>
      <c r="AE241" s="302"/>
      <c r="AF241">
        <f t="shared" si="65"/>
        <v>0</v>
      </c>
    </row>
    <row r="242" spans="1:32" hidden="1" x14ac:dyDescent="0.25">
      <c r="A242" s="322" t="s">
        <v>688</v>
      </c>
      <c r="B242" s="93" t="str">
        <f t="shared" si="72"/>
        <v>NO</v>
      </c>
      <c r="C242" s="93" t="s">
        <v>5503</v>
      </c>
      <c r="D242" s="4">
        <v>39065</v>
      </c>
      <c r="E242" s="2">
        <v>39142</v>
      </c>
      <c r="F242" s="2">
        <f t="shared" si="67"/>
        <v>42795</v>
      </c>
      <c r="G242" s="6">
        <v>120</v>
      </c>
      <c r="H242" s="7" t="s">
        <v>684</v>
      </c>
      <c r="I242" s="7" t="s">
        <v>86</v>
      </c>
      <c r="J242" s="186"/>
      <c r="K242" s="266">
        <f t="shared" si="73"/>
        <v>2017</v>
      </c>
      <c r="L242" s="413"/>
      <c r="M242" s="413"/>
      <c r="N242" s="32" t="s">
        <v>685</v>
      </c>
      <c r="O242" s="32" t="s">
        <v>690</v>
      </c>
      <c r="P242" s="278" t="s">
        <v>691</v>
      </c>
      <c r="Q242" s="233" t="s">
        <v>689</v>
      </c>
      <c r="R242" s="75">
        <v>550</v>
      </c>
      <c r="S242" s="75">
        <v>44160</v>
      </c>
      <c r="T242" s="75">
        <v>44710</v>
      </c>
      <c r="U242" s="200">
        <v>240</v>
      </c>
      <c r="V242" s="287">
        <f t="shared" ca="1" si="74"/>
        <v>10</v>
      </c>
      <c r="W242" s="75">
        <f t="shared" ca="1" si="75"/>
        <v>2100</v>
      </c>
      <c r="X242" s="200">
        <f t="shared" ca="1" si="76"/>
        <v>46630</v>
      </c>
      <c r="Y242" s="1">
        <v>0.5</v>
      </c>
      <c r="Z242" s="1"/>
      <c r="AA242" s="219"/>
      <c r="AB242" s="302" t="s">
        <v>6438</v>
      </c>
      <c r="AC242" s="302"/>
      <c r="AD242" s="302"/>
      <c r="AE242" s="302"/>
      <c r="AF242">
        <f t="shared" si="65"/>
        <v>0</v>
      </c>
    </row>
    <row r="243" spans="1:32" hidden="1" x14ac:dyDescent="0.25">
      <c r="A243" s="322" t="s">
        <v>692</v>
      </c>
      <c r="B243" s="93" t="str">
        <f t="shared" si="72"/>
        <v>NO</v>
      </c>
      <c r="C243" s="93" t="s">
        <v>5503</v>
      </c>
      <c r="D243" s="4">
        <v>39065</v>
      </c>
      <c r="E243" s="2">
        <v>39142</v>
      </c>
      <c r="F243" s="2">
        <f t="shared" si="67"/>
        <v>42795</v>
      </c>
      <c r="G243" s="6">
        <v>443.3</v>
      </c>
      <c r="H243" s="7" t="s">
        <v>684</v>
      </c>
      <c r="I243" s="7" t="s">
        <v>86</v>
      </c>
      <c r="J243" s="186"/>
      <c r="K243" s="266">
        <f t="shared" si="73"/>
        <v>2017</v>
      </c>
      <c r="L243" s="413"/>
      <c r="M243" s="413"/>
      <c r="N243" s="32" t="s">
        <v>685</v>
      </c>
      <c r="O243" s="32" t="s">
        <v>694</v>
      </c>
      <c r="P243" s="278" t="s">
        <v>695</v>
      </c>
      <c r="Q243" s="233" t="s">
        <v>693</v>
      </c>
      <c r="R243" s="75">
        <v>1684</v>
      </c>
      <c r="S243" s="75">
        <v>181152</v>
      </c>
      <c r="T243" s="75">
        <v>182836</v>
      </c>
      <c r="U243" s="200">
        <v>888</v>
      </c>
      <c r="V243" s="287">
        <f t="shared" ca="1" si="74"/>
        <v>10</v>
      </c>
      <c r="W243" s="75">
        <f t="shared" ca="1" si="75"/>
        <v>7770</v>
      </c>
      <c r="X243" s="200">
        <f t="shared" ca="1" si="76"/>
        <v>189940</v>
      </c>
      <c r="Y243" s="1">
        <v>0.5</v>
      </c>
      <c r="Z243" s="1"/>
      <c r="AA243" s="219"/>
      <c r="AB243" s="302" t="s">
        <v>6439</v>
      </c>
      <c r="AC243" s="302"/>
      <c r="AD243" s="302"/>
      <c r="AE243" s="302"/>
      <c r="AF243">
        <f t="shared" si="65"/>
        <v>0</v>
      </c>
    </row>
    <row r="244" spans="1:32" ht="39" hidden="1" x14ac:dyDescent="0.25">
      <c r="A244" s="322" t="s">
        <v>696</v>
      </c>
      <c r="B244" s="93" t="str">
        <f t="shared" si="72"/>
        <v>NO</v>
      </c>
      <c r="C244" s="93" t="s">
        <v>5503</v>
      </c>
      <c r="D244" s="4">
        <v>39065</v>
      </c>
      <c r="E244" s="2">
        <v>39142</v>
      </c>
      <c r="F244" s="2">
        <f t="shared" si="67"/>
        <v>42795</v>
      </c>
      <c r="G244" s="6">
        <v>701.58</v>
      </c>
      <c r="H244" s="7" t="s">
        <v>684</v>
      </c>
      <c r="I244" s="7" t="s">
        <v>86</v>
      </c>
      <c r="J244" s="186"/>
      <c r="K244" s="266">
        <f t="shared" si="73"/>
        <v>2017</v>
      </c>
      <c r="L244" s="413"/>
      <c r="M244" s="413"/>
      <c r="N244" s="32" t="s">
        <v>685</v>
      </c>
      <c r="O244" s="32" t="s">
        <v>698</v>
      </c>
      <c r="P244" s="278" t="s">
        <v>699</v>
      </c>
      <c r="Q244" s="233" t="s">
        <v>697</v>
      </c>
      <c r="R244" s="75">
        <v>2587</v>
      </c>
      <c r="S244" s="75">
        <v>4914</v>
      </c>
      <c r="T244" s="75">
        <v>7501</v>
      </c>
      <c r="U244" s="200">
        <v>1404</v>
      </c>
      <c r="V244" s="287">
        <f t="shared" ca="1" si="74"/>
        <v>10</v>
      </c>
      <c r="W244" s="75">
        <f t="shared" ca="1" si="75"/>
        <v>12285</v>
      </c>
      <c r="X244" s="200">
        <f t="shared" ca="1" si="76"/>
        <v>18733</v>
      </c>
      <c r="Y244" s="1">
        <v>0.5</v>
      </c>
      <c r="Z244" s="1"/>
      <c r="AA244" s="219"/>
      <c r="AB244" s="302" t="s">
        <v>6440</v>
      </c>
      <c r="AC244" s="302"/>
      <c r="AD244" s="302"/>
      <c r="AE244" s="302"/>
      <c r="AF244">
        <f t="shared" si="65"/>
        <v>0</v>
      </c>
    </row>
    <row r="245" spans="1:32" ht="26.25" hidden="1" x14ac:dyDescent="0.25">
      <c r="A245" s="322" t="s">
        <v>700</v>
      </c>
      <c r="B245" s="93" t="str">
        <f t="shared" si="72"/>
        <v>NO</v>
      </c>
      <c r="C245" s="93" t="s">
        <v>5503</v>
      </c>
      <c r="D245" s="4">
        <v>39065</v>
      </c>
      <c r="E245" s="2">
        <v>39142</v>
      </c>
      <c r="F245" s="2">
        <f t="shared" si="67"/>
        <v>42795</v>
      </c>
      <c r="G245" s="6">
        <v>604.98</v>
      </c>
      <c r="H245" s="7" t="s">
        <v>684</v>
      </c>
      <c r="I245" s="7" t="s">
        <v>86</v>
      </c>
      <c r="J245" s="186"/>
      <c r="K245" s="266">
        <f t="shared" si="73"/>
        <v>2017</v>
      </c>
      <c r="L245" s="413"/>
      <c r="M245" s="413"/>
      <c r="N245" s="32" t="s">
        <v>685</v>
      </c>
      <c r="O245" s="32" t="s">
        <v>698</v>
      </c>
      <c r="P245" s="278" t="s">
        <v>702</v>
      </c>
      <c r="Q245" s="233" t="s">
        <v>701</v>
      </c>
      <c r="R245" s="75">
        <v>2247.5</v>
      </c>
      <c r="S245" s="75">
        <v>4235</v>
      </c>
      <c r="T245" s="75">
        <v>6482.5</v>
      </c>
      <c r="U245" s="200">
        <v>1210</v>
      </c>
      <c r="V245" s="287">
        <f t="shared" ca="1" si="74"/>
        <v>10</v>
      </c>
      <c r="W245" s="75">
        <f t="shared" ca="1" si="75"/>
        <v>10587.5</v>
      </c>
      <c r="X245" s="200">
        <f t="shared" ca="1" si="76"/>
        <v>16162.5</v>
      </c>
      <c r="Y245" s="1">
        <v>0.5</v>
      </c>
      <c r="Z245" s="1"/>
      <c r="AA245" s="219"/>
      <c r="AB245" s="302" t="s">
        <v>6441</v>
      </c>
      <c r="AC245" s="302"/>
      <c r="AD245" s="302"/>
      <c r="AE245" s="302"/>
      <c r="AF245">
        <f t="shared" si="65"/>
        <v>0</v>
      </c>
    </row>
    <row r="246" spans="1:32" ht="26.25" hidden="1" x14ac:dyDescent="0.25">
      <c r="A246" s="322" t="s">
        <v>703</v>
      </c>
      <c r="B246" s="93" t="str">
        <f t="shared" si="72"/>
        <v>NO</v>
      </c>
      <c r="C246" s="93" t="s">
        <v>5503</v>
      </c>
      <c r="D246" s="4">
        <v>39065</v>
      </c>
      <c r="E246" s="2">
        <v>39142</v>
      </c>
      <c r="F246" s="2">
        <f t="shared" si="67"/>
        <v>42795</v>
      </c>
      <c r="G246" s="6">
        <v>473.62</v>
      </c>
      <c r="H246" s="7" t="s">
        <v>684</v>
      </c>
      <c r="I246" s="7" t="s">
        <v>86</v>
      </c>
      <c r="J246" s="186"/>
      <c r="K246" s="266">
        <f t="shared" si="73"/>
        <v>2017</v>
      </c>
      <c r="L246" s="413"/>
      <c r="M246" s="413"/>
      <c r="N246" s="32" t="s">
        <v>685</v>
      </c>
      <c r="O246" s="32" t="s">
        <v>698</v>
      </c>
      <c r="P246" s="278" t="s">
        <v>705</v>
      </c>
      <c r="Q246" s="233" t="s">
        <v>704</v>
      </c>
      <c r="R246" s="75">
        <v>1789</v>
      </c>
      <c r="S246" s="75">
        <v>3792</v>
      </c>
      <c r="T246" s="75">
        <v>5581</v>
      </c>
      <c r="U246" s="200">
        <v>948</v>
      </c>
      <c r="V246" s="287">
        <f t="shared" ca="1" si="74"/>
        <v>10</v>
      </c>
      <c r="W246" s="75">
        <f t="shared" ca="1" si="75"/>
        <v>8295</v>
      </c>
      <c r="X246" s="200">
        <f t="shared" ca="1" si="76"/>
        <v>13165</v>
      </c>
      <c r="Y246" s="1">
        <v>0.5</v>
      </c>
      <c r="Z246" s="1"/>
      <c r="AA246" s="219"/>
      <c r="AB246" s="302" t="s">
        <v>6442</v>
      </c>
      <c r="AC246" s="302"/>
      <c r="AD246" s="302"/>
      <c r="AE246" s="302"/>
      <c r="AF246">
        <f t="shared" si="65"/>
        <v>0</v>
      </c>
    </row>
    <row r="247" spans="1:32" ht="39" hidden="1" x14ac:dyDescent="0.25">
      <c r="A247" s="322" t="s">
        <v>706</v>
      </c>
      <c r="B247" s="93" t="str">
        <f t="shared" si="72"/>
        <v>NO</v>
      </c>
      <c r="C247" s="93" t="s">
        <v>5503</v>
      </c>
      <c r="D247" s="4">
        <v>39065</v>
      </c>
      <c r="E247" s="2">
        <v>39142</v>
      </c>
      <c r="F247" s="2">
        <f t="shared" si="67"/>
        <v>42795</v>
      </c>
      <c r="G247" s="6">
        <v>713.18</v>
      </c>
      <c r="H247" s="7" t="s">
        <v>684</v>
      </c>
      <c r="I247" s="7" t="s">
        <v>86</v>
      </c>
      <c r="J247" s="186"/>
      <c r="K247" s="266">
        <f t="shared" si="73"/>
        <v>2017</v>
      </c>
      <c r="L247" s="413"/>
      <c r="M247" s="413"/>
      <c r="N247" s="32" t="s">
        <v>685</v>
      </c>
      <c r="O247" s="32" t="s">
        <v>698</v>
      </c>
      <c r="P247" s="278" t="s">
        <v>708</v>
      </c>
      <c r="Q247" s="233" t="s">
        <v>707</v>
      </c>
      <c r="R247" s="75">
        <v>2629</v>
      </c>
      <c r="S247" s="75">
        <v>7140</v>
      </c>
      <c r="T247" s="75">
        <v>9769</v>
      </c>
      <c r="U247" s="200">
        <v>1428</v>
      </c>
      <c r="V247" s="287">
        <f t="shared" ca="1" si="74"/>
        <v>10</v>
      </c>
      <c r="W247" s="75">
        <f t="shared" ca="1" si="75"/>
        <v>12495</v>
      </c>
      <c r="X247" s="200">
        <f t="shared" ca="1" si="76"/>
        <v>21193</v>
      </c>
      <c r="Y247" s="1">
        <v>0.5</v>
      </c>
      <c r="Z247" s="1"/>
      <c r="AA247" s="219"/>
      <c r="AB247" s="302" t="s">
        <v>6443</v>
      </c>
      <c r="AC247" s="302"/>
      <c r="AD247" s="302"/>
      <c r="AE247" s="302"/>
      <c r="AF247">
        <f t="shared" si="65"/>
        <v>0</v>
      </c>
    </row>
    <row r="248" spans="1:32" ht="39" hidden="1" x14ac:dyDescent="0.25">
      <c r="A248" s="322" t="s">
        <v>709</v>
      </c>
      <c r="B248" s="93" t="str">
        <f t="shared" si="72"/>
        <v>NO</v>
      </c>
      <c r="C248" s="93" t="s">
        <v>5503</v>
      </c>
      <c r="D248" s="4">
        <v>39065</v>
      </c>
      <c r="E248" s="2">
        <v>39142</v>
      </c>
      <c r="F248" s="2">
        <f t="shared" si="67"/>
        <v>42795</v>
      </c>
      <c r="G248" s="6">
        <v>1138.28</v>
      </c>
      <c r="H248" s="7" t="s">
        <v>684</v>
      </c>
      <c r="I248" s="7" t="s">
        <v>86</v>
      </c>
      <c r="J248" s="186"/>
      <c r="K248" s="266">
        <f t="shared" si="73"/>
        <v>2017</v>
      </c>
      <c r="L248" s="413"/>
      <c r="M248" s="413"/>
      <c r="N248" s="32" t="s">
        <v>685</v>
      </c>
      <c r="O248" s="32" t="s">
        <v>698</v>
      </c>
      <c r="P248" s="278" t="s">
        <v>711</v>
      </c>
      <c r="Q248" s="233" t="s">
        <v>710</v>
      </c>
      <c r="R248" s="75">
        <v>4116.5</v>
      </c>
      <c r="S248" s="75">
        <v>14807</v>
      </c>
      <c r="T248" s="75">
        <v>18923.5</v>
      </c>
      <c r="U248" s="200">
        <v>2278</v>
      </c>
      <c r="V248" s="287">
        <f t="shared" ca="1" si="74"/>
        <v>10</v>
      </c>
      <c r="W248" s="75">
        <f t="shared" ca="1" si="75"/>
        <v>19932.5</v>
      </c>
      <c r="X248" s="200">
        <f t="shared" ca="1" si="76"/>
        <v>37147.5</v>
      </c>
      <c r="Y248" s="1">
        <v>0.5</v>
      </c>
      <c r="Z248" s="1"/>
      <c r="AA248" s="219"/>
      <c r="AB248" s="302" t="s">
        <v>6444</v>
      </c>
      <c r="AC248" s="302"/>
      <c r="AD248" s="302"/>
      <c r="AE248" s="302"/>
      <c r="AF248">
        <f t="shared" si="65"/>
        <v>0</v>
      </c>
    </row>
    <row r="249" spans="1:32" ht="26.25" hidden="1" x14ac:dyDescent="0.25">
      <c r="A249" s="322" t="s">
        <v>712</v>
      </c>
      <c r="B249" s="93" t="str">
        <f t="shared" si="72"/>
        <v>NO</v>
      </c>
      <c r="C249" s="93" t="s">
        <v>5503</v>
      </c>
      <c r="D249" s="4">
        <v>39065</v>
      </c>
      <c r="E249" s="2">
        <v>39142</v>
      </c>
      <c r="F249" s="2">
        <f t="shared" si="67"/>
        <v>42795</v>
      </c>
      <c r="G249" s="6">
        <v>57.55</v>
      </c>
      <c r="H249" s="7" t="s">
        <v>684</v>
      </c>
      <c r="I249" s="7" t="s">
        <v>86</v>
      </c>
      <c r="J249" s="186"/>
      <c r="K249" s="266">
        <f t="shared" si="73"/>
        <v>2017</v>
      </c>
      <c r="L249" s="413"/>
      <c r="M249" s="413"/>
      <c r="N249" s="32" t="s">
        <v>685</v>
      </c>
      <c r="O249" s="32" t="s">
        <v>698</v>
      </c>
      <c r="P249" s="278" t="s">
        <v>714</v>
      </c>
      <c r="Q249" s="233" t="s">
        <v>713</v>
      </c>
      <c r="R249" s="75">
        <v>333</v>
      </c>
      <c r="S249" s="75">
        <v>928</v>
      </c>
      <c r="T249" s="75">
        <v>1261</v>
      </c>
      <c r="U249" s="200">
        <v>116</v>
      </c>
      <c r="V249" s="287">
        <f t="shared" ca="1" si="74"/>
        <v>10</v>
      </c>
      <c r="W249" s="75">
        <f t="shared" ca="1" si="75"/>
        <v>1015</v>
      </c>
      <c r="X249" s="200">
        <f t="shared" ca="1" si="76"/>
        <v>2189</v>
      </c>
      <c r="Y249" s="1">
        <v>0.5</v>
      </c>
      <c r="Z249" s="1"/>
      <c r="AA249" s="219"/>
      <c r="AB249" s="302" t="s">
        <v>6445</v>
      </c>
      <c r="AC249" s="302"/>
      <c r="AD249" s="302"/>
      <c r="AE249" s="302"/>
      <c r="AF249">
        <f t="shared" si="65"/>
        <v>0</v>
      </c>
    </row>
    <row r="250" spans="1:32" ht="26.25" hidden="1" x14ac:dyDescent="0.25">
      <c r="A250" s="322" t="s">
        <v>715</v>
      </c>
      <c r="B250" s="93" t="str">
        <f t="shared" si="72"/>
        <v>NO</v>
      </c>
      <c r="C250" s="93" t="s">
        <v>5503</v>
      </c>
      <c r="D250" s="4">
        <v>39065</v>
      </c>
      <c r="E250" s="2">
        <v>39142</v>
      </c>
      <c r="F250" s="2">
        <f t="shared" si="67"/>
        <v>42795</v>
      </c>
      <c r="G250" s="6">
        <v>331.55</v>
      </c>
      <c r="H250" s="7" t="s">
        <v>684</v>
      </c>
      <c r="I250" s="7" t="s">
        <v>86</v>
      </c>
      <c r="J250" s="186"/>
      <c r="K250" s="266">
        <f t="shared" si="73"/>
        <v>2017</v>
      </c>
      <c r="L250" s="413"/>
      <c r="M250" s="413"/>
      <c r="N250" s="32" t="s">
        <v>685</v>
      </c>
      <c r="O250" s="32" t="s">
        <v>698</v>
      </c>
      <c r="P250" s="278" t="s">
        <v>717</v>
      </c>
      <c r="Q250" s="233" t="s">
        <v>716</v>
      </c>
      <c r="R250" s="75">
        <v>1292</v>
      </c>
      <c r="S250" s="75">
        <v>5644</v>
      </c>
      <c r="T250" s="75">
        <v>6936</v>
      </c>
      <c r="U250" s="200">
        <v>664</v>
      </c>
      <c r="V250" s="287">
        <f t="shared" ca="1" si="74"/>
        <v>10</v>
      </c>
      <c r="W250" s="75">
        <f t="shared" ca="1" si="75"/>
        <v>5810</v>
      </c>
      <c r="X250" s="200">
        <f t="shared" ca="1" si="76"/>
        <v>12248</v>
      </c>
      <c r="Y250" s="1">
        <v>0.5</v>
      </c>
      <c r="Z250" s="1"/>
      <c r="AA250" s="219"/>
      <c r="AB250" s="302" t="s">
        <v>6446</v>
      </c>
      <c r="AC250" s="302"/>
      <c r="AD250" s="302"/>
      <c r="AE250" s="302"/>
      <c r="AF250">
        <f t="shared" si="65"/>
        <v>0</v>
      </c>
    </row>
    <row r="251" spans="1:32" ht="26.25" hidden="1" x14ac:dyDescent="0.25">
      <c r="A251" s="322" t="s">
        <v>718</v>
      </c>
      <c r="B251" s="93" t="str">
        <f t="shared" si="72"/>
        <v>NO</v>
      </c>
      <c r="C251" s="93" t="s">
        <v>5503</v>
      </c>
      <c r="D251" s="4">
        <v>39065</v>
      </c>
      <c r="E251" s="2">
        <v>39142</v>
      </c>
      <c r="F251" s="2">
        <f t="shared" si="67"/>
        <v>42795</v>
      </c>
      <c r="G251" s="6">
        <v>190</v>
      </c>
      <c r="H251" s="7" t="s">
        <v>684</v>
      </c>
      <c r="I251" s="7" t="s">
        <v>86</v>
      </c>
      <c r="J251" s="186"/>
      <c r="K251" s="266">
        <f t="shared" si="73"/>
        <v>2017</v>
      </c>
      <c r="L251" s="413"/>
      <c r="M251" s="413"/>
      <c r="N251" s="32" t="s">
        <v>685</v>
      </c>
      <c r="O251" s="32" t="s">
        <v>698</v>
      </c>
      <c r="P251" s="278" t="s">
        <v>720</v>
      </c>
      <c r="Q251" s="233" t="s">
        <v>719</v>
      </c>
      <c r="R251" s="75">
        <v>795</v>
      </c>
      <c r="S251" s="75">
        <v>3420</v>
      </c>
      <c r="T251" s="75">
        <v>4215</v>
      </c>
      <c r="U251" s="200">
        <v>380</v>
      </c>
      <c r="V251" s="287">
        <f t="shared" ca="1" si="74"/>
        <v>10</v>
      </c>
      <c r="W251" s="75">
        <f t="shared" ca="1" si="75"/>
        <v>3325</v>
      </c>
      <c r="X251" s="200">
        <f t="shared" ca="1" si="76"/>
        <v>7255</v>
      </c>
      <c r="Y251" s="1">
        <v>0.5</v>
      </c>
      <c r="Z251" s="1"/>
      <c r="AA251" s="219"/>
      <c r="AB251" s="302" t="s">
        <v>6447</v>
      </c>
      <c r="AC251" s="302"/>
      <c r="AD251" s="302"/>
      <c r="AE251" s="302"/>
      <c r="AF251">
        <f t="shared" si="65"/>
        <v>0</v>
      </c>
    </row>
    <row r="252" spans="1:32" hidden="1" x14ac:dyDescent="0.25">
      <c r="A252" s="322" t="s">
        <v>721</v>
      </c>
      <c r="B252" s="93" t="str">
        <f t="shared" si="72"/>
        <v>NO</v>
      </c>
      <c r="C252" s="93" t="s">
        <v>5503</v>
      </c>
      <c r="D252" s="4">
        <v>39065</v>
      </c>
      <c r="E252" s="2">
        <v>39142</v>
      </c>
      <c r="F252" s="2">
        <f t="shared" si="67"/>
        <v>42795</v>
      </c>
      <c r="G252" s="6">
        <v>40</v>
      </c>
      <c r="H252" s="7" t="s">
        <v>97</v>
      </c>
      <c r="I252" s="7" t="s">
        <v>86</v>
      </c>
      <c r="J252" s="186"/>
      <c r="K252" s="266">
        <f t="shared" si="73"/>
        <v>2017</v>
      </c>
      <c r="L252" s="413"/>
      <c r="M252" s="413"/>
      <c r="N252" s="32" t="s">
        <v>87</v>
      </c>
      <c r="O252" s="32" t="s">
        <v>723</v>
      </c>
      <c r="P252" s="278" t="s">
        <v>724</v>
      </c>
      <c r="Q252" s="233" t="s">
        <v>722</v>
      </c>
      <c r="R252" s="75">
        <v>270</v>
      </c>
      <c r="S252" s="75">
        <v>160</v>
      </c>
      <c r="T252" s="75">
        <v>430</v>
      </c>
      <c r="U252" s="200">
        <v>80</v>
      </c>
      <c r="V252" s="287">
        <f t="shared" ca="1" si="74"/>
        <v>10</v>
      </c>
      <c r="W252" s="75">
        <f t="shared" ca="1" si="75"/>
        <v>700</v>
      </c>
      <c r="X252" s="200">
        <f t="shared" ca="1" si="76"/>
        <v>1070</v>
      </c>
      <c r="Y252" s="1">
        <v>0.5</v>
      </c>
      <c r="Z252" s="1"/>
      <c r="AA252" s="219"/>
      <c r="AB252" s="302" t="s">
        <v>6448</v>
      </c>
      <c r="AC252" s="302"/>
      <c r="AD252" s="302"/>
      <c r="AE252" s="302"/>
      <c r="AF252">
        <f t="shared" si="65"/>
        <v>0</v>
      </c>
    </row>
    <row r="253" spans="1:32" hidden="1" x14ac:dyDescent="0.25">
      <c r="A253" s="322" t="s">
        <v>725</v>
      </c>
      <c r="B253" s="93" t="str">
        <f t="shared" si="72"/>
        <v>NO</v>
      </c>
      <c r="C253" s="93" t="s">
        <v>5503</v>
      </c>
      <c r="D253" s="4">
        <v>39065</v>
      </c>
      <c r="E253" s="2">
        <v>39142</v>
      </c>
      <c r="F253" s="2">
        <f t="shared" si="67"/>
        <v>42795</v>
      </c>
      <c r="G253" s="6">
        <v>649.5</v>
      </c>
      <c r="H253" s="7" t="s">
        <v>97</v>
      </c>
      <c r="I253" s="7" t="s">
        <v>86</v>
      </c>
      <c r="J253" s="186"/>
      <c r="K253" s="266">
        <f t="shared" si="73"/>
        <v>2017</v>
      </c>
      <c r="L253" s="413"/>
      <c r="M253" s="413"/>
      <c r="N253" s="32" t="s">
        <v>87</v>
      </c>
      <c r="O253" s="32" t="s">
        <v>723</v>
      </c>
      <c r="P253" s="278" t="s">
        <v>727</v>
      </c>
      <c r="Q253" s="233" t="s">
        <v>726</v>
      </c>
      <c r="R253" s="75">
        <v>2405</v>
      </c>
      <c r="S253" s="75">
        <v>2600</v>
      </c>
      <c r="T253" s="75">
        <v>5005</v>
      </c>
      <c r="U253" s="200">
        <v>1300</v>
      </c>
      <c r="V253" s="287">
        <f t="shared" ca="1" si="74"/>
        <v>10</v>
      </c>
      <c r="W253" s="75">
        <f t="shared" ca="1" si="75"/>
        <v>11375</v>
      </c>
      <c r="X253" s="200">
        <f t="shared" ca="1" si="76"/>
        <v>15405</v>
      </c>
      <c r="Y253" s="1">
        <v>0.5</v>
      </c>
      <c r="Z253" s="1"/>
      <c r="AA253" s="219"/>
      <c r="AB253" s="302" t="s">
        <v>6449</v>
      </c>
      <c r="AC253" s="302"/>
      <c r="AD253" s="302"/>
      <c r="AE253" s="302"/>
      <c r="AF253">
        <f t="shared" si="65"/>
        <v>0</v>
      </c>
    </row>
    <row r="254" spans="1:32" hidden="1" x14ac:dyDescent="0.25">
      <c r="A254" s="322" t="s">
        <v>728</v>
      </c>
      <c r="B254" s="93" t="str">
        <f t="shared" si="72"/>
        <v>NO</v>
      </c>
      <c r="C254" s="93" t="s">
        <v>5503</v>
      </c>
      <c r="D254" s="4">
        <v>39065</v>
      </c>
      <c r="E254" s="2">
        <v>39142</v>
      </c>
      <c r="F254" s="2">
        <f t="shared" si="67"/>
        <v>42795</v>
      </c>
      <c r="G254" s="6">
        <v>587.44000000000005</v>
      </c>
      <c r="H254" s="7" t="s">
        <v>97</v>
      </c>
      <c r="I254" s="7" t="s">
        <v>86</v>
      </c>
      <c r="J254" s="186"/>
      <c r="K254" s="266">
        <f t="shared" si="73"/>
        <v>2017</v>
      </c>
      <c r="L254" s="413"/>
      <c r="M254" s="413"/>
      <c r="N254" s="32" t="s">
        <v>87</v>
      </c>
      <c r="O254" s="32" t="s">
        <v>723</v>
      </c>
      <c r="P254" s="278" t="s">
        <v>730</v>
      </c>
      <c r="Q254" s="233" t="s">
        <v>729</v>
      </c>
      <c r="R254" s="75">
        <v>2188</v>
      </c>
      <c r="S254" s="75">
        <v>2352</v>
      </c>
      <c r="T254" s="75">
        <v>4540</v>
      </c>
      <c r="U254" s="200">
        <v>1176</v>
      </c>
      <c r="V254" s="287">
        <f t="shared" ca="1" si="74"/>
        <v>10</v>
      </c>
      <c r="W254" s="75">
        <f t="shared" ca="1" si="75"/>
        <v>10290</v>
      </c>
      <c r="X254" s="200">
        <f t="shared" ca="1" si="76"/>
        <v>13948</v>
      </c>
      <c r="Y254" s="1">
        <v>0.5</v>
      </c>
      <c r="Z254" s="1"/>
      <c r="AA254" s="219"/>
      <c r="AB254" s="302" t="s">
        <v>6450</v>
      </c>
      <c r="AC254" s="302"/>
      <c r="AD254" s="302"/>
      <c r="AE254" s="302"/>
      <c r="AF254">
        <f t="shared" si="65"/>
        <v>0</v>
      </c>
    </row>
    <row r="255" spans="1:32" hidden="1" x14ac:dyDescent="0.25">
      <c r="A255" s="322" t="s">
        <v>731</v>
      </c>
      <c r="B255" s="93" t="str">
        <f t="shared" ref="B255:B286" si="77">IF(COUNTIF(GIS,A257),"YES","NO")</f>
        <v>NO</v>
      </c>
      <c r="C255" s="93" t="s">
        <v>5503</v>
      </c>
      <c r="D255" s="4">
        <v>39065</v>
      </c>
      <c r="E255" s="2">
        <v>39142</v>
      </c>
      <c r="F255" s="2">
        <f t="shared" si="67"/>
        <v>42795</v>
      </c>
      <c r="G255" s="6">
        <v>561.49</v>
      </c>
      <c r="H255" s="7" t="s">
        <v>97</v>
      </c>
      <c r="I255" s="7" t="s">
        <v>86</v>
      </c>
      <c r="J255" s="186"/>
      <c r="K255" s="266">
        <f t="shared" ref="K255:K286" si="78">YEAR(F255)</f>
        <v>2017</v>
      </c>
      <c r="L255" s="413"/>
      <c r="M255" s="413"/>
      <c r="N255" s="32" t="s">
        <v>87</v>
      </c>
      <c r="O255" s="32" t="s">
        <v>723</v>
      </c>
      <c r="P255" s="278" t="s">
        <v>733</v>
      </c>
      <c r="Q255" s="233" t="s">
        <v>732</v>
      </c>
      <c r="R255" s="75">
        <v>2097</v>
      </c>
      <c r="S255" s="75">
        <v>60696</v>
      </c>
      <c r="T255" s="75">
        <v>62793</v>
      </c>
      <c r="U255" s="200">
        <v>1124</v>
      </c>
      <c r="V255" s="287">
        <f t="shared" ref="V255:V286" ca="1" si="79">IF(YEAR($W$3)-YEAR(E255)&gt;9,10,IF(MONTH($W$3)&lt;MONTH(E255),YEAR($W$3)-YEAR(E255),YEAR($W$3)-YEAR(E255)+1))</f>
        <v>10</v>
      </c>
      <c r="W255" s="75">
        <f t="shared" ref="W255:W286" ca="1" si="80">IF(V255&lt;6, ROUNDUP(G255,0)*$W$6*V255, ROUNDUP(G255,0)*($W$6*5 + (V255-5)*$W$7))</f>
        <v>9835</v>
      </c>
      <c r="X255" s="200">
        <f t="shared" ca="1" si="76"/>
        <v>71785</v>
      </c>
      <c r="Y255" s="1">
        <v>0.5</v>
      </c>
      <c r="Z255" s="1"/>
      <c r="AA255" s="219"/>
      <c r="AB255" s="302" t="s">
        <v>6451</v>
      </c>
      <c r="AC255" s="302"/>
      <c r="AD255" s="302"/>
      <c r="AE255" s="302"/>
      <c r="AF255">
        <f t="shared" si="65"/>
        <v>0</v>
      </c>
    </row>
    <row r="256" spans="1:32" hidden="1" x14ac:dyDescent="0.25">
      <c r="A256" s="322" t="s">
        <v>734</v>
      </c>
      <c r="B256" s="93" t="str">
        <f t="shared" si="77"/>
        <v>NO</v>
      </c>
      <c r="C256" s="93" t="s">
        <v>5503</v>
      </c>
      <c r="D256" s="4">
        <v>39065</v>
      </c>
      <c r="E256" s="2">
        <v>39142</v>
      </c>
      <c r="F256" s="2">
        <f t="shared" si="67"/>
        <v>42795</v>
      </c>
      <c r="G256" s="6">
        <v>643.29999999999995</v>
      </c>
      <c r="H256" s="7" t="s">
        <v>97</v>
      </c>
      <c r="I256" s="7" t="s">
        <v>86</v>
      </c>
      <c r="J256" s="186"/>
      <c r="K256" s="266">
        <f t="shared" si="78"/>
        <v>2017</v>
      </c>
      <c r="L256" s="413"/>
      <c r="M256" s="413"/>
      <c r="N256" s="32" t="s">
        <v>87</v>
      </c>
      <c r="O256" s="32" t="s">
        <v>723</v>
      </c>
      <c r="P256" s="278" t="s">
        <v>736</v>
      </c>
      <c r="Q256" s="233" t="s">
        <v>735</v>
      </c>
      <c r="R256" s="75">
        <v>2384</v>
      </c>
      <c r="S256" s="75">
        <v>0</v>
      </c>
      <c r="T256" s="75">
        <v>2384</v>
      </c>
      <c r="U256" s="200">
        <v>1288</v>
      </c>
      <c r="V256" s="287">
        <f t="shared" ca="1" si="79"/>
        <v>10</v>
      </c>
      <c r="W256" s="75">
        <f t="shared" ca="1" si="80"/>
        <v>11270</v>
      </c>
      <c r="X256" s="200">
        <f t="shared" ca="1" si="76"/>
        <v>12688</v>
      </c>
      <c r="Y256" s="1">
        <v>0.5</v>
      </c>
      <c r="Z256" s="1"/>
      <c r="AA256" s="219"/>
      <c r="AB256" s="302" t="s">
        <v>6452</v>
      </c>
      <c r="AC256" s="302"/>
      <c r="AD256" s="302"/>
      <c r="AE256" s="302"/>
      <c r="AF256">
        <f t="shared" si="65"/>
        <v>0</v>
      </c>
    </row>
    <row r="257" spans="1:32" hidden="1" x14ac:dyDescent="0.25">
      <c r="A257" s="322" t="s">
        <v>737</v>
      </c>
      <c r="B257" s="93" t="str">
        <f t="shared" si="77"/>
        <v>NO</v>
      </c>
      <c r="C257" s="93" t="s">
        <v>5503</v>
      </c>
      <c r="D257" s="4">
        <v>39065</v>
      </c>
      <c r="E257" s="2">
        <v>39142</v>
      </c>
      <c r="F257" s="2">
        <f t="shared" si="67"/>
        <v>42795</v>
      </c>
      <c r="G257" s="6">
        <v>280</v>
      </c>
      <c r="H257" s="7" t="s">
        <v>97</v>
      </c>
      <c r="I257" s="7" t="s">
        <v>86</v>
      </c>
      <c r="J257" s="186"/>
      <c r="K257" s="266">
        <f t="shared" si="78"/>
        <v>2017</v>
      </c>
      <c r="L257" s="413"/>
      <c r="M257" s="413"/>
      <c r="N257" s="32" t="s">
        <v>87</v>
      </c>
      <c r="O257" s="32" t="s">
        <v>723</v>
      </c>
      <c r="P257" s="278" t="s">
        <v>739</v>
      </c>
      <c r="Q257" s="233" t="s">
        <v>738</v>
      </c>
      <c r="R257" s="75">
        <v>1110</v>
      </c>
      <c r="S257" s="75">
        <v>0</v>
      </c>
      <c r="T257" s="75">
        <v>1110</v>
      </c>
      <c r="U257" s="200">
        <v>560</v>
      </c>
      <c r="V257" s="287">
        <f t="shared" ca="1" si="79"/>
        <v>10</v>
      </c>
      <c r="W257" s="75">
        <f t="shared" ca="1" si="80"/>
        <v>4900</v>
      </c>
      <c r="X257" s="200">
        <f t="shared" ca="1" si="76"/>
        <v>5590</v>
      </c>
      <c r="Y257" s="1">
        <v>0.5</v>
      </c>
      <c r="Z257" s="1"/>
      <c r="AA257" s="219"/>
      <c r="AB257" s="302" t="s">
        <v>6453</v>
      </c>
      <c r="AC257" s="302"/>
      <c r="AD257" s="302"/>
      <c r="AE257" s="302"/>
      <c r="AF257">
        <f t="shared" si="65"/>
        <v>0</v>
      </c>
    </row>
    <row r="258" spans="1:32" hidden="1" x14ac:dyDescent="0.25">
      <c r="A258" s="322" t="s">
        <v>740</v>
      </c>
      <c r="B258" s="93" t="str">
        <f t="shared" si="77"/>
        <v>NO</v>
      </c>
      <c r="C258" s="93" t="s">
        <v>5503</v>
      </c>
      <c r="D258" s="4">
        <v>39065</v>
      </c>
      <c r="E258" s="2">
        <v>39142</v>
      </c>
      <c r="F258" s="2">
        <f t="shared" si="67"/>
        <v>42795</v>
      </c>
      <c r="G258" s="6">
        <v>642.5</v>
      </c>
      <c r="H258" s="7" t="s">
        <v>97</v>
      </c>
      <c r="I258" s="7" t="s">
        <v>86</v>
      </c>
      <c r="J258" s="186"/>
      <c r="K258" s="266">
        <f t="shared" si="78"/>
        <v>2017</v>
      </c>
      <c r="L258" s="413"/>
      <c r="M258" s="413"/>
      <c r="N258" s="32" t="s">
        <v>87</v>
      </c>
      <c r="O258" s="32" t="s">
        <v>723</v>
      </c>
      <c r="P258" s="278" t="s">
        <v>742</v>
      </c>
      <c r="Q258" s="233" t="s">
        <v>741</v>
      </c>
      <c r="R258" s="75">
        <v>2380.5</v>
      </c>
      <c r="S258" s="75">
        <v>0</v>
      </c>
      <c r="T258" s="75">
        <v>2380.5</v>
      </c>
      <c r="U258" s="200">
        <v>1286</v>
      </c>
      <c r="V258" s="287">
        <f t="shared" ca="1" si="79"/>
        <v>10</v>
      </c>
      <c r="W258" s="75">
        <f t="shared" ca="1" si="80"/>
        <v>11252.5</v>
      </c>
      <c r="X258" s="200">
        <f t="shared" ca="1" si="76"/>
        <v>12668.5</v>
      </c>
      <c r="Y258" s="1">
        <v>0.5</v>
      </c>
      <c r="Z258" s="1"/>
      <c r="AA258" s="219"/>
      <c r="AB258" s="302" t="s">
        <v>6454</v>
      </c>
      <c r="AC258" s="302"/>
      <c r="AD258" s="302"/>
      <c r="AE258" s="302"/>
      <c r="AF258">
        <f t="shared" si="65"/>
        <v>0</v>
      </c>
    </row>
    <row r="259" spans="1:32" ht="26.25" hidden="1" x14ac:dyDescent="0.25">
      <c r="A259" s="322" t="s">
        <v>743</v>
      </c>
      <c r="B259" s="93" t="str">
        <f t="shared" si="77"/>
        <v>NO</v>
      </c>
      <c r="C259" s="93" t="s">
        <v>5503</v>
      </c>
      <c r="D259" s="4">
        <v>39065</v>
      </c>
      <c r="E259" s="2">
        <v>39142</v>
      </c>
      <c r="F259" s="2">
        <f t="shared" si="67"/>
        <v>42795</v>
      </c>
      <c r="G259" s="6">
        <v>321.58</v>
      </c>
      <c r="H259" s="7" t="s">
        <v>97</v>
      </c>
      <c r="I259" s="7" t="s">
        <v>86</v>
      </c>
      <c r="J259" s="186"/>
      <c r="K259" s="266">
        <f t="shared" si="78"/>
        <v>2017</v>
      </c>
      <c r="L259" s="413"/>
      <c r="M259" s="413"/>
      <c r="N259" s="32" t="s">
        <v>87</v>
      </c>
      <c r="O259" s="32" t="s">
        <v>723</v>
      </c>
      <c r="P259" s="278" t="s">
        <v>745</v>
      </c>
      <c r="Q259" s="233" t="s">
        <v>744</v>
      </c>
      <c r="R259" s="75">
        <v>1257</v>
      </c>
      <c r="S259" s="75">
        <v>0</v>
      </c>
      <c r="T259" s="75">
        <v>1257</v>
      </c>
      <c r="U259" s="200">
        <v>644</v>
      </c>
      <c r="V259" s="287">
        <f t="shared" ca="1" si="79"/>
        <v>10</v>
      </c>
      <c r="W259" s="75">
        <f t="shared" ca="1" si="80"/>
        <v>5635</v>
      </c>
      <c r="X259" s="200">
        <f t="shared" ca="1" si="76"/>
        <v>6409</v>
      </c>
      <c r="Y259" s="1">
        <v>0.5</v>
      </c>
      <c r="Z259" s="1"/>
      <c r="AA259" s="219"/>
      <c r="AB259" s="302" t="s">
        <v>6455</v>
      </c>
      <c r="AC259" s="302"/>
      <c r="AD259" s="302"/>
      <c r="AE259" s="302"/>
      <c r="AF259">
        <f t="shared" si="65"/>
        <v>0</v>
      </c>
    </row>
    <row r="260" spans="1:32" hidden="1" x14ac:dyDescent="0.25">
      <c r="A260" s="322" t="s">
        <v>746</v>
      </c>
      <c r="B260" s="93" t="str">
        <f t="shared" si="77"/>
        <v>NO</v>
      </c>
      <c r="C260" s="93" t="s">
        <v>5503</v>
      </c>
      <c r="D260" s="4">
        <v>39065</v>
      </c>
      <c r="E260" s="2">
        <v>39142</v>
      </c>
      <c r="F260" s="2">
        <f t="shared" si="67"/>
        <v>42795</v>
      </c>
      <c r="G260" s="6">
        <v>602.80999999999995</v>
      </c>
      <c r="H260" s="7" t="s">
        <v>97</v>
      </c>
      <c r="I260" s="7" t="s">
        <v>86</v>
      </c>
      <c r="J260" s="186"/>
      <c r="K260" s="266">
        <f t="shared" si="78"/>
        <v>2017</v>
      </c>
      <c r="L260" s="413"/>
      <c r="M260" s="413"/>
      <c r="N260" s="32" t="s">
        <v>87</v>
      </c>
      <c r="O260" s="32" t="s">
        <v>723</v>
      </c>
      <c r="P260" s="278" t="s">
        <v>748</v>
      </c>
      <c r="Q260" s="233" t="s">
        <v>747</v>
      </c>
      <c r="R260" s="75">
        <v>2240.5</v>
      </c>
      <c r="S260" s="75">
        <v>0</v>
      </c>
      <c r="T260" s="75">
        <v>2240.5</v>
      </c>
      <c r="U260" s="200">
        <v>1206</v>
      </c>
      <c r="V260" s="287">
        <f t="shared" ca="1" si="79"/>
        <v>10</v>
      </c>
      <c r="W260" s="75">
        <f t="shared" ca="1" si="80"/>
        <v>10552.5</v>
      </c>
      <c r="X260" s="200">
        <f t="shared" ca="1" si="76"/>
        <v>11888.5</v>
      </c>
      <c r="Y260" s="1">
        <v>0.5</v>
      </c>
      <c r="Z260" s="1"/>
      <c r="AA260" s="219"/>
      <c r="AB260" s="302" t="s">
        <v>6456</v>
      </c>
      <c r="AC260" s="302"/>
      <c r="AD260" s="302"/>
      <c r="AE260" s="302"/>
      <c r="AF260">
        <f t="shared" si="65"/>
        <v>0</v>
      </c>
    </row>
    <row r="261" spans="1:32" hidden="1" x14ac:dyDescent="0.25">
      <c r="A261" s="322" t="s">
        <v>749</v>
      </c>
      <c r="B261" s="93" t="str">
        <f t="shared" si="77"/>
        <v>NO</v>
      </c>
      <c r="C261" s="93" t="s">
        <v>5503</v>
      </c>
      <c r="D261" s="4">
        <v>39065</v>
      </c>
      <c r="E261" s="2">
        <v>39142</v>
      </c>
      <c r="F261" s="2">
        <f t="shared" si="67"/>
        <v>42795</v>
      </c>
      <c r="G261" s="6">
        <v>39.68</v>
      </c>
      <c r="H261" s="7" t="s">
        <v>97</v>
      </c>
      <c r="I261" s="7" t="s">
        <v>86</v>
      </c>
      <c r="J261" s="186"/>
      <c r="K261" s="266">
        <f t="shared" si="78"/>
        <v>2017</v>
      </c>
      <c r="L261" s="413"/>
      <c r="M261" s="413"/>
      <c r="N261" s="32" t="s">
        <v>87</v>
      </c>
      <c r="O261" s="32" t="s">
        <v>723</v>
      </c>
      <c r="P261" s="278" t="s">
        <v>751</v>
      </c>
      <c r="Q261" s="233" t="s">
        <v>750</v>
      </c>
      <c r="R261" s="75">
        <v>270</v>
      </c>
      <c r="S261" s="75">
        <v>4320</v>
      </c>
      <c r="T261" s="75">
        <v>4590</v>
      </c>
      <c r="U261" s="200">
        <v>80</v>
      </c>
      <c r="V261" s="287">
        <f t="shared" ca="1" si="79"/>
        <v>10</v>
      </c>
      <c r="W261" s="75">
        <f t="shared" ca="1" si="80"/>
        <v>700</v>
      </c>
      <c r="X261" s="200">
        <f t="shared" ca="1" si="76"/>
        <v>5230</v>
      </c>
      <c r="Y261" s="1">
        <v>0.5</v>
      </c>
      <c r="Z261" s="1"/>
      <c r="AA261" s="219"/>
      <c r="AB261" s="302" t="s">
        <v>6457</v>
      </c>
      <c r="AC261" s="302"/>
      <c r="AD261" s="302"/>
      <c r="AE261" s="302"/>
      <c r="AF261">
        <f t="shared" si="65"/>
        <v>0</v>
      </c>
    </row>
    <row r="262" spans="1:32" hidden="1" x14ac:dyDescent="0.25">
      <c r="A262" s="322" t="s">
        <v>752</v>
      </c>
      <c r="B262" s="93" t="str">
        <f t="shared" si="77"/>
        <v>NO</v>
      </c>
      <c r="C262" s="93" t="s">
        <v>5503</v>
      </c>
      <c r="D262" s="4">
        <v>39065</v>
      </c>
      <c r="E262" s="2">
        <v>39142</v>
      </c>
      <c r="F262" s="2">
        <f t="shared" si="67"/>
        <v>42795</v>
      </c>
      <c r="G262" s="6">
        <v>57.05</v>
      </c>
      <c r="H262" s="7" t="s">
        <v>97</v>
      </c>
      <c r="I262" s="7" t="s">
        <v>86</v>
      </c>
      <c r="J262" s="186"/>
      <c r="K262" s="266">
        <f t="shared" si="78"/>
        <v>2017</v>
      </c>
      <c r="L262" s="413"/>
      <c r="M262" s="413"/>
      <c r="N262" s="32" t="s">
        <v>87</v>
      </c>
      <c r="O262" s="32" t="s">
        <v>723</v>
      </c>
      <c r="P262" s="278" t="s">
        <v>754</v>
      </c>
      <c r="Q262" s="233" t="s">
        <v>753</v>
      </c>
      <c r="R262" s="75">
        <v>333</v>
      </c>
      <c r="S262" s="75">
        <v>0</v>
      </c>
      <c r="T262" s="75">
        <v>333</v>
      </c>
      <c r="U262" s="200">
        <v>116</v>
      </c>
      <c r="V262" s="287">
        <f t="shared" ca="1" si="79"/>
        <v>10</v>
      </c>
      <c r="W262" s="75">
        <f t="shared" ca="1" si="80"/>
        <v>1015</v>
      </c>
      <c r="X262" s="200">
        <f t="shared" ca="1" si="76"/>
        <v>1261</v>
      </c>
      <c r="Y262" s="1">
        <v>0.5</v>
      </c>
      <c r="Z262" s="1"/>
      <c r="AA262" s="219"/>
      <c r="AB262" s="302" t="s">
        <v>6458</v>
      </c>
      <c r="AC262" s="302"/>
      <c r="AD262" s="302"/>
      <c r="AE262" s="302"/>
      <c r="AF262">
        <f t="shared" si="65"/>
        <v>0</v>
      </c>
    </row>
    <row r="263" spans="1:32" hidden="1" x14ac:dyDescent="0.25">
      <c r="A263" s="322" t="s">
        <v>755</v>
      </c>
      <c r="B263" s="93" t="str">
        <f t="shared" si="77"/>
        <v>NO</v>
      </c>
      <c r="C263" s="93" t="s">
        <v>5503</v>
      </c>
      <c r="D263" s="4">
        <v>39065</v>
      </c>
      <c r="E263" s="2">
        <v>39142</v>
      </c>
      <c r="F263" s="2">
        <f t="shared" si="67"/>
        <v>42795</v>
      </c>
      <c r="G263" s="6">
        <v>640</v>
      </c>
      <c r="H263" s="7" t="s">
        <v>97</v>
      </c>
      <c r="I263" s="7" t="s">
        <v>86</v>
      </c>
      <c r="J263" s="186"/>
      <c r="K263" s="266">
        <f t="shared" si="78"/>
        <v>2017</v>
      </c>
      <c r="L263" s="413"/>
      <c r="M263" s="413"/>
      <c r="N263" s="32" t="s">
        <v>87</v>
      </c>
      <c r="O263" s="32" t="s">
        <v>723</v>
      </c>
      <c r="P263" s="278" t="s">
        <v>757</v>
      </c>
      <c r="Q263" s="233" t="s">
        <v>756</v>
      </c>
      <c r="R263" s="75">
        <v>2370</v>
      </c>
      <c r="S263" s="75">
        <v>0</v>
      </c>
      <c r="T263" s="75">
        <v>2370</v>
      </c>
      <c r="U263" s="200">
        <v>1280</v>
      </c>
      <c r="V263" s="287">
        <f t="shared" ca="1" si="79"/>
        <v>10</v>
      </c>
      <c r="W263" s="75">
        <f t="shared" ca="1" si="80"/>
        <v>11200</v>
      </c>
      <c r="X263" s="200">
        <f t="shared" ca="1" si="76"/>
        <v>12610</v>
      </c>
      <c r="Y263" s="1">
        <v>0.5</v>
      </c>
      <c r="Z263" s="1"/>
      <c r="AA263" s="219"/>
      <c r="AB263" s="302" t="s">
        <v>6459</v>
      </c>
      <c r="AC263" s="302"/>
      <c r="AD263" s="302"/>
      <c r="AE263" s="302"/>
      <c r="AF263">
        <f t="shared" si="65"/>
        <v>0</v>
      </c>
    </row>
    <row r="264" spans="1:32" hidden="1" x14ac:dyDescent="0.25">
      <c r="A264" s="322" t="s">
        <v>758</v>
      </c>
      <c r="B264" s="93" t="str">
        <f t="shared" si="77"/>
        <v>NO</v>
      </c>
      <c r="C264" s="93" t="s">
        <v>5503</v>
      </c>
      <c r="D264" s="4">
        <v>39065</v>
      </c>
      <c r="E264" s="2">
        <v>39142</v>
      </c>
      <c r="F264" s="2">
        <f t="shared" si="67"/>
        <v>42795</v>
      </c>
      <c r="G264" s="6">
        <v>40</v>
      </c>
      <c r="H264" s="7" t="s">
        <v>412</v>
      </c>
      <c r="I264" s="7" t="s">
        <v>86</v>
      </c>
      <c r="J264" s="186"/>
      <c r="K264" s="266">
        <f t="shared" si="78"/>
        <v>2017</v>
      </c>
      <c r="L264" s="413"/>
      <c r="M264" s="413"/>
      <c r="N264" s="32" t="s">
        <v>87</v>
      </c>
      <c r="O264" s="32" t="s">
        <v>760</v>
      </c>
      <c r="P264" s="278" t="s">
        <v>761</v>
      </c>
      <c r="Q264" s="233" t="s">
        <v>759</v>
      </c>
      <c r="R264" s="75">
        <v>270</v>
      </c>
      <c r="S264" s="75">
        <v>160</v>
      </c>
      <c r="T264" s="75">
        <v>430</v>
      </c>
      <c r="U264" s="200">
        <v>80</v>
      </c>
      <c r="V264" s="287">
        <f t="shared" ca="1" si="79"/>
        <v>10</v>
      </c>
      <c r="W264" s="75">
        <f t="shared" ca="1" si="80"/>
        <v>700</v>
      </c>
      <c r="X264" s="200">
        <f t="shared" ca="1" si="76"/>
        <v>1070</v>
      </c>
      <c r="Y264" s="1">
        <v>0.5</v>
      </c>
      <c r="Z264" s="1"/>
      <c r="AA264" s="219"/>
      <c r="AB264" s="302" t="s">
        <v>6460</v>
      </c>
      <c r="AC264" s="302"/>
      <c r="AD264" s="302"/>
      <c r="AE264" s="302"/>
      <c r="AF264">
        <f t="shared" si="65"/>
        <v>0</v>
      </c>
    </row>
    <row r="265" spans="1:32" ht="51.75" hidden="1" x14ac:dyDescent="0.25">
      <c r="A265" s="322" t="s">
        <v>762</v>
      </c>
      <c r="B265" s="93" t="str">
        <f t="shared" si="77"/>
        <v>NO</v>
      </c>
      <c r="C265" s="93" t="s">
        <v>5503</v>
      </c>
      <c r="D265" s="4">
        <v>39065</v>
      </c>
      <c r="E265" s="2">
        <v>39142</v>
      </c>
      <c r="F265" s="2">
        <f t="shared" si="67"/>
        <v>42795</v>
      </c>
      <c r="G265" s="6">
        <v>478.73</v>
      </c>
      <c r="H265" s="7" t="s">
        <v>412</v>
      </c>
      <c r="I265" s="7" t="s">
        <v>86</v>
      </c>
      <c r="J265" s="186"/>
      <c r="K265" s="266">
        <f t="shared" si="78"/>
        <v>2017</v>
      </c>
      <c r="L265" s="413"/>
      <c r="M265" s="413"/>
      <c r="N265" s="32" t="s">
        <v>87</v>
      </c>
      <c r="O265" s="32" t="s">
        <v>760</v>
      </c>
      <c r="P265" s="278" t="s">
        <v>764</v>
      </c>
      <c r="Q265" s="233" t="s">
        <v>763</v>
      </c>
      <c r="R265" s="75">
        <v>1806.5</v>
      </c>
      <c r="S265" s="75">
        <v>0</v>
      </c>
      <c r="T265" s="75">
        <v>1806.5</v>
      </c>
      <c r="U265" s="200">
        <v>958</v>
      </c>
      <c r="V265" s="287">
        <f t="shared" ca="1" si="79"/>
        <v>10</v>
      </c>
      <c r="W265" s="75">
        <f t="shared" ca="1" si="80"/>
        <v>8382.5</v>
      </c>
      <c r="X265" s="200">
        <f t="shared" ca="1" si="76"/>
        <v>9470.5</v>
      </c>
      <c r="Y265" s="1">
        <v>0.5</v>
      </c>
      <c r="Z265" s="1"/>
      <c r="AA265" s="219"/>
      <c r="AB265" s="302" t="s">
        <v>6461</v>
      </c>
      <c r="AC265" s="302"/>
      <c r="AD265" s="302"/>
      <c r="AE265" s="302"/>
      <c r="AF265">
        <f t="shared" si="65"/>
        <v>0</v>
      </c>
    </row>
    <row r="266" spans="1:32" hidden="1" x14ac:dyDescent="0.25">
      <c r="A266" s="322" t="s">
        <v>765</v>
      </c>
      <c r="B266" s="93" t="str">
        <f t="shared" si="77"/>
        <v>NO</v>
      </c>
      <c r="C266" s="93" t="s">
        <v>5503</v>
      </c>
      <c r="D266" s="4">
        <v>39065</v>
      </c>
      <c r="E266" s="2">
        <v>39142</v>
      </c>
      <c r="F266" s="2">
        <f t="shared" si="67"/>
        <v>42795</v>
      </c>
      <c r="G266" s="6">
        <v>644</v>
      </c>
      <c r="H266" s="7" t="s">
        <v>412</v>
      </c>
      <c r="I266" s="7" t="s">
        <v>86</v>
      </c>
      <c r="J266" s="186"/>
      <c r="K266" s="266">
        <f t="shared" si="78"/>
        <v>2017</v>
      </c>
      <c r="L266" s="413"/>
      <c r="M266" s="413"/>
      <c r="N266" s="32" t="s">
        <v>87</v>
      </c>
      <c r="O266" s="32" t="s">
        <v>760</v>
      </c>
      <c r="P266" s="278" t="s">
        <v>767</v>
      </c>
      <c r="Q266" s="233" t="s">
        <v>766</v>
      </c>
      <c r="R266" s="75">
        <v>2384</v>
      </c>
      <c r="S266" s="75">
        <v>0</v>
      </c>
      <c r="T266" s="75">
        <v>2384</v>
      </c>
      <c r="U266" s="200">
        <v>1288</v>
      </c>
      <c r="V266" s="287">
        <f t="shared" ca="1" si="79"/>
        <v>10</v>
      </c>
      <c r="W266" s="75">
        <f t="shared" ca="1" si="80"/>
        <v>11270</v>
      </c>
      <c r="X266" s="200">
        <f t="shared" ca="1" si="76"/>
        <v>12688</v>
      </c>
      <c r="Y266" s="1">
        <v>0.5</v>
      </c>
      <c r="Z266" s="1"/>
      <c r="AA266" s="219"/>
      <c r="AB266" s="302" t="s">
        <v>6462</v>
      </c>
      <c r="AC266" s="302"/>
      <c r="AD266" s="302"/>
      <c r="AE266" s="302"/>
      <c r="AF266">
        <f t="shared" si="65"/>
        <v>0</v>
      </c>
    </row>
    <row r="267" spans="1:32" hidden="1" x14ac:dyDescent="0.25">
      <c r="A267" s="322" t="s">
        <v>768</v>
      </c>
      <c r="B267" s="93" t="str">
        <f t="shared" si="77"/>
        <v>NO</v>
      </c>
      <c r="C267" s="93" t="s">
        <v>5503</v>
      </c>
      <c r="D267" s="4">
        <v>39065</v>
      </c>
      <c r="E267" s="2">
        <v>39142</v>
      </c>
      <c r="F267" s="2">
        <f t="shared" si="67"/>
        <v>42795</v>
      </c>
      <c r="G267" s="6">
        <v>643.70000000000005</v>
      </c>
      <c r="H267" s="7" t="s">
        <v>412</v>
      </c>
      <c r="I267" s="7" t="s">
        <v>86</v>
      </c>
      <c r="J267" s="186"/>
      <c r="K267" s="266">
        <f t="shared" si="78"/>
        <v>2017</v>
      </c>
      <c r="L267" s="413"/>
      <c r="M267" s="413"/>
      <c r="N267" s="32" t="s">
        <v>87</v>
      </c>
      <c r="O267" s="32" t="s">
        <v>760</v>
      </c>
      <c r="P267" s="278" t="s">
        <v>727</v>
      </c>
      <c r="Q267" s="233" t="s">
        <v>769</v>
      </c>
      <c r="R267" s="75">
        <v>2384</v>
      </c>
      <c r="S267" s="75">
        <v>2576</v>
      </c>
      <c r="T267" s="75">
        <v>4960</v>
      </c>
      <c r="U267" s="200">
        <v>1288</v>
      </c>
      <c r="V267" s="287">
        <f t="shared" ca="1" si="79"/>
        <v>10</v>
      </c>
      <c r="W267" s="75">
        <f t="shared" ca="1" si="80"/>
        <v>11270</v>
      </c>
      <c r="X267" s="200">
        <f t="shared" ca="1" si="76"/>
        <v>15264</v>
      </c>
      <c r="Y267" s="1">
        <v>0.5</v>
      </c>
      <c r="Z267" s="1"/>
      <c r="AA267" s="219"/>
      <c r="AB267" s="302" t="s">
        <v>6463</v>
      </c>
      <c r="AC267" s="302"/>
      <c r="AD267" s="302"/>
      <c r="AE267" s="302"/>
      <c r="AF267">
        <f t="shared" ref="AF267:AF330" si="81">COUNTIF(FilterList,A267)</f>
        <v>0</v>
      </c>
    </row>
    <row r="268" spans="1:32" hidden="1" x14ac:dyDescent="0.25">
      <c r="A268" s="322" t="s">
        <v>770</v>
      </c>
      <c r="B268" s="93" t="str">
        <f t="shared" si="77"/>
        <v>NO</v>
      </c>
      <c r="C268" s="93" t="s">
        <v>5503</v>
      </c>
      <c r="D268" s="4">
        <v>39065</v>
      </c>
      <c r="E268" s="2">
        <v>39142</v>
      </c>
      <c r="F268" s="2">
        <f t="shared" ref="F268:F331" si="82">DATE(YEAR(E268)+10,MONTH(E268),DAY(E268))</f>
        <v>42795</v>
      </c>
      <c r="G268" s="6">
        <v>79.88</v>
      </c>
      <c r="H268" s="7" t="s">
        <v>412</v>
      </c>
      <c r="I268" s="7" t="s">
        <v>86</v>
      </c>
      <c r="J268" s="186"/>
      <c r="K268" s="266">
        <f t="shared" si="78"/>
        <v>2017</v>
      </c>
      <c r="L268" s="413"/>
      <c r="M268" s="413"/>
      <c r="N268" s="32" t="s">
        <v>87</v>
      </c>
      <c r="O268" s="32" t="s">
        <v>760</v>
      </c>
      <c r="P268" s="278" t="s">
        <v>772</v>
      </c>
      <c r="Q268" s="233" t="s">
        <v>771</v>
      </c>
      <c r="R268" s="75">
        <v>410</v>
      </c>
      <c r="S268" s="75">
        <v>0</v>
      </c>
      <c r="T268" s="75">
        <v>410</v>
      </c>
      <c r="U268" s="200">
        <v>160</v>
      </c>
      <c r="V268" s="287">
        <f t="shared" ca="1" si="79"/>
        <v>10</v>
      </c>
      <c r="W268" s="75">
        <f t="shared" ca="1" si="80"/>
        <v>1400</v>
      </c>
      <c r="X268" s="200">
        <f t="shared" ca="1" si="76"/>
        <v>1690</v>
      </c>
      <c r="Y268" s="1">
        <v>0.5</v>
      </c>
      <c r="Z268" s="1"/>
      <c r="AA268" s="219"/>
      <c r="AB268" s="302" t="s">
        <v>6464</v>
      </c>
      <c r="AC268" s="302"/>
      <c r="AD268" s="302"/>
      <c r="AE268" s="302"/>
      <c r="AF268">
        <f t="shared" si="81"/>
        <v>0</v>
      </c>
    </row>
    <row r="269" spans="1:32" hidden="1" x14ac:dyDescent="0.25">
      <c r="A269" s="322" t="s">
        <v>773</v>
      </c>
      <c r="B269" s="93" t="str">
        <f t="shared" si="77"/>
        <v>NO</v>
      </c>
      <c r="C269" s="93" t="s">
        <v>5503</v>
      </c>
      <c r="D269" s="4">
        <v>39065</v>
      </c>
      <c r="E269" s="2">
        <v>39142</v>
      </c>
      <c r="F269" s="2">
        <f t="shared" si="82"/>
        <v>42795</v>
      </c>
      <c r="G269" s="6">
        <v>200.62</v>
      </c>
      <c r="H269" s="7" t="s">
        <v>376</v>
      </c>
      <c r="I269" s="7" t="s">
        <v>86</v>
      </c>
      <c r="J269" s="105" t="s">
        <v>5163</v>
      </c>
      <c r="K269" s="266">
        <f t="shared" si="78"/>
        <v>2017</v>
      </c>
      <c r="L269" s="412"/>
      <c r="M269" s="412"/>
      <c r="N269" s="32" t="s">
        <v>87</v>
      </c>
      <c r="O269" s="32" t="s">
        <v>775</v>
      </c>
      <c r="P269" s="278" t="s">
        <v>776</v>
      </c>
      <c r="Q269" s="233" t="s">
        <v>774</v>
      </c>
      <c r="R269" s="75">
        <v>833.5</v>
      </c>
      <c r="S269" s="75">
        <v>35778</v>
      </c>
      <c r="T269" s="75">
        <v>36611.5</v>
      </c>
      <c r="U269" s="200">
        <v>402</v>
      </c>
      <c r="V269" s="287">
        <f t="shared" ca="1" si="79"/>
        <v>10</v>
      </c>
      <c r="W269" s="75">
        <f t="shared" ca="1" si="80"/>
        <v>3517.5</v>
      </c>
      <c r="X269" s="200">
        <f t="shared" ca="1" si="76"/>
        <v>39827.5</v>
      </c>
      <c r="Y269" s="1">
        <v>0.5</v>
      </c>
      <c r="Z269" s="1"/>
      <c r="AA269" s="219"/>
      <c r="AB269" s="302"/>
      <c r="AC269" s="302"/>
      <c r="AD269" s="302"/>
      <c r="AE269" s="302"/>
      <c r="AF269">
        <f t="shared" si="81"/>
        <v>0</v>
      </c>
    </row>
    <row r="270" spans="1:32" ht="26.25" hidden="1" x14ac:dyDescent="0.25">
      <c r="A270" s="322" t="s">
        <v>777</v>
      </c>
      <c r="B270" s="93" t="str">
        <f t="shared" si="77"/>
        <v>NO</v>
      </c>
      <c r="C270" s="93" t="s">
        <v>5503</v>
      </c>
      <c r="D270" s="4">
        <v>39065</v>
      </c>
      <c r="E270" s="2">
        <v>39142</v>
      </c>
      <c r="F270" s="2">
        <f t="shared" si="82"/>
        <v>42795</v>
      </c>
      <c r="G270" s="6">
        <v>638.52</v>
      </c>
      <c r="H270" s="7" t="s">
        <v>376</v>
      </c>
      <c r="I270" s="7" t="s">
        <v>86</v>
      </c>
      <c r="J270" s="105" t="s">
        <v>5163</v>
      </c>
      <c r="K270" s="266">
        <f t="shared" si="78"/>
        <v>2017</v>
      </c>
      <c r="L270" s="412"/>
      <c r="M270" s="412"/>
      <c r="N270" s="32" t="s">
        <v>87</v>
      </c>
      <c r="O270" s="32" t="s">
        <v>775</v>
      </c>
      <c r="P270" s="278" t="s">
        <v>779</v>
      </c>
      <c r="Q270" s="233" t="s">
        <v>778</v>
      </c>
      <c r="R270" s="75">
        <v>2366.5</v>
      </c>
      <c r="S270" s="75">
        <v>21087</v>
      </c>
      <c r="T270" s="75">
        <v>23453.5</v>
      </c>
      <c r="U270" s="200">
        <v>1278</v>
      </c>
      <c r="V270" s="287">
        <f t="shared" ca="1" si="79"/>
        <v>10</v>
      </c>
      <c r="W270" s="75">
        <f t="shared" ca="1" si="80"/>
        <v>11182.5</v>
      </c>
      <c r="X270" s="200">
        <f t="shared" ca="1" si="76"/>
        <v>33677.5</v>
      </c>
      <c r="Y270" s="1">
        <v>0.5</v>
      </c>
      <c r="Z270" s="1"/>
      <c r="AA270" s="219"/>
      <c r="AB270" s="302"/>
      <c r="AC270" s="302"/>
      <c r="AD270" s="302"/>
      <c r="AE270" s="302"/>
      <c r="AF270">
        <f t="shared" si="81"/>
        <v>0</v>
      </c>
    </row>
    <row r="271" spans="1:32" hidden="1" x14ac:dyDescent="0.25">
      <c r="A271" s="322" t="s">
        <v>780</v>
      </c>
      <c r="B271" s="93" t="str">
        <f t="shared" si="77"/>
        <v>NO</v>
      </c>
      <c r="C271" s="93" t="s">
        <v>5503</v>
      </c>
      <c r="D271" s="4">
        <v>39065</v>
      </c>
      <c r="E271" s="2">
        <v>39142</v>
      </c>
      <c r="F271" s="2">
        <f t="shared" si="82"/>
        <v>42795</v>
      </c>
      <c r="G271" s="6">
        <v>640</v>
      </c>
      <c r="H271" s="7" t="s">
        <v>376</v>
      </c>
      <c r="I271" s="7" t="s">
        <v>86</v>
      </c>
      <c r="J271" s="105" t="s">
        <v>5163</v>
      </c>
      <c r="K271" s="266">
        <f t="shared" si="78"/>
        <v>2017</v>
      </c>
      <c r="L271" s="412"/>
      <c r="M271" s="412"/>
      <c r="N271" s="32" t="s">
        <v>87</v>
      </c>
      <c r="O271" s="32" t="s">
        <v>783</v>
      </c>
      <c r="P271" s="278" t="s">
        <v>767</v>
      </c>
      <c r="Q271" s="233" t="s">
        <v>781</v>
      </c>
      <c r="R271" s="75">
        <v>2370</v>
      </c>
      <c r="S271" s="75">
        <v>1920</v>
      </c>
      <c r="T271" s="75">
        <v>4290</v>
      </c>
      <c r="U271" s="200">
        <v>1280</v>
      </c>
      <c r="V271" s="287">
        <f t="shared" ca="1" si="79"/>
        <v>10</v>
      </c>
      <c r="W271" s="75">
        <f t="shared" ca="1" si="80"/>
        <v>11200</v>
      </c>
      <c r="X271" s="200">
        <f t="shared" ca="1" si="76"/>
        <v>14530</v>
      </c>
      <c r="Y271" s="1">
        <v>0.5</v>
      </c>
      <c r="Z271" s="1"/>
      <c r="AA271" s="219"/>
      <c r="AB271" s="302"/>
      <c r="AC271" s="302"/>
      <c r="AD271" s="302"/>
      <c r="AE271" s="302"/>
      <c r="AF271">
        <f t="shared" si="81"/>
        <v>0</v>
      </c>
    </row>
    <row r="272" spans="1:32" hidden="1" x14ac:dyDescent="0.25">
      <c r="A272" s="322" t="s">
        <v>784</v>
      </c>
      <c r="B272" s="93" t="str">
        <f t="shared" si="77"/>
        <v>NO</v>
      </c>
      <c r="C272" s="93" t="s">
        <v>5503</v>
      </c>
      <c r="D272" s="4">
        <v>39065</v>
      </c>
      <c r="E272" s="2">
        <v>39142</v>
      </c>
      <c r="F272" s="2">
        <f t="shared" si="82"/>
        <v>42795</v>
      </c>
      <c r="G272" s="6">
        <v>440.28</v>
      </c>
      <c r="H272" s="7" t="s">
        <v>376</v>
      </c>
      <c r="I272" s="7" t="s">
        <v>86</v>
      </c>
      <c r="J272" s="105" t="s">
        <v>5163</v>
      </c>
      <c r="K272" s="266">
        <f t="shared" si="78"/>
        <v>2017</v>
      </c>
      <c r="L272" s="412"/>
      <c r="M272" s="412"/>
      <c r="N272" s="32" t="s">
        <v>87</v>
      </c>
      <c r="O272" s="32" t="s">
        <v>783</v>
      </c>
      <c r="P272" s="278" t="s">
        <v>786</v>
      </c>
      <c r="Q272" s="233" t="s">
        <v>785</v>
      </c>
      <c r="R272" s="75">
        <v>1673.5</v>
      </c>
      <c r="S272" s="75">
        <v>1323</v>
      </c>
      <c r="T272" s="75">
        <v>2996.5</v>
      </c>
      <c r="U272" s="200">
        <v>882</v>
      </c>
      <c r="V272" s="287">
        <f t="shared" ca="1" si="79"/>
        <v>10</v>
      </c>
      <c r="W272" s="75">
        <f t="shared" ca="1" si="80"/>
        <v>7717.5</v>
      </c>
      <c r="X272" s="200">
        <f t="shared" ca="1" si="76"/>
        <v>10052.5</v>
      </c>
      <c r="Y272" s="1">
        <v>0.5</v>
      </c>
      <c r="Z272" s="1"/>
      <c r="AA272" s="219"/>
      <c r="AB272" s="302"/>
      <c r="AC272" s="302"/>
      <c r="AD272" s="302"/>
      <c r="AE272" s="302"/>
      <c r="AF272">
        <f t="shared" si="81"/>
        <v>0</v>
      </c>
    </row>
    <row r="273" spans="1:32" ht="26.25" hidden="1" x14ac:dyDescent="0.25">
      <c r="A273" s="322" t="s">
        <v>787</v>
      </c>
      <c r="B273" s="93" t="str">
        <f t="shared" si="77"/>
        <v>NO</v>
      </c>
      <c r="C273" s="93" t="s">
        <v>5503</v>
      </c>
      <c r="D273" s="4">
        <v>39065</v>
      </c>
      <c r="E273" s="2">
        <v>39142</v>
      </c>
      <c r="F273" s="2">
        <f t="shared" si="82"/>
        <v>42795</v>
      </c>
      <c r="G273" s="6">
        <v>588.12</v>
      </c>
      <c r="H273" s="7" t="s">
        <v>376</v>
      </c>
      <c r="I273" s="7" t="s">
        <v>86</v>
      </c>
      <c r="J273" s="105" t="s">
        <v>5163</v>
      </c>
      <c r="K273" s="266">
        <f t="shared" si="78"/>
        <v>2017</v>
      </c>
      <c r="L273" s="412"/>
      <c r="M273" s="412"/>
      <c r="N273" s="32" t="s">
        <v>87</v>
      </c>
      <c r="O273" s="32" t="s">
        <v>783</v>
      </c>
      <c r="P273" s="278" t="s">
        <v>789</v>
      </c>
      <c r="Q273" s="233" t="s">
        <v>788</v>
      </c>
      <c r="R273" s="75">
        <v>2191.5</v>
      </c>
      <c r="S273" s="75">
        <v>2356</v>
      </c>
      <c r="T273" s="75">
        <v>4547.5</v>
      </c>
      <c r="U273" s="200">
        <v>1178</v>
      </c>
      <c r="V273" s="287">
        <f t="shared" ca="1" si="79"/>
        <v>10</v>
      </c>
      <c r="W273" s="75">
        <f t="shared" ca="1" si="80"/>
        <v>10307.5</v>
      </c>
      <c r="X273" s="200">
        <f t="shared" ca="1" si="76"/>
        <v>13971.5</v>
      </c>
      <c r="Y273" s="1">
        <v>0.5</v>
      </c>
      <c r="Z273" s="1"/>
      <c r="AA273" s="219"/>
      <c r="AB273" s="302"/>
      <c r="AC273" s="302"/>
      <c r="AD273" s="302"/>
      <c r="AE273" s="302"/>
      <c r="AF273">
        <f t="shared" si="81"/>
        <v>0</v>
      </c>
    </row>
    <row r="274" spans="1:32" hidden="1" x14ac:dyDescent="0.25">
      <c r="A274" s="322" t="s">
        <v>790</v>
      </c>
      <c r="B274" s="93" t="str">
        <f t="shared" si="77"/>
        <v>NO</v>
      </c>
      <c r="C274" s="93" t="s">
        <v>5503</v>
      </c>
      <c r="D274" s="4">
        <v>39065</v>
      </c>
      <c r="E274" s="2">
        <v>39142</v>
      </c>
      <c r="F274" s="2">
        <f t="shared" si="82"/>
        <v>42795</v>
      </c>
      <c r="G274" s="6">
        <v>642.96</v>
      </c>
      <c r="H274" s="7" t="s">
        <v>376</v>
      </c>
      <c r="I274" s="7" t="s">
        <v>86</v>
      </c>
      <c r="J274" s="105" t="s">
        <v>5163</v>
      </c>
      <c r="K274" s="266">
        <f t="shared" si="78"/>
        <v>2017</v>
      </c>
      <c r="L274" s="412"/>
      <c r="M274" s="412"/>
      <c r="N274" s="32" t="s">
        <v>87</v>
      </c>
      <c r="O274" s="32" t="s">
        <v>783</v>
      </c>
      <c r="P274" s="278" t="s">
        <v>792</v>
      </c>
      <c r="Q274" s="233" t="s">
        <v>791</v>
      </c>
      <c r="R274" s="75">
        <v>2380.5</v>
      </c>
      <c r="S274" s="75">
        <v>2572</v>
      </c>
      <c r="T274" s="75">
        <v>4952.5</v>
      </c>
      <c r="U274" s="200">
        <v>1286</v>
      </c>
      <c r="V274" s="287">
        <f t="shared" ca="1" si="79"/>
        <v>10</v>
      </c>
      <c r="W274" s="75">
        <f t="shared" ca="1" si="80"/>
        <v>11252.5</v>
      </c>
      <c r="X274" s="200">
        <f t="shared" ca="1" si="76"/>
        <v>15240.5</v>
      </c>
      <c r="Y274" s="1">
        <v>0.5</v>
      </c>
      <c r="Z274" s="1"/>
      <c r="AA274" s="219"/>
      <c r="AB274" s="302"/>
      <c r="AC274" s="302"/>
      <c r="AD274" s="302"/>
      <c r="AE274" s="302"/>
      <c r="AF274">
        <f t="shared" si="81"/>
        <v>0</v>
      </c>
    </row>
    <row r="275" spans="1:32" hidden="1" x14ac:dyDescent="0.25">
      <c r="A275" s="322" t="s">
        <v>793</v>
      </c>
      <c r="B275" s="93" t="str">
        <f t="shared" si="77"/>
        <v>NO</v>
      </c>
      <c r="C275" s="93" t="s">
        <v>5503</v>
      </c>
      <c r="D275" s="4">
        <v>39065</v>
      </c>
      <c r="E275" s="2">
        <v>39142</v>
      </c>
      <c r="F275" s="2">
        <f t="shared" si="82"/>
        <v>42795</v>
      </c>
      <c r="G275" s="6">
        <v>640.32000000000005</v>
      </c>
      <c r="H275" s="7" t="s">
        <v>376</v>
      </c>
      <c r="I275" s="7" t="s">
        <v>86</v>
      </c>
      <c r="J275" s="105" t="s">
        <v>5163</v>
      </c>
      <c r="K275" s="266">
        <f t="shared" si="78"/>
        <v>2017</v>
      </c>
      <c r="L275" s="412"/>
      <c r="M275" s="412"/>
      <c r="N275" s="32" t="s">
        <v>87</v>
      </c>
      <c r="O275" s="32" t="s">
        <v>783</v>
      </c>
      <c r="P275" s="278" t="s">
        <v>795</v>
      </c>
      <c r="Q275" s="233" t="s">
        <v>794</v>
      </c>
      <c r="R275" s="75">
        <v>2373.5</v>
      </c>
      <c r="S275" s="75">
        <v>2564</v>
      </c>
      <c r="T275" s="75">
        <v>4937.5</v>
      </c>
      <c r="U275" s="200">
        <v>1282</v>
      </c>
      <c r="V275" s="287">
        <f t="shared" ca="1" si="79"/>
        <v>10</v>
      </c>
      <c r="W275" s="75">
        <f t="shared" ca="1" si="80"/>
        <v>11217.5</v>
      </c>
      <c r="X275" s="200">
        <f t="shared" ca="1" si="76"/>
        <v>15193.5</v>
      </c>
      <c r="Y275" s="1">
        <v>0.5</v>
      </c>
      <c r="Z275" s="1"/>
      <c r="AA275" s="219"/>
      <c r="AB275" s="302"/>
      <c r="AC275" s="302"/>
      <c r="AD275" s="302"/>
      <c r="AE275" s="302"/>
      <c r="AF275">
        <f t="shared" si="81"/>
        <v>0</v>
      </c>
    </row>
    <row r="276" spans="1:32" hidden="1" x14ac:dyDescent="0.25">
      <c r="A276" s="322" t="s">
        <v>796</v>
      </c>
      <c r="B276" s="93" t="str">
        <f t="shared" si="77"/>
        <v>NO</v>
      </c>
      <c r="C276" s="93" t="s">
        <v>5503</v>
      </c>
      <c r="D276" s="4">
        <v>39065</v>
      </c>
      <c r="E276" s="2">
        <v>39142</v>
      </c>
      <c r="F276" s="2">
        <f t="shared" si="82"/>
        <v>42795</v>
      </c>
      <c r="G276" s="6">
        <v>640</v>
      </c>
      <c r="H276" s="7" t="s">
        <v>376</v>
      </c>
      <c r="I276" s="7" t="s">
        <v>86</v>
      </c>
      <c r="J276" s="105" t="s">
        <v>5163</v>
      </c>
      <c r="K276" s="266">
        <f t="shared" si="78"/>
        <v>2017</v>
      </c>
      <c r="L276" s="412"/>
      <c r="M276" s="412"/>
      <c r="N276" s="32" t="s">
        <v>87</v>
      </c>
      <c r="O276" s="32" t="s">
        <v>783</v>
      </c>
      <c r="P276" s="278" t="s">
        <v>798</v>
      </c>
      <c r="Q276" s="233" t="s">
        <v>797</v>
      </c>
      <c r="R276" s="75">
        <v>2370</v>
      </c>
      <c r="S276" s="75">
        <v>2560</v>
      </c>
      <c r="T276" s="75">
        <v>4930</v>
      </c>
      <c r="U276" s="200">
        <v>1280</v>
      </c>
      <c r="V276" s="287">
        <f t="shared" ca="1" si="79"/>
        <v>10</v>
      </c>
      <c r="W276" s="75">
        <f t="shared" ca="1" si="80"/>
        <v>11200</v>
      </c>
      <c r="X276" s="200">
        <f t="shared" ca="1" si="76"/>
        <v>15170</v>
      </c>
      <c r="Y276" s="1">
        <v>0.5</v>
      </c>
      <c r="Z276" s="1"/>
      <c r="AA276" s="219"/>
      <c r="AB276" s="302"/>
      <c r="AC276" s="302"/>
      <c r="AD276" s="302"/>
      <c r="AE276" s="302"/>
      <c r="AF276">
        <f t="shared" si="81"/>
        <v>0</v>
      </c>
    </row>
    <row r="277" spans="1:32" hidden="1" x14ac:dyDescent="0.25">
      <c r="A277" s="322" t="s">
        <v>799</v>
      </c>
      <c r="B277" s="93" t="str">
        <f t="shared" si="77"/>
        <v>NO</v>
      </c>
      <c r="C277" s="93" t="s">
        <v>5503</v>
      </c>
      <c r="D277" s="4">
        <v>39065</v>
      </c>
      <c r="E277" s="2">
        <v>39142</v>
      </c>
      <c r="F277" s="2">
        <f t="shared" si="82"/>
        <v>42795</v>
      </c>
      <c r="G277" s="6">
        <v>640</v>
      </c>
      <c r="H277" s="7" t="s">
        <v>202</v>
      </c>
      <c r="I277" s="7" t="s">
        <v>86</v>
      </c>
      <c r="J277" s="105" t="s">
        <v>5163</v>
      </c>
      <c r="K277" s="266">
        <f t="shared" si="78"/>
        <v>2017</v>
      </c>
      <c r="L277" s="412"/>
      <c r="M277" s="412"/>
      <c r="N277" s="32" t="s">
        <v>87</v>
      </c>
      <c r="O277" s="32" t="s">
        <v>783</v>
      </c>
      <c r="P277" s="278" t="s">
        <v>801</v>
      </c>
      <c r="Q277" s="233" t="s">
        <v>800</v>
      </c>
      <c r="R277" s="75">
        <v>2370</v>
      </c>
      <c r="S277" s="75">
        <v>0</v>
      </c>
      <c r="T277" s="75">
        <v>2370</v>
      </c>
      <c r="U277" s="200">
        <v>1280</v>
      </c>
      <c r="V277" s="287">
        <f t="shared" ca="1" si="79"/>
        <v>10</v>
      </c>
      <c r="W277" s="75">
        <f t="shared" ca="1" si="80"/>
        <v>11200</v>
      </c>
      <c r="X277" s="200">
        <f t="shared" ca="1" si="76"/>
        <v>12610</v>
      </c>
      <c r="Y277" s="1">
        <v>0.5</v>
      </c>
      <c r="Z277" s="1"/>
      <c r="AA277" s="219"/>
      <c r="AB277" s="302" t="s">
        <v>6465</v>
      </c>
      <c r="AC277" s="302"/>
      <c r="AD277" s="302"/>
      <c r="AE277" s="302"/>
      <c r="AF277">
        <f t="shared" si="81"/>
        <v>0</v>
      </c>
    </row>
    <row r="278" spans="1:32" hidden="1" x14ac:dyDescent="0.25">
      <c r="A278" s="322" t="s">
        <v>802</v>
      </c>
      <c r="B278" s="93" t="str">
        <f t="shared" si="77"/>
        <v>NO</v>
      </c>
      <c r="C278" s="93" t="s">
        <v>5503</v>
      </c>
      <c r="D278" s="4">
        <v>39065</v>
      </c>
      <c r="E278" s="2">
        <v>39142</v>
      </c>
      <c r="F278" s="2">
        <f t="shared" si="82"/>
        <v>42795</v>
      </c>
      <c r="G278" s="6">
        <v>360</v>
      </c>
      <c r="H278" s="7" t="s">
        <v>376</v>
      </c>
      <c r="I278" s="7" t="s">
        <v>86</v>
      </c>
      <c r="J278" s="105" t="s">
        <v>5163</v>
      </c>
      <c r="K278" s="266">
        <f t="shared" si="78"/>
        <v>2017</v>
      </c>
      <c r="L278" s="412"/>
      <c r="M278" s="412"/>
      <c r="N278" s="32" t="s">
        <v>87</v>
      </c>
      <c r="O278" s="32" t="s">
        <v>783</v>
      </c>
      <c r="P278" s="278" t="s">
        <v>804</v>
      </c>
      <c r="Q278" s="233" t="s">
        <v>803</v>
      </c>
      <c r="R278" s="75">
        <v>1390</v>
      </c>
      <c r="S278" s="75">
        <v>1800</v>
      </c>
      <c r="T278" s="75">
        <v>3190</v>
      </c>
      <c r="U278" s="200">
        <v>720</v>
      </c>
      <c r="V278" s="287">
        <f t="shared" ca="1" si="79"/>
        <v>10</v>
      </c>
      <c r="W278" s="75">
        <f t="shared" ca="1" si="80"/>
        <v>6300</v>
      </c>
      <c r="X278" s="200">
        <f t="shared" ca="1" si="76"/>
        <v>8950</v>
      </c>
      <c r="Y278" s="1">
        <v>0.5</v>
      </c>
      <c r="Z278" s="1"/>
      <c r="AA278" s="219"/>
      <c r="AB278" s="302"/>
      <c r="AC278" s="302"/>
      <c r="AD278" s="302"/>
      <c r="AE278" s="302"/>
      <c r="AF278">
        <f t="shared" si="81"/>
        <v>0</v>
      </c>
    </row>
    <row r="279" spans="1:32" hidden="1" x14ac:dyDescent="0.25">
      <c r="A279" s="322" t="s">
        <v>805</v>
      </c>
      <c r="B279" s="93" t="str">
        <f t="shared" si="77"/>
        <v>NO</v>
      </c>
      <c r="C279" s="93" t="s">
        <v>5503</v>
      </c>
      <c r="D279" s="4">
        <v>39065</v>
      </c>
      <c r="E279" s="2">
        <v>39142</v>
      </c>
      <c r="F279" s="2">
        <f t="shared" si="82"/>
        <v>42795</v>
      </c>
      <c r="G279" s="6">
        <v>643.36</v>
      </c>
      <c r="H279" s="7" t="s">
        <v>376</v>
      </c>
      <c r="I279" s="7" t="s">
        <v>86</v>
      </c>
      <c r="J279" s="105" t="s">
        <v>5163</v>
      </c>
      <c r="K279" s="266">
        <f t="shared" si="78"/>
        <v>2017</v>
      </c>
      <c r="L279" s="412"/>
      <c r="M279" s="412"/>
      <c r="N279" s="32" t="s">
        <v>87</v>
      </c>
      <c r="O279" s="32" t="s">
        <v>783</v>
      </c>
      <c r="P279" s="278" t="s">
        <v>807</v>
      </c>
      <c r="Q279" s="233" t="s">
        <v>806</v>
      </c>
      <c r="R279" s="75">
        <v>2384</v>
      </c>
      <c r="S279" s="75">
        <v>3864</v>
      </c>
      <c r="T279" s="75">
        <v>6248</v>
      </c>
      <c r="U279" s="200">
        <v>1288</v>
      </c>
      <c r="V279" s="287">
        <f t="shared" ca="1" si="79"/>
        <v>10</v>
      </c>
      <c r="W279" s="75">
        <f t="shared" ca="1" si="80"/>
        <v>11270</v>
      </c>
      <c r="X279" s="200">
        <f t="shared" ca="1" si="76"/>
        <v>16552</v>
      </c>
      <c r="Y279" s="1">
        <v>0.5</v>
      </c>
      <c r="Z279" s="1"/>
      <c r="AA279" s="219"/>
      <c r="AB279" s="302"/>
      <c r="AC279" s="302"/>
      <c r="AD279" s="302"/>
      <c r="AE279" s="302"/>
      <c r="AF279">
        <f t="shared" si="81"/>
        <v>0</v>
      </c>
    </row>
    <row r="280" spans="1:32" hidden="1" x14ac:dyDescent="0.25">
      <c r="A280" s="322" t="s">
        <v>808</v>
      </c>
      <c r="B280" s="93" t="str">
        <f t="shared" si="77"/>
        <v>NO</v>
      </c>
      <c r="C280" s="93" t="s">
        <v>5503</v>
      </c>
      <c r="D280" s="4">
        <v>39065</v>
      </c>
      <c r="E280" s="2">
        <v>39142</v>
      </c>
      <c r="F280" s="2">
        <f t="shared" si="82"/>
        <v>42795</v>
      </c>
      <c r="G280" s="6">
        <v>642.96</v>
      </c>
      <c r="H280" s="7" t="s">
        <v>376</v>
      </c>
      <c r="I280" s="7" t="s">
        <v>86</v>
      </c>
      <c r="J280" s="105" t="s">
        <v>5163</v>
      </c>
      <c r="K280" s="266">
        <f t="shared" si="78"/>
        <v>2017</v>
      </c>
      <c r="L280" s="412"/>
      <c r="M280" s="412"/>
      <c r="N280" s="32" t="s">
        <v>87</v>
      </c>
      <c r="O280" s="32" t="s">
        <v>783</v>
      </c>
      <c r="P280" s="278" t="s">
        <v>165</v>
      </c>
      <c r="Q280" s="233" t="s">
        <v>809</v>
      </c>
      <c r="R280" s="75">
        <v>2380.5</v>
      </c>
      <c r="S280" s="75">
        <v>4501</v>
      </c>
      <c r="T280" s="75">
        <v>6881.5</v>
      </c>
      <c r="U280" s="200">
        <v>1286</v>
      </c>
      <c r="V280" s="287">
        <f t="shared" ca="1" si="79"/>
        <v>10</v>
      </c>
      <c r="W280" s="75">
        <f t="shared" ca="1" si="80"/>
        <v>11252.5</v>
      </c>
      <c r="X280" s="200">
        <f t="shared" ca="1" si="76"/>
        <v>17169.5</v>
      </c>
      <c r="Y280" s="1">
        <v>0.5</v>
      </c>
      <c r="Z280" s="1"/>
      <c r="AA280" s="219"/>
      <c r="AB280" s="302"/>
      <c r="AC280" s="302"/>
      <c r="AD280" s="302"/>
      <c r="AE280" s="302"/>
      <c r="AF280">
        <f t="shared" si="81"/>
        <v>0</v>
      </c>
    </row>
    <row r="281" spans="1:32" hidden="1" x14ac:dyDescent="0.25">
      <c r="A281" s="322" t="s">
        <v>810</v>
      </c>
      <c r="B281" s="93" t="str">
        <f t="shared" si="77"/>
        <v>NO</v>
      </c>
      <c r="C281" s="93" t="s">
        <v>5503</v>
      </c>
      <c r="D281" s="4">
        <v>39065</v>
      </c>
      <c r="E281" s="2">
        <v>39142</v>
      </c>
      <c r="F281" s="2">
        <f t="shared" si="82"/>
        <v>42795</v>
      </c>
      <c r="G281" s="6">
        <v>800</v>
      </c>
      <c r="H281" s="7" t="s">
        <v>376</v>
      </c>
      <c r="I281" s="7" t="s">
        <v>86</v>
      </c>
      <c r="J281" s="105"/>
      <c r="K281" s="266">
        <f t="shared" si="78"/>
        <v>2017</v>
      </c>
      <c r="L281" s="412"/>
      <c r="M281" s="412"/>
      <c r="N281" s="32" t="s">
        <v>87</v>
      </c>
      <c r="O281" s="32" t="s">
        <v>783</v>
      </c>
      <c r="P281" s="278" t="s">
        <v>812</v>
      </c>
      <c r="Q281" s="233" t="s">
        <v>811</v>
      </c>
      <c r="R281" s="75">
        <v>2930</v>
      </c>
      <c r="S281" s="75">
        <v>4800</v>
      </c>
      <c r="T281" s="75">
        <v>7730</v>
      </c>
      <c r="U281" s="200">
        <v>1600</v>
      </c>
      <c r="V281" s="287">
        <f t="shared" ca="1" si="79"/>
        <v>10</v>
      </c>
      <c r="W281" s="75">
        <f t="shared" ca="1" si="80"/>
        <v>14000</v>
      </c>
      <c r="X281" s="200">
        <f t="shared" ca="1" si="76"/>
        <v>20530</v>
      </c>
      <c r="Y281" s="1">
        <v>0.5</v>
      </c>
      <c r="Z281" s="1"/>
      <c r="AA281" s="219"/>
      <c r="AB281" s="302"/>
      <c r="AC281" s="302"/>
      <c r="AD281" s="302"/>
      <c r="AE281" s="302"/>
      <c r="AF281">
        <f t="shared" si="81"/>
        <v>0</v>
      </c>
    </row>
    <row r="282" spans="1:32" hidden="1" x14ac:dyDescent="0.25">
      <c r="A282" s="322" t="s">
        <v>813</v>
      </c>
      <c r="B282" s="93" t="str">
        <f t="shared" si="77"/>
        <v>NO</v>
      </c>
      <c r="C282" s="93" t="s">
        <v>5503</v>
      </c>
      <c r="D282" s="4">
        <v>39065</v>
      </c>
      <c r="E282" s="2">
        <v>39142</v>
      </c>
      <c r="F282" s="2">
        <f t="shared" si="82"/>
        <v>42795</v>
      </c>
      <c r="G282" s="6">
        <v>640</v>
      </c>
      <c r="H282" s="7" t="s">
        <v>376</v>
      </c>
      <c r="I282" s="7" t="s">
        <v>86</v>
      </c>
      <c r="J282" s="105"/>
      <c r="K282" s="266">
        <f t="shared" si="78"/>
        <v>2017</v>
      </c>
      <c r="L282" s="412"/>
      <c r="M282" s="412"/>
      <c r="N282" s="32" t="s">
        <v>87</v>
      </c>
      <c r="O282" s="32" t="s">
        <v>783</v>
      </c>
      <c r="P282" s="278" t="s">
        <v>171</v>
      </c>
      <c r="Q282" s="233" t="s">
        <v>814</v>
      </c>
      <c r="R282" s="75">
        <v>2370</v>
      </c>
      <c r="S282" s="75">
        <v>1280</v>
      </c>
      <c r="T282" s="75">
        <v>3650</v>
      </c>
      <c r="U282" s="200">
        <v>1280</v>
      </c>
      <c r="V282" s="287">
        <f t="shared" ca="1" si="79"/>
        <v>10</v>
      </c>
      <c r="W282" s="75">
        <f t="shared" ca="1" si="80"/>
        <v>11200</v>
      </c>
      <c r="X282" s="200">
        <f t="shared" ca="1" si="76"/>
        <v>13890</v>
      </c>
      <c r="Y282" s="1">
        <v>0.5</v>
      </c>
      <c r="Z282" s="1"/>
      <c r="AA282" s="219"/>
      <c r="AB282" s="302" t="s">
        <v>6466</v>
      </c>
      <c r="AC282" s="302"/>
      <c r="AD282" s="302"/>
      <c r="AE282" s="302"/>
      <c r="AF282">
        <f t="shared" si="81"/>
        <v>0</v>
      </c>
    </row>
    <row r="283" spans="1:32" hidden="1" x14ac:dyDescent="0.25">
      <c r="A283" s="322" t="s">
        <v>815</v>
      </c>
      <c r="B283" s="93" t="str">
        <f t="shared" si="77"/>
        <v>NO</v>
      </c>
      <c r="C283" s="93" t="s">
        <v>5503</v>
      </c>
      <c r="D283" s="4">
        <v>39065</v>
      </c>
      <c r="E283" s="2">
        <v>39142</v>
      </c>
      <c r="F283" s="2">
        <f t="shared" si="82"/>
        <v>42795</v>
      </c>
      <c r="G283" s="6">
        <v>479.4</v>
      </c>
      <c r="H283" s="7" t="s">
        <v>376</v>
      </c>
      <c r="I283" s="7" t="s">
        <v>86</v>
      </c>
      <c r="J283" s="186"/>
      <c r="K283" s="266">
        <f t="shared" si="78"/>
        <v>2017</v>
      </c>
      <c r="L283" s="413"/>
      <c r="M283" s="413"/>
      <c r="N283" s="32" t="s">
        <v>87</v>
      </c>
      <c r="O283" s="32" t="s">
        <v>783</v>
      </c>
      <c r="P283" s="278" t="s">
        <v>817</v>
      </c>
      <c r="Q283" s="233" t="s">
        <v>816</v>
      </c>
      <c r="R283" s="75">
        <v>1810</v>
      </c>
      <c r="S283" s="75">
        <v>1920</v>
      </c>
      <c r="T283" s="75">
        <v>3730</v>
      </c>
      <c r="U283" s="200">
        <v>960</v>
      </c>
      <c r="V283" s="287">
        <f t="shared" ca="1" si="79"/>
        <v>10</v>
      </c>
      <c r="W283" s="75">
        <f t="shared" ca="1" si="80"/>
        <v>8400</v>
      </c>
      <c r="X283" s="200">
        <f t="shared" ca="1" si="76"/>
        <v>11410</v>
      </c>
      <c r="Y283" s="1">
        <v>0.5</v>
      </c>
      <c r="Z283" s="1"/>
      <c r="AA283" s="219"/>
      <c r="AB283" s="302"/>
      <c r="AC283" s="302"/>
      <c r="AD283" s="302"/>
      <c r="AE283" s="302"/>
      <c r="AF283">
        <f t="shared" si="81"/>
        <v>0</v>
      </c>
    </row>
    <row r="284" spans="1:32" hidden="1" x14ac:dyDescent="0.25">
      <c r="A284" s="322" t="s">
        <v>818</v>
      </c>
      <c r="B284" s="93" t="str">
        <f t="shared" si="77"/>
        <v>NO</v>
      </c>
      <c r="C284" s="93" t="s">
        <v>5503</v>
      </c>
      <c r="D284" s="4">
        <v>39065</v>
      </c>
      <c r="E284" s="2">
        <v>39142</v>
      </c>
      <c r="F284" s="2">
        <f t="shared" si="82"/>
        <v>42795</v>
      </c>
      <c r="G284" s="6">
        <v>638.4</v>
      </c>
      <c r="H284" s="7" t="s">
        <v>202</v>
      </c>
      <c r="I284" s="7" t="s">
        <v>86</v>
      </c>
      <c r="J284" s="186"/>
      <c r="K284" s="266">
        <f t="shared" si="78"/>
        <v>2017</v>
      </c>
      <c r="L284" s="413"/>
      <c r="M284" s="413"/>
      <c r="N284" s="32" t="s">
        <v>87</v>
      </c>
      <c r="O284" s="32" t="s">
        <v>783</v>
      </c>
      <c r="P284" s="278" t="s">
        <v>177</v>
      </c>
      <c r="Q284" s="233" t="s">
        <v>819</v>
      </c>
      <c r="R284" s="75">
        <v>2366.5</v>
      </c>
      <c r="S284" s="75">
        <v>1278</v>
      </c>
      <c r="T284" s="75">
        <v>3644.5</v>
      </c>
      <c r="U284" s="200">
        <v>1278</v>
      </c>
      <c r="V284" s="287">
        <f t="shared" ca="1" si="79"/>
        <v>10</v>
      </c>
      <c r="W284" s="75">
        <f t="shared" ca="1" si="80"/>
        <v>11182.5</v>
      </c>
      <c r="X284" s="200">
        <f t="shared" ca="1" si="76"/>
        <v>13868.5</v>
      </c>
      <c r="Y284" s="1">
        <v>0.5</v>
      </c>
      <c r="Z284" s="1"/>
      <c r="AA284" s="219"/>
      <c r="AB284" s="302"/>
      <c r="AC284" s="302"/>
      <c r="AD284" s="302"/>
      <c r="AE284" s="302"/>
      <c r="AF284">
        <f t="shared" si="81"/>
        <v>0</v>
      </c>
    </row>
    <row r="285" spans="1:32" hidden="1" x14ac:dyDescent="0.25">
      <c r="A285" s="322" t="s">
        <v>820</v>
      </c>
      <c r="B285" s="93" t="str">
        <f t="shared" si="77"/>
        <v>NO</v>
      </c>
      <c r="C285" s="93" t="s">
        <v>5503</v>
      </c>
      <c r="D285" s="4">
        <v>39065</v>
      </c>
      <c r="E285" s="2">
        <v>39142</v>
      </c>
      <c r="F285" s="2">
        <f t="shared" si="82"/>
        <v>42795</v>
      </c>
      <c r="G285" s="6">
        <v>638.79999999999995</v>
      </c>
      <c r="H285" s="7" t="s">
        <v>202</v>
      </c>
      <c r="I285" s="7" t="s">
        <v>86</v>
      </c>
      <c r="J285" s="186"/>
      <c r="K285" s="266">
        <f t="shared" si="78"/>
        <v>2017</v>
      </c>
      <c r="L285" s="413"/>
      <c r="M285" s="413"/>
      <c r="N285" s="32" t="s">
        <v>87</v>
      </c>
      <c r="O285" s="32" t="s">
        <v>783</v>
      </c>
      <c r="P285" s="278" t="s">
        <v>822</v>
      </c>
      <c r="Q285" s="233" t="s">
        <v>821</v>
      </c>
      <c r="R285" s="75">
        <v>2366.5</v>
      </c>
      <c r="S285" s="75"/>
      <c r="T285" s="75">
        <v>2366.5</v>
      </c>
      <c r="U285" s="200">
        <v>1278</v>
      </c>
      <c r="V285" s="287">
        <f t="shared" ca="1" si="79"/>
        <v>10</v>
      </c>
      <c r="W285" s="75">
        <f t="shared" ca="1" si="80"/>
        <v>11182.5</v>
      </c>
      <c r="X285" s="200">
        <f t="shared" ca="1" si="76"/>
        <v>12590.5</v>
      </c>
      <c r="Y285" s="1">
        <v>0.5</v>
      </c>
      <c r="Z285" s="1"/>
      <c r="AA285" s="219"/>
      <c r="AB285" s="302"/>
      <c r="AC285" s="302"/>
      <c r="AD285" s="302"/>
      <c r="AE285" s="302"/>
      <c r="AF285">
        <f t="shared" si="81"/>
        <v>0</v>
      </c>
    </row>
    <row r="286" spans="1:32" hidden="1" x14ac:dyDescent="0.25">
      <c r="A286" s="322" t="s">
        <v>823</v>
      </c>
      <c r="B286" s="93" t="str">
        <f t="shared" si="77"/>
        <v>NO</v>
      </c>
      <c r="C286" s="93" t="s">
        <v>5503</v>
      </c>
      <c r="D286" s="4">
        <v>39065</v>
      </c>
      <c r="E286" s="2">
        <v>39142</v>
      </c>
      <c r="F286" s="2">
        <f t="shared" si="82"/>
        <v>42795</v>
      </c>
      <c r="G286" s="6">
        <v>440</v>
      </c>
      <c r="H286" s="7" t="s">
        <v>782</v>
      </c>
      <c r="I286" s="7" t="s">
        <v>86</v>
      </c>
      <c r="J286" s="186"/>
      <c r="K286" s="266">
        <f t="shared" si="78"/>
        <v>2017</v>
      </c>
      <c r="L286" s="413"/>
      <c r="M286" s="413"/>
      <c r="N286" s="32" t="s">
        <v>87</v>
      </c>
      <c r="O286" s="32" t="s">
        <v>783</v>
      </c>
      <c r="P286" s="278" t="s">
        <v>825</v>
      </c>
      <c r="Q286" s="233" t="s">
        <v>824</v>
      </c>
      <c r="R286" s="75">
        <v>1670</v>
      </c>
      <c r="S286" s="75">
        <v>1760</v>
      </c>
      <c r="T286" s="75">
        <v>3430</v>
      </c>
      <c r="U286" s="200">
        <v>880</v>
      </c>
      <c r="V286" s="287">
        <f t="shared" ca="1" si="79"/>
        <v>10</v>
      </c>
      <c r="W286" s="75">
        <f t="shared" ca="1" si="80"/>
        <v>7700</v>
      </c>
      <c r="X286" s="200">
        <f t="shared" ca="1" si="76"/>
        <v>10470</v>
      </c>
      <c r="Y286" s="1">
        <v>0.5</v>
      </c>
      <c r="Z286" s="1"/>
      <c r="AA286" s="219"/>
      <c r="AB286" s="302"/>
      <c r="AC286" s="302"/>
      <c r="AD286" s="302"/>
      <c r="AE286" s="302"/>
      <c r="AF286">
        <f t="shared" si="81"/>
        <v>0</v>
      </c>
    </row>
    <row r="287" spans="1:32" hidden="1" x14ac:dyDescent="0.25">
      <c r="A287" s="322" t="s">
        <v>826</v>
      </c>
      <c r="B287" s="93" t="str">
        <f t="shared" ref="B287:B295" si="83">IF(COUNTIF(GIS,A289),"YES","NO")</f>
        <v>NO</v>
      </c>
      <c r="C287" s="93" t="s">
        <v>5503</v>
      </c>
      <c r="D287" s="4">
        <v>39065</v>
      </c>
      <c r="E287" s="2">
        <v>39142</v>
      </c>
      <c r="F287" s="2">
        <f t="shared" si="82"/>
        <v>42795</v>
      </c>
      <c r="G287" s="6">
        <v>642</v>
      </c>
      <c r="H287" s="7" t="s">
        <v>782</v>
      </c>
      <c r="I287" s="7" t="s">
        <v>86</v>
      </c>
      <c r="J287" s="186"/>
      <c r="K287" s="266">
        <f t="shared" ref="K287:K295" si="84">YEAR(F287)</f>
        <v>2017</v>
      </c>
      <c r="L287" s="413"/>
      <c r="M287" s="413"/>
      <c r="N287" s="32" t="s">
        <v>87</v>
      </c>
      <c r="O287" s="32" t="s">
        <v>783</v>
      </c>
      <c r="P287" s="278" t="s">
        <v>828</v>
      </c>
      <c r="Q287" s="233" t="s">
        <v>827</v>
      </c>
      <c r="R287" s="75">
        <v>2377</v>
      </c>
      <c r="S287" s="75">
        <v>2568</v>
      </c>
      <c r="T287" s="75">
        <v>4945</v>
      </c>
      <c r="U287" s="200">
        <v>1284</v>
      </c>
      <c r="V287" s="287">
        <f t="shared" ref="V287:V295" ca="1" si="85">IF(YEAR($W$3)-YEAR(E287)&gt;9,10,IF(MONTH($W$3)&lt;MONTH(E287),YEAR($W$3)-YEAR(E287),YEAR($W$3)-YEAR(E287)+1))</f>
        <v>10</v>
      </c>
      <c r="W287" s="75">
        <f t="shared" ref="W287:W295" ca="1" si="86">IF(V287&lt;6, ROUNDUP(G287,0)*$W$6*V287, ROUNDUP(G287,0)*($W$6*5 + (V287-5)*$W$7))</f>
        <v>11235</v>
      </c>
      <c r="X287" s="200">
        <f t="shared" ref="X287:X295" ca="1" si="87">IF(V287=0,T287,((T287-ROUNDUP(G287,0)*1.5)+W287))</f>
        <v>15217</v>
      </c>
      <c r="Y287" s="1">
        <v>0.5</v>
      </c>
      <c r="Z287" s="1"/>
      <c r="AA287" s="219"/>
      <c r="AB287" s="302"/>
      <c r="AC287" s="302"/>
      <c r="AD287" s="302"/>
      <c r="AE287" s="302"/>
      <c r="AF287">
        <f t="shared" si="81"/>
        <v>0</v>
      </c>
    </row>
    <row r="288" spans="1:32" hidden="1" x14ac:dyDescent="0.25">
      <c r="A288" s="322" t="s">
        <v>829</v>
      </c>
      <c r="B288" s="93" t="str">
        <f t="shared" si="83"/>
        <v>NO</v>
      </c>
      <c r="C288" s="93" t="s">
        <v>5503</v>
      </c>
      <c r="D288" s="4">
        <v>39065</v>
      </c>
      <c r="E288" s="2">
        <v>39142</v>
      </c>
      <c r="F288" s="2">
        <f t="shared" si="82"/>
        <v>42795</v>
      </c>
      <c r="G288" s="6">
        <v>346.71</v>
      </c>
      <c r="H288" s="7" t="s">
        <v>782</v>
      </c>
      <c r="I288" s="7" t="s">
        <v>86</v>
      </c>
      <c r="J288" s="186"/>
      <c r="K288" s="266">
        <f t="shared" si="84"/>
        <v>2017</v>
      </c>
      <c r="L288" s="413"/>
      <c r="M288" s="413"/>
      <c r="N288" s="32" t="s">
        <v>87</v>
      </c>
      <c r="O288" s="32" t="s">
        <v>783</v>
      </c>
      <c r="P288" s="278" t="s">
        <v>831</v>
      </c>
      <c r="Q288" s="233" t="s">
        <v>830</v>
      </c>
      <c r="R288" s="75">
        <v>1344.5</v>
      </c>
      <c r="S288" s="75"/>
      <c r="T288" s="75">
        <v>1344.5</v>
      </c>
      <c r="U288" s="200">
        <v>694</v>
      </c>
      <c r="V288" s="287">
        <f t="shared" ca="1" si="85"/>
        <v>10</v>
      </c>
      <c r="W288" s="75">
        <f t="shared" ca="1" si="86"/>
        <v>6072.5</v>
      </c>
      <c r="X288" s="200">
        <f t="shared" ca="1" si="87"/>
        <v>6896.5</v>
      </c>
      <c r="Y288" s="1">
        <v>0.5</v>
      </c>
      <c r="Z288" s="1"/>
      <c r="AA288" s="219"/>
      <c r="AB288" s="302"/>
      <c r="AC288" s="302"/>
      <c r="AD288" s="302"/>
      <c r="AE288" s="302"/>
      <c r="AF288">
        <f t="shared" si="81"/>
        <v>0</v>
      </c>
    </row>
    <row r="289" spans="1:32" hidden="1" x14ac:dyDescent="0.25">
      <c r="A289" s="322" t="s">
        <v>832</v>
      </c>
      <c r="B289" s="93" t="str">
        <f t="shared" si="83"/>
        <v>NO</v>
      </c>
      <c r="C289" s="93" t="s">
        <v>5503</v>
      </c>
      <c r="D289" s="4">
        <v>39065</v>
      </c>
      <c r="E289" s="2">
        <v>39142</v>
      </c>
      <c r="F289" s="2">
        <f t="shared" si="82"/>
        <v>42795</v>
      </c>
      <c r="G289" s="6">
        <v>650.78</v>
      </c>
      <c r="H289" s="7" t="s">
        <v>782</v>
      </c>
      <c r="I289" s="7" t="s">
        <v>86</v>
      </c>
      <c r="J289" s="186"/>
      <c r="K289" s="266">
        <f t="shared" si="84"/>
        <v>2017</v>
      </c>
      <c r="L289" s="413"/>
      <c r="M289" s="413"/>
      <c r="N289" s="32" t="s">
        <v>87</v>
      </c>
      <c r="O289" s="32" t="s">
        <v>783</v>
      </c>
      <c r="P289" s="278" t="s">
        <v>834</v>
      </c>
      <c r="Q289" s="233" t="s">
        <v>833</v>
      </c>
      <c r="R289" s="75">
        <v>2408.5</v>
      </c>
      <c r="S289" s="75"/>
      <c r="T289" s="75">
        <v>2408.5</v>
      </c>
      <c r="U289" s="200">
        <v>1302</v>
      </c>
      <c r="V289" s="287">
        <f t="shared" ca="1" si="85"/>
        <v>10</v>
      </c>
      <c r="W289" s="75">
        <f t="shared" ca="1" si="86"/>
        <v>11392.5</v>
      </c>
      <c r="X289" s="200">
        <f t="shared" ca="1" si="87"/>
        <v>12824.5</v>
      </c>
      <c r="Y289" s="1">
        <v>0.5</v>
      </c>
      <c r="Z289" s="1"/>
      <c r="AA289" s="219"/>
      <c r="AB289" s="302"/>
      <c r="AC289" s="302"/>
      <c r="AD289" s="302"/>
      <c r="AE289" s="302"/>
      <c r="AF289">
        <f t="shared" si="81"/>
        <v>0</v>
      </c>
    </row>
    <row r="290" spans="1:32" hidden="1" x14ac:dyDescent="0.25">
      <c r="A290" s="322" t="s">
        <v>835</v>
      </c>
      <c r="B290" s="93" t="str">
        <f t="shared" si="83"/>
        <v>NO</v>
      </c>
      <c r="C290" s="93" t="s">
        <v>5503</v>
      </c>
      <c r="D290" s="4">
        <v>39065</v>
      </c>
      <c r="E290" s="2">
        <v>39142</v>
      </c>
      <c r="F290" s="2">
        <f t="shared" si="82"/>
        <v>42795</v>
      </c>
      <c r="G290" s="6">
        <v>690.36</v>
      </c>
      <c r="H290" s="7" t="s">
        <v>202</v>
      </c>
      <c r="I290" s="7" t="s">
        <v>86</v>
      </c>
      <c r="J290" s="186"/>
      <c r="K290" s="266">
        <f t="shared" si="84"/>
        <v>2017</v>
      </c>
      <c r="L290" s="413"/>
      <c r="M290" s="413"/>
      <c r="N290" s="32" t="s">
        <v>87</v>
      </c>
      <c r="O290" s="32" t="s">
        <v>783</v>
      </c>
      <c r="P290" s="278" t="s">
        <v>837</v>
      </c>
      <c r="Q290" s="233" t="s">
        <v>836</v>
      </c>
      <c r="R290" s="75">
        <v>2548.5</v>
      </c>
      <c r="S290" s="75"/>
      <c r="T290" s="75">
        <v>2548.5</v>
      </c>
      <c r="U290" s="200">
        <v>1382</v>
      </c>
      <c r="V290" s="287">
        <f t="shared" ca="1" si="85"/>
        <v>10</v>
      </c>
      <c r="W290" s="75">
        <f t="shared" ca="1" si="86"/>
        <v>12092.5</v>
      </c>
      <c r="X290" s="200">
        <f t="shared" ca="1" si="87"/>
        <v>13604.5</v>
      </c>
      <c r="Y290" s="1">
        <v>0.5</v>
      </c>
      <c r="Z290" s="1"/>
      <c r="AA290" s="219"/>
      <c r="AB290" s="302"/>
      <c r="AC290" s="302"/>
      <c r="AD290" s="302"/>
      <c r="AE290" s="302"/>
      <c r="AF290">
        <f t="shared" si="81"/>
        <v>0</v>
      </c>
    </row>
    <row r="291" spans="1:32" hidden="1" x14ac:dyDescent="0.25">
      <c r="A291" s="322" t="s">
        <v>838</v>
      </c>
      <c r="B291" s="93" t="str">
        <f t="shared" si="83"/>
        <v>NO</v>
      </c>
      <c r="C291" s="93" t="s">
        <v>5503</v>
      </c>
      <c r="D291" s="4">
        <v>39065</v>
      </c>
      <c r="E291" s="2">
        <v>39142</v>
      </c>
      <c r="F291" s="2">
        <f t="shared" si="82"/>
        <v>42795</v>
      </c>
      <c r="G291" s="6">
        <v>75</v>
      </c>
      <c r="H291" s="7" t="s">
        <v>202</v>
      </c>
      <c r="I291" s="7" t="s">
        <v>86</v>
      </c>
      <c r="J291" s="186"/>
      <c r="K291" s="266">
        <f t="shared" si="84"/>
        <v>2017</v>
      </c>
      <c r="L291" s="413"/>
      <c r="M291" s="413"/>
      <c r="N291" s="32" t="s">
        <v>87</v>
      </c>
      <c r="O291" s="32" t="s">
        <v>840</v>
      </c>
      <c r="P291" s="278" t="s">
        <v>841</v>
      </c>
      <c r="Q291" s="233" t="s">
        <v>839</v>
      </c>
      <c r="R291" s="75">
        <v>392.5</v>
      </c>
      <c r="S291" s="75">
        <v>17850</v>
      </c>
      <c r="T291" s="75">
        <v>18242.5</v>
      </c>
      <c r="U291" s="200">
        <v>150</v>
      </c>
      <c r="V291" s="287">
        <f t="shared" ca="1" si="85"/>
        <v>10</v>
      </c>
      <c r="W291" s="75">
        <f t="shared" ca="1" si="86"/>
        <v>1312.5</v>
      </c>
      <c r="X291" s="200">
        <f t="shared" ca="1" si="87"/>
        <v>19442.5</v>
      </c>
      <c r="Y291" s="1">
        <v>0.5</v>
      </c>
      <c r="Z291" s="1"/>
      <c r="AA291" s="219"/>
      <c r="AB291" s="302"/>
      <c r="AC291" s="302"/>
      <c r="AD291" s="302"/>
      <c r="AE291" s="302"/>
      <c r="AF291">
        <f t="shared" si="81"/>
        <v>0</v>
      </c>
    </row>
    <row r="292" spans="1:32" ht="26.25" hidden="1" x14ac:dyDescent="0.25">
      <c r="A292" s="322" t="s">
        <v>842</v>
      </c>
      <c r="B292" s="93" t="str">
        <f t="shared" si="83"/>
        <v>NO</v>
      </c>
      <c r="C292" s="93" t="s">
        <v>5503</v>
      </c>
      <c r="D292" s="4">
        <v>39065</v>
      </c>
      <c r="E292" s="2">
        <v>39142</v>
      </c>
      <c r="F292" s="2">
        <f t="shared" si="82"/>
        <v>42795</v>
      </c>
      <c r="G292" s="6">
        <v>234.42</v>
      </c>
      <c r="H292" s="7" t="s">
        <v>453</v>
      </c>
      <c r="I292" s="7" t="s">
        <v>86</v>
      </c>
      <c r="J292" s="186"/>
      <c r="K292" s="266">
        <f t="shared" si="84"/>
        <v>2017</v>
      </c>
      <c r="L292" s="413"/>
      <c r="M292" s="413"/>
      <c r="N292" s="32" t="s">
        <v>112</v>
      </c>
      <c r="O292" s="32" t="s">
        <v>844</v>
      </c>
      <c r="P292" s="278" t="s">
        <v>845</v>
      </c>
      <c r="Q292" s="233" t="s">
        <v>843</v>
      </c>
      <c r="R292" s="75">
        <v>952.5</v>
      </c>
      <c r="S292" s="75">
        <v>2350</v>
      </c>
      <c r="T292" s="75">
        <v>3302.5</v>
      </c>
      <c r="U292" s="200">
        <v>470</v>
      </c>
      <c r="V292" s="287">
        <f t="shared" ca="1" si="85"/>
        <v>10</v>
      </c>
      <c r="W292" s="75">
        <f t="shared" ca="1" si="86"/>
        <v>4112.5</v>
      </c>
      <c r="X292" s="200">
        <f t="shared" ca="1" si="87"/>
        <v>7062.5</v>
      </c>
      <c r="Y292" s="1">
        <v>0.5</v>
      </c>
      <c r="Z292" s="1"/>
      <c r="AA292" s="219"/>
      <c r="AB292" s="302" t="s">
        <v>6467</v>
      </c>
      <c r="AC292" s="302"/>
      <c r="AD292" s="302"/>
      <c r="AE292" s="302"/>
      <c r="AF292">
        <f t="shared" si="81"/>
        <v>0</v>
      </c>
    </row>
    <row r="293" spans="1:32" ht="39" hidden="1" x14ac:dyDescent="0.25">
      <c r="A293" s="322" t="s">
        <v>846</v>
      </c>
      <c r="B293" s="93" t="str">
        <f t="shared" si="83"/>
        <v>NO</v>
      </c>
      <c r="C293" s="93" t="s">
        <v>5503</v>
      </c>
      <c r="D293" s="4">
        <v>39065</v>
      </c>
      <c r="E293" s="2">
        <v>39142</v>
      </c>
      <c r="F293" s="2">
        <f t="shared" si="82"/>
        <v>42795</v>
      </c>
      <c r="G293" s="6">
        <v>544.16999999999996</v>
      </c>
      <c r="H293" s="7" t="s">
        <v>453</v>
      </c>
      <c r="I293" s="7" t="s">
        <v>86</v>
      </c>
      <c r="J293" s="186"/>
      <c r="K293" s="266">
        <f t="shared" si="84"/>
        <v>2017</v>
      </c>
      <c r="L293" s="413"/>
      <c r="M293" s="413"/>
      <c r="N293" s="32" t="s">
        <v>112</v>
      </c>
      <c r="O293" s="32" t="s">
        <v>844</v>
      </c>
      <c r="P293" s="278" t="s">
        <v>848</v>
      </c>
      <c r="Q293" s="233" t="s">
        <v>847</v>
      </c>
      <c r="R293" s="75">
        <v>2037.5</v>
      </c>
      <c r="S293" s="75">
        <v>5450</v>
      </c>
      <c r="T293" s="75">
        <v>7487.5</v>
      </c>
      <c r="U293" s="200">
        <v>1090</v>
      </c>
      <c r="V293" s="287">
        <f t="shared" ca="1" si="85"/>
        <v>10</v>
      </c>
      <c r="W293" s="75">
        <f t="shared" ca="1" si="86"/>
        <v>9537.5</v>
      </c>
      <c r="X293" s="200">
        <f t="shared" ca="1" si="87"/>
        <v>16207.5</v>
      </c>
      <c r="Y293" s="1">
        <v>0.5</v>
      </c>
      <c r="Z293" s="1"/>
      <c r="AA293" s="219"/>
      <c r="AB293" s="302" t="s">
        <v>6468</v>
      </c>
      <c r="AC293" s="302"/>
      <c r="AD293" s="302"/>
      <c r="AE293" s="302"/>
      <c r="AF293">
        <f t="shared" si="81"/>
        <v>0</v>
      </c>
    </row>
    <row r="294" spans="1:32" hidden="1" x14ac:dyDescent="0.25">
      <c r="A294" s="322" t="s">
        <v>849</v>
      </c>
      <c r="B294" s="93" t="str">
        <f t="shared" si="83"/>
        <v>NO</v>
      </c>
      <c r="C294" s="93" t="s">
        <v>5503</v>
      </c>
      <c r="D294" s="4">
        <v>39065</v>
      </c>
      <c r="E294" s="2">
        <v>39142</v>
      </c>
      <c r="F294" s="2">
        <f t="shared" si="82"/>
        <v>42795</v>
      </c>
      <c r="G294" s="6">
        <v>120</v>
      </c>
      <c r="H294" s="7" t="s">
        <v>453</v>
      </c>
      <c r="I294" s="7" t="s">
        <v>86</v>
      </c>
      <c r="J294" s="186"/>
      <c r="K294" s="266">
        <f t="shared" si="84"/>
        <v>2017</v>
      </c>
      <c r="L294" s="413"/>
      <c r="M294" s="413"/>
      <c r="N294" s="32" t="s">
        <v>112</v>
      </c>
      <c r="O294" s="32" t="s">
        <v>844</v>
      </c>
      <c r="P294" s="278" t="s">
        <v>851</v>
      </c>
      <c r="Q294" s="233" t="s">
        <v>850</v>
      </c>
      <c r="R294" s="75">
        <v>550</v>
      </c>
      <c r="S294" s="75">
        <v>1200</v>
      </c>
      <c r="T294" s="75">
        <v>1750</v>
      </c>
      <c r="U294" s="200">
        <v>240</v>
      </c>
      <c r="V294" s="287">
        <f t="shared" ca="1" si="85"/>
        <v>10</v>
      </c>
      <c r="W294" s="75">
        <f t="shared" ca="1" si="86"/>
        <v>2100</v>
      </c>
      <c r="X294" s="200">
        <f t="shared" ca="1" si="87"/>
        <v>3670</v>
      </c>
      <c r="Y294" s="1">
        <v>0.5</v>
      </c>
      <c r="Z294" s="1"/>
      <c r="AA294" s="219"/>
      <c r="AB294" s="302" t="s">
        <v>6469</v>
      </c>
      <c r="AC294" s="302"/>
      <c r="AD294" s="302"/>
      <c r="AE294" s="302"/>
      <c r="AF294">
        <f t="shared" si="81"/>
        <v>0</v>
      </c>
    </row>
    <row r="295" spans="1:32" hidden="1" x14ac:dyDescent="0.25">
      <c r="A295" s="322" t="s">
        <v>852</v>
      </c>
      <c r="B295" s="93" t="str">
        <f t="shared" si="83"/>
        <v>NO</v>
      </c>
      <c r="C295" s="93" t="s">
        <v>5503</v>
      </c>
      <c r="D295" s="4">
        <v>39065</v>
      </c>
      <c r="E295" s="2">
        <v>39142</v>
      </c>
      <c r="F295" s="2">
        <f t="shared" si="82"/>
        <v>42795</v>
      </c>
      <c r="G295" s="6">
        <v>80</v>
      </c>
      <c r="H295" s="7" t="s">
        <v>453</v>
      </c>
      <c r="I295" s="7" t="s">
        <v>86</v>
      </c>
      <c r="J295" s="186"/>
      <c r="K295" s="266">
        <f t="shared" si="84"/>
        <v>2017</v>
      </c>
      <c r="L295" s="413"/>
      <c r="M295" s="413"/>
      <c r="N295" s="32" t="s">
        <v>112</v>
      </c>
      <c r="O295" s="32" t="s">
        <v>844</v>
      </c>
      <c r="P295" s="278" t="s">
        <v>854</v>
      </c>
      <c r="Q295" s="233" t="s">
        <v>853</v>
      </c>
      <c r="R295" s="75">
        <v>410</v>
      </c>
      <c r="S295" s="75">
        <v>880</v>
      </c>
      <c r="T295" s="75">
        <v>1290</v>
      </c>
      <c r="U295" s="200">
        <v>160</v>
      </c>
      <c r="V295" s="287">
        <f t="shared" ca="1" si="85"/>
        <v>10</v>
      </c>
      <c r="W295" s="75">
        <f t="shared" ca="1" si="86"/>
        <v>1400</v>
      </c>
      <c r="X295" s="200">
        <f t="shared" ca="1" si="87"/>
        <v>2570</v>
      </c>
      <c r="Y295" s="1">
        <v>0.5</v>
      </c>
      <c r="Z295" s="1"/>
      <c r="AA295" s="219"/>
      <c r="AB295" s="302" t="s">
        <v>6470</v>
      </c>
      <c r="AC295" s="302"/>
      <c r="AD295" s="302"/>
      <c r="AE295" s="302"/>
      <c r="AF295">
        <f t="shared" si="81"/>
        <v>0</v>
      </c>
    </row>
    <row r="296" spans="1:32" hidden="1" x14ac:dyDescent="0.25">
      <c r="A296" s="323"/>
      <c r="D296" s="4"/>
      <c r="E296" s="2"/>
      <c r="F296" s="2"/>
      <c r="G296" s="6"/>
      <c r="H296" s="7"/>
      <c r="I296" s="7"/>
      <c r="J296" s="186"/>
      <c r="K296" s="186"/>
      <c r="L296" s="386"/>
      <c r="M296" s="386"/>
      <c r="N296" s="32"/>
      <c r="O296" s="32"/>
      <c r="P296" s="278"/>
      <c r="Q296" s="233" t="s">
        <v>508</v>
      </c>
      <c r="R296" s="75">
        <v>133859</v>
      </c>
      <c r="S296" s="75">
        <v>552214</v>
      </c>
      <c r="T296" s="75">
        <v>686073</v>
      </c>
      <c r="U296" s="200"/>
      <c r="V296" s="75"/>
      <c r="W296" s="75"/>
      <c r="X296" s="200"/>
      <c r="Y296" s="1"/>
      <c r="Z296" s="1"/>
      <c r="AA296" s="219"/>
      <c r="AB296" s="302"/>
      <c r="AC296" s="302"/>
      <c r="AD296" s="302"/>
      <c r="AE296" s="302"/>
      <c r="AF296">
        <f t="shared" si="81"/>
        <v>0</v>
      </c>
    </row>
    <row r="297" spans="1:32" hidden="1" x14ac:dyDescent="0.25">
      <c r="A297" s="323"/>
      <c r="D297" s="4"/>
      <c r="E297" s="2"/>
      <c r="F297" s="2"/>
      <c r="G297" s="3"/>
      <c r="H297" s="7"/>
      <c r="I297" s="7"/>
      <c r="J297" s="186"/>
      <c r="K297" s="186"/>
      <c r="L297" s="386"/>
      <c r="M297" s="386"/>
      <c r="N297" s="32"/>
      <c r="O297" s="32"/>
      <c r="P297" s="278"/>
      <c r="Q297" s="233"/>
      <c r="R297" s="75"/>
      <c r="S297" s="75"/>
      <c r="T297" s="75"/>
      <c r="U297" s="200"/>
      <c r="V297" s="75"/>
      <c r="W297" s="75"/>
      <c r="X297" s="200"/>
      <c r="Y297" s="1"/>
      <c r="Z297" s="1"/>
      <c r="AA297" s="219"/>
      <c r="AB297" s="302"/>
      <c r="AC297" s="302"/>
      <c r="AD297" s="302"/>
      <c r="AE297" s="302"/>
      <c r="AF297">
        <f t="shared" si="81"/>
        <v>0</v>
      </c>
    </row>
    <row r="298" spans="1:32" hidden="1" x14ac:dyDescent="0.25">
      <c r="A298" s="323"/>
      <c r="F298" s="2"/>
      <c r="G298" s="3"/>
      <c r="H298" s="7"/>
      <c r="I298" s="7"/>
      <c r="J298" s="184"/>
      <c r="K298" s="184"/>
      <c r="L298" s="387"/>
      <c r="M298" s="387"/>
      <c r="N298" s="271"/>
      <c r="O298" s="32"/>
      <c r="P298" s="278"/>
      <c r="Q298" s="233"/>
      <c r="R298" s="75"/>
      <c r="S298" s="75"/>
      <c r="T298" s="75"/>
      <c r="U298" s="200"/>
      <c r="V298" s="75"/>
      <c r="W298" s="75"/>
      <c r="X298" s="200"/>
      <c r="Y298" s="1"/>
      <c r="Z298" s="1"/>
      <c r="AA298" s="219"/>
      <c r="AB298" s="302"/>
      <c r="AC298" s="302"/>
      <c r="AD298" s="302"/>
      <c r="AE298" s="302"/>
      <c r="AF298">
        <f t="shared" si="81"/>
        <v>0</v>
      </c>
    </row>
    <row r="299" spans="1:32" hidden="1" x14ac:dyDescent="0.25">
      <c r="A299" s="323"/>
      <c r="F299" s="2"/>
      <c r="G299" s="6"/>
      <c r="H299" s="7"/>
      <c r="I299" s="7"/>
      <c r="J299" s="105" t="s">
        <v>4810</v>
      </c>
      <c r="K299" s="105"/>
      <c r="L299" s="381"/>
      <c r="M299" s="381"/>
      <c r="N299" s="271"/>
      <c r="O299" s="32"/>
      <c r="P299" s="278"/>
      <c r="Q299" s="233"/>
      <c r="R299" s="75">
        <v>-14733</v>
      </c>
      <c r="S299" s="75">
        <v>0</v>
      </c>
      <c r="T299" s="75">
        <v>-14733</v>
      </c>
      <c r="U299" s="200"/>
      <c r="V299" s="75"/>
      <c r="W299" s="75"/>
      <c r="X299" s="200"/>
      <c r="Y299" s="1"/>
      <c r="Z299" s="1"/>
      <c r="AA299" s="219"/>
      <c r="AB299" s="302"/>
      <c r="AC299" s="302"/>
      <c r="AD299" s="302"/>
      <c r="AE299" s="302"/>
      <c r="AF299">
        <f t="shared" si="81"/>
        <v>0</v>
      </c>
    </row>
    <row r="300" spans="1:32" hidden="1" x14ac:dyDescent="0.25">
      <c r="A300" s="323"/>
      <c r="D300" s="4"/>
      <c r="E300" s="2"/>
      <c r="F300" s="2"/>
      <c r="G300" s="6"/>
      <c r="H300" s="7"/>
      <c r="I300" s="7"/>
      <c r="J300" s="186"/>
      <c r="K300" s="186"/>
      <c r="L300" s="386"/>
      <c r="M300" s="386"/>
      <c r="N300" s="32"/>
      <c r="O300" s="32"/>
      <c r="P300" s="278"/>
      <c r="Q300" s="233"/>
      <c r="R300" s="75"/>
      <c r="S300" s="75"/>
      <c r="T300" s="75"/>
      <c r="U300" s="200"/>
      <c r="V300" s="75"/>
      <c r="W300" s="75"/>
      <c r="X300" s="200"/>
      <c r="Y300" s="1"/>
      <c r="Z300" s="1"/>
      <c r="AA300" s="219"/>
      <c r="AB300" s="302"/>
      <c r="AC300" s="302"/>
      <c r="AD300" s="302"/>
      <c r="AE300" s="302"/>
      <c r="AF300">
        <f t="shared" si="81"/>
        <v>0</v>
      </c>
    </row>
    <row r="301" spans="1:32" ht="15.75" hidden="1" thickBot="1" x14ac:dyDescent="0.3">
      <c r="A301" s="323"/>
      <c r="D301" s="4"/>
      <c r="E301" s="2"/>
      <c r="F301" s="2"/>
      <c r="G301" s="6"/>
      <c r="H301" s="7"/>
      <c r="I301" s="7"/>
      <c r="J301" s="186"/>
      <c r="K301" s="186"/>
      <c r="L301" s="386"/>
      <c r="M301" s="386"/>
      <c r="N301" s="32"/>
      <c r="O301" s="32"/>
      <c r="P301" s="278"/>
      <c r="Q301" s="233"/>
      <c r="R301" s="76">
        <v>597974</v>
      </c>
      <c r="S301" s="76">
        <v>1424605.5</v>
      </c>
      <c r="T301" s="76">
        <v>2022579.5</v>
      </c>
      <c r="U301" s="200"/>
      <c r="V301" s="75"/>
      <c r="W301" s="75"/>
      <c r="X301" s="200"/>
      <c r="Y301" s="17"/>
      <c r="Z301" s="17"/>
      <c r="AA301" s="220"/>
      <c r="AB301" s="302"/>
      <c r="AC301" s="302"/>
      <c r="AD301" s="302"/>
      <c r="AE301" s="302"/>
      <c r="AF301">
        <f t="shared" si="81"/>
        <v>0</v>
      </c>
    </row>
    <row r="302" spans="1:32" hidden="1" x14ac:dyDescent="0.25">
      <c r="A302" s="323"/>
      <c r="D302" s="4"/>
      <c r="E302" s="2"/>
      <c r="F302" s="2"/>
      <c r="G302" s="6"/>
      <c r="H302" s="7"/>
      <c r="I302" s="7"/>
      <c r="J302" s="186"/>
      <c r="K302" s="186"/>
      <c r="L302" s="386"/>
      <c r="M302" s="386"/>
      <c r="N302" s="32"/>
      <c r="O302" s="32"/>
      <c r="P302" s="278"/>
      <c r="Q302" s="233"/>
      <c r="R302" s="75"/>
      <c r="S302" s="75"/>
      <c r="T302" s="75"/>
      <c r="U302" s="200"/>
      <c r="V302" s="75"/>
      <c r="W302" s="75"/>
      <c r="X302" s="200"/>
      <c r="Y302" s="1"/>
      <c r="Z302" s="1"/>
      <c r="AA302" s="219"/>
      <c r="AB302" s="302"/>
      <c r="AC302" s="302"/>
      <c r="AD302" s="302"/>
      <c r="AE302" s="302"/>
      <c r="AF302">
        <f t="shared" si="81"/>
        <v>0</v>
      </c>
    </row>
    <row r="303" spans="1:32" ht="25.5" hidden="1" x14ac:dyDescent="0.25">
      <c r="A303" s="322" t="s">
        <v>855</v>
      </c>
      <c r="B303" s="93" t="str">
        <f t="shared" ref="B303:B311" si="88">IF(COUNTIF(GIS,A305),"YES","NO")</f>
        <v>NO</v>
      </c>
      <c r="C303" s="93" t="s">
        <v>5503</v>
      </c>
      <c r="D303" s="4">
        <v>39100</v>
      </c>
      <c r="E303" s="2">
        <v>39142</v>
      </c>
      <c r="F303" s="2">
        <f t="shared" si="82"/>
        <v>42795</v>
      </c>
      <c r="G303" s="6">
        <v>499</v>
      </c>
      <c r="H303" s="7" t="s">
        <v>857</v>
      </c>
      <c r="I303" s="7" t="s">
        <v>15</v>
      </c>
      <c r="J303" s="186"/>
      <c r="K303" s="266">
        <f t="shared" ref="K303:K311" si="89">YEAR(F303)</f>
        <v>2017</v>
      </c>
      <c r="L303" s="386"/>
      <c r="M303" s="386"/>
      <c r="N303" s="32" t="s">
        <v>31</v>
      </c>
      <c r="O303" s="32" t="s">
        <v>858</v>
      </c>
      <c r="P303" s="278" t="s">
        <v>859</v>
      </c>
      <c r="Q303" s="233" t="s">
        <v>856</v>
      </c>
      <c r="R303" s="75">
        <v>1876.5</v>
      </c>
      <c r="S303" s="75">
        <v>73852</v>
      </c>
      <c r="T303" s="75">
        <v>75728.5</v>
      </c>
      <c r="U303" s="200">
        <v>998</v>
      </c>
      <c r="V303" s="287">
        <f t="shared" ref="V303:V311" ca="1" si="90">IF(YEAR($W$3)-YEAR(E303)&gt;9,10,IF(MONTH($W$3)&lt;MONTH(E303),YEAR($W$3)-YEAR(E303),YEAR($W$3)-YEAR(E303)+1))</f>
        <v>10</v>
      </c>
      <c r="W303" s="75">
        <f t="shared" ref="W303:W311" ca="1" si="91">IF(V303&lt;6, ROUNDUP(G303,0)*$W$6*V303, ROUNDUP(G303,0)*($W$6*5 + (V303-5)*$W$7))</f>
        <v>8732.5</v>
      </c>
      <c r="X303" s="200">
        <f t="shared" ref="X303:X311" ca="1" si="92">IF(V303=0,T303,((T303-ROUNDUP(G303,0)*1.5)+W303))</f>
        <v>83712.5</v>
      </c>
      <c r="Y303" s="1">
        <v>0.5</v>
      </c>
      <c r="Z303" s="1"/>
      <c r="AA303" s="219"/>
      <c r="AB303" s="302" t="s">
        <v>6471</v>
      </c>
      <c r="AC303" s="302"/>
      <c r="AD303" s="302"/>
      <c r="AE303" s="302"/>
      <c r="AF303">
        <f t="shared" si="81"/>
        <v>0</v>
      </c>
    </row>
    <row r="304" spans="1:32" hidden="1" x14ac:dyDescent="0.25">
      <c r="A304" s="322" t="s">
        <v>860</v>
      </c>
      <c r="B304" s="93" t="str">
        <f t="shared" si="88"/>
        <v>NO</v>
      </c>
      <c r="C304" s="93" t="s">
        <v>5503</v>
      </c>
      <c r="D304" s="4">
        <v>39100</v>
      </c>
      <c r="E304" s="2">
        <v>39142</v>
      </c>
      <c r="F304" s="2">
        <f t="shared" si="82"/>
        <v>42795</v>
      </c>
      <c r="G304" s="6">
        <v>40.770000000000003</v>
      </c>
      <c r="H304" s="7" t="s">
        <v>862</v>
      </c>
      <c r="I304" s="7" t="s">
        <v>15</v>
      </c>
      <c r="J304" s="186"/>
      <c r="K304" s="266">
        <f t="shared" si="89"/>
        <v>2017</v>
      </c>
      <c r="L304" s="386"/>
      <c r="M304" s="386"/>
      <c r="N304" s="32" t="s">
        <v>49</v>
      </c>
      <c r="O304" s="32" t="s">
        <v>863</v>
      </c>
      <c r="P304" s="278" t="s">
        <v>859</v>
      </c>
      <c r="Q304" s="233" t="s">
        <v>861</v>
      </c>
      <c r="R304" s="75">
        <v>273.5</v>
      </c>
      <c r="S304" s="75">
        <v>2378</v>
      </c>
      <c r="T304" s="75">
        <v>2651.5</v>
      </c>
      <c r="U304" s="200">
        <v>82</v>
      </c>
      <c r="V304" s="287">
        <f t="shared" ca="1" si="90"/>
        <v>10</v>
      </c>
      <c r="W304" s="75">
        <f t="shared" ca="1" si="91"/>
        <v>717.5</v>
      </c>
      <c r="X304" s="200">
        <f t="shared" ca="1" si="92"/>
        <v>3307.5</v>
      </c>
      <c r="Y304" s="1">
        <v>0.5</v>
      </c>
      <c r="Z304" s="1"/>
      <c r="AA304" s="219"/>
      <c r="AB304" s="302" t="s">
        <v>6472</v>
      </c>
      <c r="AC304" s="302"/>
      <c r="AD304" s="302"/>
      <c r="AE304" s="302"/>
      <c r="AF304">
        <f t="shared" si="81"/>
        <v>0</v>
      </c>
    </row>
    <row r="305" spans="1:32" hidden="1" x14ac:dyDescent="0.25">
      <c r="A305" s="322" t="s">
        <v>864</v>
      </c>
      <c r="B305" s="93" t="str">
        <f t="shared" si="88"/>
        <v>NO</v>
      </c>
      <c r="C305" s="93" t="s">
        <v>5503</v>
      </c>
      <c r="D305" s="4">
        <v>39100</v>
      </c>
      <c r="E305" s="2">
        <v>39142</v>
      </c>
      <c r="F305" s="2">
        <f t="shared" si="82"/>
        <v>42795</v>
      </c>
      <c r="G305" s="6">
        <v>325.27</v>
      </c>
      <c r="H305" s="7" t="s">
        <v>866</v>
      </c>
      <c r="I305" s="7" t="s">
        <v>15</v>
      </c>
      <c r="J305" s="103" t="s">
        <v>4794</v>
      </c>
      <c r="K305" s="266">
        <f t="shared" si="89"/>
        <v>2017</v>
      </c>
      <c r="L305" s="380"/>
      <c r="M305" s="380"/>
      <c r="N305" s="32" t="s">
        <v>49</v>
      </c>
      <c r="O305" s="32" t="s">
        <v>867</v>
      </c>
      <c r="P305" s="278" t="s">
        <v>868</v>
      </c>
      <c r="Q305" s="233" t="s">
        <v>865</v>
      </c>
      <c r="R305" s="75">
        <v>1271</v>
      </c>
      <c r="S305" s="75">
        <v>9128</v>
      </c>
      <c r="T305" s="75">
        <v>10399</v>
      </c>
      <c r="U305" s="202"/>
      <c r="V305" s="287">
        <f t="shared" ca="1" si="90"/>
        <v>10</v>
      </c>
      <c r="W305" s="75">
        <f t="shared" ca="1" si="91"/>
        <v>5705</v>
      </c>
      <c r="X305" s="200">
        <f t="shared" ca="1" si="92"/>
        <v>15615</v>
      </c>
      <c r="Y305" s="1">
        <v>0.5</v>
      </c>
      <c r="Z305" s="1"/>
      <c r="AA305" s="219"/>
      <c r="AB305" s="302"/>
      <c r="AC305" s="302"/>
      <c r="AD305" s="302"/>
      <c r="AE305" s="302"/>
      <c r="AF305">
        <f t="shared" si="81"/>
        <v>0</v>
      </c>
    </row>
    <row r="306" spans="1:32" hidden="1" x14ac:dyDescent="0.25">
      <c r="A306" s="322" t="s">
        <v>869</v>
      </c>
      <c r="B306" s="93" t="str">
        <f t="shared" si="88"/>
        <v>NO</v>
      </c>
      <c r="C306" s="93" t="s">
        <v>5503</v>
      </c>
      <c r="D306" s="4">
        <v>39100</v>
      </c>
      <c r="E306" s="2">
        <v>39142</v>
      </c>
      <c r="F306" s="2">
        <f t="shared" si="82"/>
        <v>42795</v>
      </c>
      <c r="G306" s="6">
        <v>428</v>
      </c>
      <c r="H306" s="7" t="s">
        <v>871</v>
      </c>
      <c r="I306" s="7" t="s">
        <v>15</v>
      </c>
      <c r="J306" s="186"/>
      <c r="K306" s="266">
        <f t="shared" si="89"/>
        <v>2017</v>
      </c>
      <c r="L306" s="386"/>
      <c r="M306" s="386"/>
      <c r="N306" s="32" t="s">
        <v>31</v>
      </c>
      <c r="O306" s="32" t="s">
        <v>872</v>
      </c>
      <c r="P306" s="278" t="s">
        <v>859</v>
      </c>
      <c r="Q306" s="233" t="s">
        <v>870</v>
      </c>
      <c r="R306" s="75">
        <v>1628</v>
      </c>
      <c r="S306" s="75">
        <v>11984</v>
      </c>
      <c r="T306" s="75">
        <v>13612</v>
      </c>
      <c r="U306" s="200">
        <v>856</v>
      </c>
      <c r="V306" s="287">
        <f t="shared" ca="1" si="90"/>
        <v>10</v>
      </c>
      <c r="W306" s="75">
        <f t="shared" ca="1" si="91"/>
        <v>7490</v>
      </c>
      <c r="X306" s="200">
        <f t="shared" ca="1" si="92"/>
        <v>20460</v>
      </c>
      <c r="Y306" s="1">
        <v>0.5</v>
      </c>
      <c r="Z306" s="1"/>
      <c r="AA306" s="219"/>
      <c r="AB306" s="302" t="s">
        <v>6473</v>
      </c>
      <c r="AC306" s="302"/>
      <c r="AD306" s="302"/>
      <c r="AE306" s="302"/>
      <c r="AF306">
        <f t="shared" si="81"/>
        <v>0</v>
      </c>
    </row>
    <row r="307" spans="1:32" hidden="1" x14ac:dyDescent="0.25">
      <c r="A307" s="322" t="s">
        <v>873</v>
      </c>
      <c r="B307" s="93" t="str">
        <f t="shared" si="88"/>
        <v>NO</v>
      </c>
      <c r="C307" s="93" t="s">
        <v>5503</v>
      </c>
      <c r="D307" s="4">
        <v>39100</v>
      </c>
      <c r="E307" s="2">
        <v>39142</v>
      </c>
      <c r="F307" s="2">
        <f t="shared" si="82"/>
        <v>42795</v>
      </c>
      <c r="G307" s="6">
        <v>476.01</v>
      </c>
      <c r="H307" s="7" t="s">
        <v>871</v>
      </c>
      <c r="I307" s="7" t="s">
        <v>15</v>
      </c>
      <c r="J307" s="186"/>
      <c r="K307" s="266">
        <f t="shared" si="89"/>
        <v>2017</v>
      </c>
      <c r="L307" s="386"/>
      <c r="M307" s="386"/>
      <c r="N307" s="32" t="s">
        <v>31</v>
      </c>
      <c r="O307" s="32" t="s">
        <v>875</v>
      </c>
      <c r="P307" s="278" t="s">
        <v>859</v>
      </c>
      <c r="Q307" s="233" t="s">
        <v>874</v>
      </c>
      <c r="R307" s="75">
        <v>1799.5</v>
      </c>
      <c r="S307" s="75">
        <v>13356</v>
      </c>
      <c r="T307" s="75">
        <v>15155.5</v>
      </c>
      <c r="U307" s="200">
        <v>954</v>
      </c>
      <c r="V307" s="287">
        <f t="shared" ca="1" si="90"/>
        <v>10</v>
      </c>
      <c r="W307" s="75">
        <f t="shared" ca="1" si="91"/>
        <v>8347.5</v>
      </c>
      <c r="X307" s="200">
        <f t="shared" ca="1" si="92"/>
        <v>22787.5</v>
      </c>
      <c r="Y307" s="1">
        <v>0.5</v>
      </c>
      <c r="Z307" s="1"/>
      <c r="AA307" s="219"/>
      <c r="AB307" s="302" t="s">
        <v>6474</v>
      </c>
      <c r="AC307" s="302"/>
      <c r="AD307" s="302"/>
      <c r="AE307" s="302"/>
      <c r="AF307">
        <f t="shared" si="81"/>
        <v>0</v>
      </c>
    </row>
    <row r="308" spans="1:32" hidden="1" x14ac:dyDescent="0.25">
      <c r="A308" s="322" t="s">
        <v>876</v>
      </c>
      <c r="B308" s="93" t="str">
        <f t="shared" si="88"/>
        <v>NO</v>
      </c>
      <c r="C308" s="93" t="s">
        <v>5503</v>
      </c>
      <c r="D308" s="4">
        <v>39100</v>
      </c>
      <c r="E308" s="2">
        <v>39142</v>
      </c>
      <c r="F308" s="2">
        <f t="shared" si="82"/>
        <v>42795</v>
      </c>
      <c r="G308" s="6">
        <v>2164.09</v>
      </c>
      <c r="H308" s="7" t="s">
        <v>871</v>
      </c>
      <c r="I308" s="7" t="s">
        <v>15</v>
      </c>
      <c r="J308" s="186"/>
      <c r="K308" s="266">
        <f t="shared" si="89"/>
        <v>2017</v>
      </c>
      <c r="L308" s="386"/>
      <c r="M308" s="386"/>
      <c r="N308" s="32" t="s">
        <v>31</v>
      </c>
      <c r="O308" s="32" t="s">
        <v>878</v>
      </c>
      <c r="P308" s="278" t="s">
        <v>859</v>
      </c>
      <c r="Q308" s="233" t="s">
        <v>877</v>
      </c>
      <c r="R308" s="75">
        <v>7707.5</v>
      </c>
      <c r="S308" s="75">
        <v>38970</v>
      </c>
      <c r="T308" s="75">
        <v>46677.5</v>
      </c>
      <c r="U308" s="200">
        <v>4330</v>
      </c>
      <c r="V308" s="287">
        <f t="shared" ca="1" si="90"/>
        <v>10</v>
      </c>
      <c r="W308" s="75">
        <f t="shared" ca="1" si="91"/>
        <v>37887.5</v>
      </c>
      <c r="X308" s="200">
        <f t="shared" ca="1" si="92"/>
        <v>81317.5</v>
      </c>
      <c r="Y308" s="1">
        <v>0.5</v>
      </c>
      <c r="Z308" s="1"/>
      <c r="AA308" s="219"/>
      <c r="AB308" s="302" t="s">
        <v>6475</v>
      </c>
      <c r="AC308" s="302"/>
      <c r="AD308" s="302"/>
      <c r="AE308" s="302"/>
      <c r="AF308">
        <f t="shared" si="81"/>
        <v>0</v>
      </c>
    </row>
    <row r="309" spans="1:32" hidden="1" x14ac:dyDescent="0.25">
      <c r="A309" s="322" t="s">
        <v>879</v>
      </c>
      <c r="B309" s="93" t="str">
        <f t="shared" si="88"/>
        <v>NO</v>
      </c>
      <c r="C309" s="93" t="s">
        <v>5503</v>
      </c>
      <c r="D309" s="4">
        <v>39100</v>
      </c>
      <c r="E309" s="2">
        <v>39142</v>
      </c>
      <c r="F309" s="2">
        <f t="shared" si="82"/>
        <v>42795</v>
      </c>
      <c r="G309" s="6">
        <v>1780.91</v>
      </c>
      <c r="H309" s="7" t="s">
        <v>871</v>
      </c>
      <c r="I309" s="7" t="s">
        <v>15</v>
      </c>
      <c r="J309" s="186"/>
      <c r="K309" s="266">
        <f t="shared" si="89"/>
        <v>2017</v>
      </c>
      <c r="L309" s="386"/>
      <c r="M309" s="386"/>
      <c r="N309" s="32" t="s">
        <v>31</v>
      </c>
      <c r="O309" s="32" t="s">
        <v>881</v>
      </c>
      <c r="P309" s="278" t="s">
        <v>859</v>
      </c>
      <c r="Q309" s="233" t="s">
        <v>880</v>
      </c>
      <c r="R309" s="75">
        <v>6363.5</v>
      </c>
      <c r="S309" s="75">
        <v>17810</v>
      </c>
      <c r="T309" s="75">
        <v>24173.5</v>
      </c>
      <c r="U309" s="200">
        <v>3562</v>
      </c>
      <c r="V309" s="287">
        <f t="shared" ca="1" si="90"/>
        <v>10</v>
      </c>
      <c r="W309" s="75">
        <f t="shared" ca="1" si="91"/>
        <v>31167.5</v>
      </c>
      <c r="X309" s="200">
        <f t="shared" ca="1" si="92"/>
        <v>52669.5</v>
      </c>
      <c r="Y309" s="1">
        <v>0.5</v>
      </c>
      <c r="Z309" s="1"/>
      <c r="AA309" s="219"/>
      <c r="AB309" s="302" t="s">
        <v>6476</v>
      </c>
      <c r="AC309" s="302"/>
      <c r="AD309" s="302"/>
      <c r="AE309" s="302"/>
      <c r="AF309">
        <f t="shared" si="81"/>
        <v>0</v>
      </c>
    </row>
    <row r="310" spans="1:32" hidden="1" x14ac:dyDescent="0.25">
      <c r="A310" s="322" t="s">
        <v>882</v>
      </c>
      <c r="B310" s="93" t="str">
        <f t="shared" si="88"/>
        <v>NO</v>
      </c>
      <c r="C310" s="93" t="s">
        <v>5503</v>
      </c>
      <c r="D310" s="4">
        <v>39100</v>
      </c>
      <c r="E310" s="2">
        <v>39142</v>
      </c>
      <c r="F310" s="2">
        <f t="shared" si="82"/>
        <v>42795</v>
      </c>
      <c r="G310" s="6">
        <v>191.7</v>
      </c>
      <c r="H310" s="7" t="s">
        <v>871</v>
      </c>
      <c r="I310" s="7" t="s">
        <v>15</v>
      </c>
      <c r="J310" s="186"/>
      <c r="K310" s="266">
        <f t="shared" si="89"/>
        <v>2017</v>
      </c>
      <c r="L310" s="386"/>
      <c r="M310" s="386"/>
      <c r="N310" s="32" t="s">
        <v>31</v>
      </c>
      <c r="O310" s="32" t="s">
        <v>884</v>
      </c>
      <c r="P310" s="278" t="s">
        <v>859</v>
      </c>
      <c r="Q310" s="233" t="s">
        <v>883</v>
      </c>
      <c r="R310" s="75">
        <v>802</v>
      </c>
      <c r="S310" s="75">
        <v>1920</v>
      </c>
      <c r="T310" s="75">
        <v>2722</v>
      </c>
      <c r="U310" s="200">
        <v>384</v>
      </c>
      <c r="V310" s="287">
        <f t="shared" ca="1" si="90"/>
        <v>10</v>
      </c>
      <c r="W310" s="75">
        <f t="shared" ca="1" si="91"/>
        <v>3360</v>
      </c>
      <c r="X310" s="200">
        <f t="shared" ca="1" si="92"/>
        <v>5794</v>
      </c>
      <c r="Y310" s="1">
        <v>0.5</v>
      </c>
      <c r="Z310" s="1"/>
      <c r="AA310" s="219"/>
      <c r="AB310" s="302" t="s">
        <v>6477</v>
      </c>
      <c r="AC310" s="302"/>
      <c r="AD310" s="302"/>
      <c r="AE310" s="302"/>
      <c r="AF310">
        <f t="shared" si="81"/>
        <v>0</v>
      </c>
    </row>
    <row r="311" spans="1:32" ht="26.25" hidden="1" x14ac:dyDescent="0.25">
      <c r="A311" s="322" t="s">
        <v>885</v>
      </c>
      <c r="B311" s="93" t="str">
        <f t="shared" si="88"/>
        <v>NO</v>
      </c>
      <c r="C311" s="93" t="s">
        <v>5503</v>
      </c>
      <c r="D311" s="4">
        <v>39100</v>
      </c>
      <c r="E311" s="2">
        <v>39142</v>
      </c>
      <c r="F311" s="2">
        <f t="shared" si="82"/>
        <v>42795</v>
      </c>
      <c r="G311" s="6">
        <v>929.68</v>
      </c>
      <c r="H311" s="7" t="s">
        <v>887</v>
      </c>
      <c r="I311" s="7" t="s">
        <v>15</v>
      </c>
      <c r="J311" s="105" t="s">
        <v>5183</v>
      </c>
      <c r="K311" s="266">
        <f t="shared" si="89"/>
        <v>2017</v>
      </c>
      <c r="L311" s="381"/>
      <c r="M311" s="381"/>
      <c r="N311" s="32" t="s">
        <v>888</v>
      </c>
      <c r="O311" s="32" t="s">
        <v>889</v>
      </c>
      <c r="P311" s="278"/>
      <c r="Q311" s="233" t="s">
        <v>886</v>
      </c>
      <c r="R311" s="75">
        <v>3385</v>
      </c>
      <c r="S311" s="75">
        <v>797940</v>
      </c>
      <c r="T311" s="75">
        <v>801325</v>
      </c>
      <c r="U311" s="200">
        <v>1395</v>
      </c>
      <c r="V311" s="287">
        <f t="shared" ca="1" si="90"/>
        <v>10</v>
      </c>
      <c r="W311" s="75">
        <f t="shared" ca="1" si="91"/>
        <v>16275</v>
      </c>
      <c r="X311" s="200">
        <f t="shared" ca="1" si="92"/>
        <v>816205</v>
      </c>
      <c r="Y311" s="1">
        <v>0.5</v>
      </c>
      <c r="Z311" s="1"/>
      <c r="AA311" s="219"/>
      <c r="AB311" s="302" t="s">
        <v>6478</v>
      </c>
      <c r="AC311" s="302"/>
      <c r="AD311" s="302"/>
      <c r="AE311" s="302"/>
      <c r="AF311">
        <f t="shared" si="81"/>
        <v>0</v>
      </c>
    </row>
    <row r="312" spans="1:32" hidden="1" x14ac:dyDescent="0.25">
      <c r="A312" s="323"/>
      <c r="D312" s="4"/>
      <c r="E312" s="2"/>
      <c r="F312" s="2"/>
      <c r="G312" s="6"/>
      <c r="H312" s="7"/>
      <c r="I312" s="7"/>
      <c r="J312" s="186"/>
      <c r="K312" s="186"/>
      <c r="L312" s="386"/>
      <c r="M312" s="386"/>
      <c r="N312" s="32"/>
      <c r="O312" s="32"/>
      <c r="P312" s="278"/>
      <c r="Q312" s="233" t="s">
        <v>508</v>
      </c>
      <c r="R312" s="75">
        <v>25106.5</v>
      </c>
      <c r="S312" s="75">
        <v>967338</v>
      </c>
      <c r="T312" s="75">
        <v>992444.5</v>
      </c>
      <c r="U312" s="200"/>
      <c r="V312" s="75"/>
      <c r="W312" s="75"/>
      <c r="X312" s="200"/>
      <c r="Y312" s="1"/>
      <c r="Z312" s="1"/>
      <c r="AA312" s="219"/>
      <c r="AB312" s="302"/>
      <c r="AC312" s="302"/>
      <c r="AD312" s="302"/>
      <c r="AE312" s="302"/>
      <c r="AF312">
        <f t="shared" si="81"/>
        <v>0</v>
      </c>
    </row>
    <row r="313" spans="1:32" hidden="1" x14ac:dyDescent="0.25">
      <c r="A313" s="323"/>
      <c r="D313" s="4"/>
      <c r="E313" s="2"/>
      <c r="F313" s="2"/>
      <c r="G313" s="6"/>
      <c r="H313" s="7"/>
      <c r="I313" s="7"/>
      <c r="J313" s="186"/>
      <c r="K313" s="186"/>
      <c r="L313" s="386"/>
      <c r="M313" s="386"/>
      <c r="N313" s="32"/>
      <c r="O313" s="32"/>
      <c r="P313" s="278"/>
      <c r="Q313" s="233"/>
      <c r="R313" s="75"/>
      <c r="S313" s="75"/>
      <c r="T313" s="75"/>
      <c r="U313" s="200"/>
      <c r="V313" s="75"/>
      <c r="W313" s="75"/>
      <c r="X313" s="200"/>
      <c r="Y313" s="1"/>
      <c r="Z313" s="1"/>
      <c r="AA313" s="219"/>
      <c r="AB313" s="302"/>
      <c r="AC313" s="302"/>
      <c r="AD313" s="302"/>
      <c r="AE313" s="302"/>
      <c r="AF313">
        <f t="shared" si="81"/>
        <v>0</v>
      </c>
    </row>
    <row r="314" spans="1:32" hidden="1" x14ac:dyDescent="0.25">
      <c r="A314" s="322" t="s">
        <v>890</v>
      </c>
      <c r="B314" s="93" t="str">
        <f t="shared" ref="B314:B343" si="93">IF(COUNTIF(GIS,A316),"YES","NO")</f>
        <v>NO</v>
      </c>
      <c r="C314" s="93" t="s">
        <v>5503</v>
      </c>
      <c r="D314" s="4">
        <v>39190</v>
      </c>
      <c r="E314" s="2">
        <v>39234</v>
      </c>
      <c r="F314" s="2">
        <f t="shared" si="82"/>
        <v>42887</v>
      </c>
      <c r="G314" s="6">
        <v>80</v>
      </c>
      <c r="H314" s="7" t="s">
        <v>892</v>
      </c>
      <c r="I314" s="7" t="s">
        <v>512</v>
      </c>
      <c r="J314" s="186"/>
      <c r="K314" s="266">
        <f t="shared" ref="K314:K343" si="94">YEAR(F314)</f>
        <v>2017</v>
      </c>
      <c r="L314" s="386"/>
      <c r="M314" s="386"/>
      <c r="N314" s="32" t="s">
        <v>893</v>
      </c>
      <c r="O314" s="32" t="s">
        <v>894</v>
      </c>
      <c r="P314" s="278" t="s">
        <v>895</v>
      </c>
      <c r="Q314" s="233" t="s">
        <v>891</v>
      </c>
      <c r="R314" s="75">
        <v>410</v>
      </c>
      <c r="S314" s="75">
        <v>4640</v>
      </c>
      <c r="T314" s="75">
        <v>5050</v>
      </c>
      <c r="U314" s="200">
        <v>160</v>
      </c>
      <c r="V314" s="287">
        <f t="shared" ref="V314:V343" ca="1" si="95">IF(YEAR($W$3)-YEAR(E314)&gt;9,10,IF(MONTH($W$3)&lt;MONTH(E314),YEAR($W$3)-YEAR(E314),YEAR($W$3)-YEAR(E314)+1))</f>
        <v>10</v>
      </c>
      <c r="W314" s="75">
        <f t="shared" ref="W314:W343" ca="1" si="96">IF(V314&lt;6, ROUNDUP(G314,0)*$W$6*V314, ROUNDUP(G314,0)*($W$6*5 + (V314-5)*$W$7))</f>
        <v>1400</v>
      </c>
      <c r="X314" s="200">
        <f t="shared" ref="X314:X343" ca="1" si="97">IF(V314=0,T314,((T314-ROUNDUP(G314,0)*1.5)+W314))</f>
        <v>6330</v>
      </c>
      <c r="Y314" s="1">
        <v>0.5</v>
      </c>
      <c r="Z314" s="1"/>
      <c r="AA314" s="219"/>
      <c r="AB314" s="302" t="s">
        <v>6479</v>
      </c>
      <c r="AC314" s="302"/>
      <c r="AD314" s="302"/>
      <c r="AE314" s="302"/>
      <c r="AF314">
        <f t="shared" si="81"/>
        <v>0</v>
      </c>
    </row>
    <row r="315" spans="1:32" ht="26.25" hidden="1" x14ac:dyDescent="0.25">
      <c r="A315" s="322" t="s">
        <v>896</v>
      </c>
      <c r="B315" s="93" t="str">
        <f t="shared" si="93"/>
        <v>NO</v>
      </c>
      <c r="C315" s="93" t="s">
        <v>5503</v>
      </c>
      <c r="D315" s="4">
        <v>39190</v>
      </c>
      <c r="E315" s="2">
        <v>39234</v>
      </c>
      <c r="F315" s="2">
        <f t="shared" si="82"/>
        <v>42887</v>
      </c>
      <c r="G315" s="6">
        <v>160</v>
      </c>
      <c r="H315" s="7" t="s">
        <v>899</v>
      </c>
      <c r="I315" s="7" t="s">
        <v>512</v>
      </c>
      <c r="J315" s="109" t="s">
        <v>898</v>
      </c>
      <c r="K315" s="266">
        <f t="shared" si="94"/>
        <v>2017</v>
      </c>
      <c r="L315" s="385"/>
      <c r="M315" s="385"/>
      <c r="N315" s="32" t="s">
        <v>893</v>
      </c>
      <c r="O315" s="32" t="s">
        <v>900</v>
      </c>
      <c r="P315" s="278" t="s">
        <v>901</v>
      </c>
      <c r="Q315" s="233" t="s">
        <v>897</v>
      </c>
      <c r="R315" s="75">
        <v>690</v>
      </c>
      <c r="S315" s="75">
        <v>14080</v>
      </c>
      <c r="T315" s="75">
        <v>14770</v>
      </c>
      <c r="U315" s="200">
        <v>320</v>
      </c>
      <c r="V315" s="287">
        <f t="shared" ca="1" si="95"/>
        <v>10</v>
      </c>
      <c r="W315" s="75">
        <f t="shared" ca="1" si="96"/>
        <v>2800</v>
      </c>
      <c r="X315" s="200">
        <f t="shared" ca="1" si="97"/>
        <v>17330</v>
      </c>
      <c r="Y315" s="1">
        <v>0.5</v>
      </c>
      <c r="Z315" s="1"/>
      <c r="AA315" s="219"/>
      <c r="AB315" s="302" t="s">
        <v>6236</v>
      </c>
      <c r="AC315" s="308">
        <v>42829</v>
      </c>
      <c r="AD315" s="309">
        <v>0.25</v>
      </c>
      <c r="AE315" s="312" t="s">
        <v>6235</v>
      </c>
      <c r="AF315">
        <f t="shared" si="81"/>
        <v>0</v>
      </c>
    </row>
    <row r="316" spans="1:32" hidden="1" x14ac:dyDescent="0.25">
      <c r="A316" s="322" t="s">
        <v>902</v>
      </c>
      <c r="B316" s="93" t="str">
        <f t="shared" si="93"/>
        <v>NO</v>
      </c>
      <c r="C316" s="93" t="s">
        <v>5503</v>
      </c>
      <c r="D316" s="4">
        <v>39190</v>
      </c>
      <c r="E316" s="2">
        <v>39234</v>
      </c>
      <c r="F316" s="2">
        <f t="shared" si="82"/>
        <v>42887</v>
      </c>
      <c r="G316" s="6">
        <v>642.88</v>
      </c>
      <c r="H316" s="7" t="s">
        <v>904</v>
      </c>
      <c r="I316" s="7" t="s">
        <v>512</v>
      </c>
      <c r="J316" s="186"/>
      <c r="K316" s="266">
        <f t="shared" si="94"/>
        <v>2017</v>
      </c>
      <c r="L316" s="386"/>
      <c r="M316" s="386"/>
      <c r="N316" s="32" t="s">
        <v>893</v>
      </c>
      <c r="O316" s="32" t="s">
        <v>905</v>
      </c>
      <c r="P316" s="278" t="s">
        <v>906</v>
      </c>
      <c r="Q316" s="233" t="s">
        <v>903</v>
      </c>
      <c r="R316" s="75">
        <v>2380.5</v>
      </c>
      <c r="S316" s="75">
        <v>50154</v>
      </c>
      <c r="T316" s="75">
        <v>52534.5</v>
      </c>
      <c r="U316" s="200">
        <v>1286</v>
      </c>
      <c r="V316" s="287">
        <f t="shared" ca="1" si="95"/>
        <v>10</v>
      </c>
      <c r="W316" s="75">
        <f t="shared" ca="1" si="96"/>
        <v>11252.5</v>
      </c>
      <c r="X316" s="200">
        <f t="shared" ca="1" si="97"/>
        <v>62822.5</v>
      </c>
      <c r="Y316" s="1">
        <v>0.5</v>
      </c>
      <c r="Z316" s="1"/>
      <c r="AA316" s="219"/>
      <c r="AB316" s="302" t="s">
        <v>6249</v>
      </c>
      <c r="AC316" s="308">
        <v>41723</v>
      </c>
      <c r="AD316" s="309">
        <v>0.25</v>
      </c>
      <c r="AE316" s="302" t="s">
        <v>6226</v>
      </c>
      <c r="AF316">
        <f t="shared" si="81"/>
        <v>0</v>
      </c>
    </row>
    <row r="317" spans="1:32" ht="39" hidden="1" x14ac:dyDescent="0.25">
      <c r="A317" s="322" t="s">
        <v>907</v>
      </c>
      <c r="B317" s="93" t="str">
        <f t="shared" si="93"/>
        <v>NO</v>
      </c>
      <c r="C317" s="93" t="s">
        <v>5503</v>
      </c>
      <c r="D317" s="4">
        <v>39190</v>
      </c>
      <c r="E317" s="2">
        <v>39234</v>
      </c>
      <c r="F317" s="2">
        <f t="shared" si="82"/>
        <v>42887</v>
      </c>
      <c r="G317" s="6">
        <v>1812.74</v>
      </c>
      <c r="H317" s="7" t="s">
        <v>909</v>
      </c>
      <c r="I317" s="7" t="s">
        <v>512</v>
      </c>
      <c r="J317" s="186"/>
      <c r="K317" s="266">
        <f t="shared" si="94"/>
        <v>2017</v>
      </c>
      <c r="L317" s="386"/>
      <c r="M317" s="386"/>
      <c r="N317" s="32" t="s">
        <v>893</v>
      </c>
      <c r="O317" s="32" t="s">
        <v>910</v>
      </c>
      <c r="P317" s="278" t="s">
        <v>911</v>
      </c>
      <c r="Q317" s="233" t="s">
        <v>908</v>
      </c>
      <c r="R317" s="75">
        <v>6475.5</v>
      </c>
      <c r="S317" s="75">
        <v>27195</v>
      </c>
      <c r="T317" s="75">
        <v>33670.5</v>
      </c>
      <c r="U317" s="200">
        <v>3626</v>
      </c>
      <c r="V317" s="287">
        <f t="shared" ca="1" si="95"/>
        <v>10</v>
      </c>
      <c r="W317" s="75">
        <f t="shared" ca="1" si="96"/>
        <v>31727.5</v>
      </c>
      <c r="X317" s="200">
        <f t="shared" ca="1" si="97"/>
        <v>62678.5</v>
      </c>
      <c r="Y317" s="1">
        <v>0.5</v>
      </c>
      <c r="Z317" s="1"/>
      <c r="AA317" s="219"/>
      <c r="AB317" s="302" t="s">
        <v>6480</v>
      </c>
      <c r="AC317" s="302"/>
      <c r="AD317" s="302"/>
      <c r="AE317" s="302"/>
      <c r="AF317">
        <f t="shared" si="81"/>
        <v>0</v>
      </c>
    </row>
    <row r="318" spans="1:32" ht="26.25" hidden="1" x14ac:dyDescent="0.25">
      <c r="A318" s="322" t="s">
        <v>912</v>
      </c>
      <c r="B318" s="93" t="str">
        <f t="shared" si="93"/>
        <v>NO</v>
      </c>
      <c r="C318" s="93" t="s">
        <v>5503</v>
      </c>
      <c r="D318" s="4">
        <v>39190</v>
      </c>
      <c r="E318" s="2">
        <v>39234</v>
      </c>
      <c r="F318" s="2">
        <f t="shared" si="82"/>
        <v>42887</v>
      </c>
      <c r="G318" s="6">
        <v>40</v>
      </c>
      <c r="H318" s="7" t="s">
        <v>914</v>
      </c>
      <c r="I318" s="7" t="s">
        <v>198</v>
      </c>
      <c r="J318" s="109" t="s">
        <v>4811</v>
      </c>
      <c r="K318" s="266">
        <f t="shared" si="94"/>
        <v>2017</v>
      </c>
      <c r="L318" s="388"/>
      <c r="M318" s="388"/>
      <c r="N318" s="32" t="s">
        <v>893</v>
      </c>
      <c r="O318" s="32" t="s">
        <v>915</v>
      </c>
      <c r="P318" s="278" t="s">
        <v>916</v>
      </c>
      <c r="Q318" s="233" t="s">
        <v>913</v>
      </c>
      <c r="R318" s="75">
        <v>270</v>
      </c>
      <c r="S318" s="75">
        <v>0</v>
      </c>
      <c r="T318" s="75">
        <v>270</v>
      </c>
      <c r="U318" s="200">
        <v>80</v>
      </c>
      <c r="V318" s="287">
        <f t="shared" ca="1" si="95"/>
        <v>10</v>
      </c>
      <c r="W318" s="75">
        <f t="shared" ca="1" si="96"/>
        <v>700</v>
      </c>
      <c r="X318" s="200">
        <f t="shared" ca="1" si="97"/>
        <v>910</v>
      </c>
      <c r="Y318" s="1">
        <v>0.5</v>
      </c>
      <c r="Z318" s="1"/>
      <c r="AA318" s="219"/>
      <c r="AB318" s="302"/>
      <c r="AC318" s="302"/>
      <c r="AD318" s="302"/>
      <c r="AE318" s="302"/>
      <c r="AF318">
        <f t="shared" si="81"/>
        <v>0</v>
      </c>
    </row>
    <row r="319" spans="1:32" ht="15" hidden="1" customHeight="1" x14ac:dyDescent="0.25">
      <c r="A319" s="322" t="s">
        <v>917</v>
      </c>
      <c r="B319" s="93" t="str">
        <f t="shared" si="93"/>
        <v>NO</v>
      </c>
      <c r="C319" s="93" t="s">
        <v>5503</v>
      </c>
      <c r="D319" s="4">
        <v>39190</v>
      </c>
      <c r="E319" s="2">
        <v>39234</v>
      </c>
      <c r="F319" s="2">
        <f t="shared" si="82"/>
        <v>42887</v>
      </c>
      <c r="G319" s="6">
        <v>40</v>
      </c>
      <c r="H319" s="7" t="s">
        <v>914</v>
      </c>
      <c r="I319" s="7" t="s">
        <v>198</v>
      </c>
      <c r="J319" s="109" t="s">
        <v>4812</v>
      </c>
      <c r="K319" s="266">
        <f t="shared" si="94"/>
        <v>2017</v>
      </c>
      <c r="L319" s="388"/>
      <c r="M319" s="388"/>
      <c r="N319" s="32" t="s">
        <v>893</v>
      </c>
      <c r="O319" s="32" t="s">
        <v>919</v>
      </c>
      <c r="P319" s="278" t="s">
        <v>920</v>
      </c>
      <c r="Q319" s="233" t="s">
        <v>918</v>
      </c>
      <c r="R319" s="75">
        <v>270</v>
      </c>
      <c r="S319" s="75">
        <v>0</v>
      </c>
      <c r="T319" s="75">
        <v>270</v>
      </c>
      <c r="U319" s="200">
        <v>80</v>
      </c>
      <c r="V319" s="287">
        <f t="shared" ca="1" si="95"/>
        <v>10</v>
      </c>
      <c r="W319" s="75">
        <f t="shared" ca="1" si="96"/>
        <v>700</v>
      </c>
      <c r="X319" s="200">
        <f t="shared" ca="1" si="97"/>
        <v>910</v>
      </c>
      <c r="Y319" s="1">
        <v>0.5</v>
      </c>
      <c r="Z319" s="1"/>
      <c r="AA319" s="219"/>
      <c r="AB319" s="302"/>
      <c r="AC319" s="302"/>
      <c r="AD319" s="302"/>
      <c r="AE319" s="302"/>
      <c r="AF319">
        <f t="shared" si="81"/>
        <v>0</v>
      </c>
    </row>
    <row r="320" spans="1:32" hidden="1" x14ac:dyDescent="0.25">
      <c r="A320" s="322" t="s">
        <v>921</v>
      </c>
      <c r="B320" s="93" t="str">
        <f t="shared" si="93"/>
        <v>NO</v>
      </c>
      <c r="C320" s="93" t="s">
        <v>5503</v>
      </c>
      <c r="D320" s="4">
        <v>39190</v>
      </c>
      <c r="E320" s="2">
        <v>39234</v>
      </c>
      <c r="F320" s="2">
        <f t="shared" si="82"/>
        <v>42887</v>
      </c>
      <c r="G320" s="6">
        <v>80</v>
      </c>
      <c r="H320" s="7" t="s">
        <v>914</v>
      </c>
      <c r="I320" s="7" t="s">
        <v>198</v>
      </c>
      <c r="J320" s="186"/>
      <c r="K320" s="266">
        <f t="shared" si="94"/>
        <v>2017</v>
      </c>
      <c r="L320" s="386"/>
      <c r="M320" s="386"/>
      <c r="N320" s="32" t="s">
        <v>893</v>
      </c>
      <c r="O320" s="32" t="s">
        <v>923</v>
      </c>
      <c r="P320" s="278" t="s">
        <v>924</v>
      </c>
      <c r="Q320" s="233" t="s">
        <v>922</v>
      </c>
      <c r="R320" s="75">
        <v>410</v>
      </c>
      <c r="S320" s="75">
        <v>0</v>
      </c>
      <c r="T320" s="75">
        <v>410</v>
      </c>
      <c r="U320" s="200">
        <v>160</v>
      </c>
      <c r="V320" s="287">
        <f t="shared" ca="1" si="95"/>
        <v>10</v>
      </c>
      <c r="W320" s="75">
        <f t="shared" ca="1" si="96"/>
        <v>1400</v>
      </c>
      <c r="X320" s="200">
        <f t="shared" ca="1" si="97"/>
        <v>1690</v>
      </c>
      <c r="Y320" s="1">
        <v>0.5</v>
      </c>
      <c r="Z320" s="1"/>
      <c r="AA320" s="219"/>
      <c r="AB320" s="302"/>
      <c r="AC320" s="302"/>
      <c r="AD320" s="302"/>
      <c r="AE320" s="302"/>
      <c r="AF320">
        <f t="shared" si="81"/>
        <v>0</v>
      </c>
    </row>
    <row r="321" spans="1:32" ht="26.25" hidden="1" x14ac:dyDescent="0.25">
      <c r="A321" s="322" t="s">
        <v>925</v>
      </c>
      <c r="B321" s="93" t="str">
        <f t="shared" si="93"/>
        <v>NO</v>
      </c>
      <c r="C321" s="93" t="s">
        <v>5503</v>
      </c>
      <c r="D321" s="4">
        <v>39190</v>
      </c>
      <c r="E321" s="2">
        <v>39234</v>
      </c>
      <c r="F321" s="2">
        <f t="shared" si="82"/>
        <v>42887</v>
      </c>
      <c r="G321" s="6">
        <v>88.98</v>
      </c>
      <c r="H321" s="7" t="s">
        <v>914</v>
      </c>
      <c r="I321" s="7" t="s">
        <v>198</v>
      </c>
      <c r="J321" s="186"/>
      <c r="K321" s="266">
        <f t="shared" si="94"/>
        <v>2017</v>
      </c>
      <c r="L321" s="386"/>
      <c r="M321" s="386"/>
      <c r="N321" s="32" t="s">
        <v>893</v>
      </c>
      <c r="O321" s="32" t="s">
        <v>927</v>
      </c>
      <c r="P321" s="278" t="s">
        <v>928</v>
      </c>
      <c r="Q321" s="233" t="s">
        <v>926</v>
      </c>
      <c r="R321" s="75">
        <v>441.5</v>
      </c>
      <c r="S321" s="75">
        <v>0</v>
      </c>
      <c r="T321" s="75">
        <v>441.5</v>
      </c>
      <c r="U321" s="200">
        <v>178</v>
      </c>
      <c r="V321" s="287">
        <f t="shared" ca="1" si="95"/>
        <v>10</v>
      </c>
      <c r="W321" s="75">
        <f t="shared" ca="1" si="96"/>
        <v>1557.5</v>
      </c>
      <c r="X321" s="200">
        <f t="shared" ca="1" si="97"/>
        <v>1865.5</v>
      </c>
      <c r="Y321" s="1">
        <v>0.5</v>
      </c>
      <c r="Z321" s="1"/>
      <c r="AA321" s="219"/>
      <c r="AB321" s="302"/>
      <c r="AC321" s="302"/>
      <c r="AD321" s="302"/>
      <c r="AE321" s="302"/>
      <c r="AF321">
        <f t="shared" si="81"/>
        <v>0</v>
      </c>
    </row>
    <row r="322" spans="1:32" hidden="1" x14ac:dyDescent="0.25">
      <c r="A322" s="322" t="s">
        <v>929</v>
      </c>
      <c r="B322" s="93" t="str">
        <f t="shared" si="93"/>
        <v>NO</v>
      </c>
      <c r="C322" s="93" t="s">
        <v>5503</v>
      </c>
      <c r="D322" s="4">
        <v>39190</v>
      </c>
      <c r="E322" s="2">
        <v>39234</v>
      </c>
      <c r="F322" s="2">
        <f t="shared" si="82"/>
        <v>42887</v>
      </c>
      <c r="G322" s="6">
        <v>160</v>
      </c>
      <c r="H322" s="7" t="s">
        <v>7486</v>
      </c>
      <c r="I322" s="7" t="s">
        <v>198</v>
      </c>
      <c r="J322" s="186"/>
      <c r="K322" s="266">
        <f t="shared" si="94"/>
        <v>2017</v>
      </c>
      <c r="L322" s="386"/>
      <c r="M322" s="386"/>
      <c r="N322" s="32" t="s">
        <v>893</v>
      </c>
      <c r="O322" s="32" t="s">
        <v>931</v>
      </c>
      <c r="P322" s="278" t="s">
        <v>932</v>
      </c>
      <c r="Q322" s="233" t="s">
        <v>930</v>
      </c>
      <c r="R322" s="75">
        <v>690</v>
      </c>
      <c r="S322" s="75">
        <v>1280</v>
      </c>
      <c r="T322" s="75">
        <v>1970</v>
      </c>
      <c r="U322" s="200">
        <v>320</v>
      </c>
      <c r="V322" s="287">
        <f t="shared" ca="1" si="95"/>
        <v>10</v>
      </c>
      <c r="W322" s="75">
        <f t="shared" ca="1" si="96"/>
        <v>2800</v>
      </c>
      <c r="X322" s="200">
        <f t="shared" ca="1" si="97"/>
        <v>4530</v>
      </c>
      <c r="Y322" s="1">
        <v>0.5</v>
      </c>
      <c r="Z322" s="1"/>
      <c r="AA322" s="219"/>
      <c r="AB322" s="302" t="s">
        <v>6481</v>
      </c>
      <c r="AC322" s="302"/>
      <c r="AD322" s="302"/>
      <c r="AE322" s="302"/>
      <c r="AF322">
        <f t="shared" si="81"/>
        <v>0</v>
      </c>
    </row>
    <row r="323" spans="1:32" hidden="1" x14ac:dyDescent="0.25">
      <c r="A323" s="322" t="s">
        <v>933</v>
      </c>
      <c r="B323" s="93" t="str">
        <f t="shared" si="93"/>
        <v>NO</v>
      </c>
      <c r="C323" s="93" t="s">
        <v>5503</v>
      </c>
      <c r="D323" s="4">
        <v>39190</v>
      </c>
      <c r="E323" s="2">
        <v>39234</v>
      </c>
      <c r="F323" s="2">
        <f t="shared" si="82"/>
        <v>42887</v>
      </c>
      <c r="G323" s="6">
        <v>80.239999999999995</v>
      </c>
      <c r="H323" s="7" t="s">
        <v>935</v>
      </c>
      <c r="I323" s="7" t="s">
        <v>198</v>
      </c>
      <c r="J323" s="186"/>
      <c r="K323" s="266">
        <f t="shared" si="94"/>
        <v>2017</v>
      </c>
      <c r="L323" s="386"/>
      <c r="M323" s="386"/>
      <c r="N323" s="32" t="s">
        <v>893</v>
      </c>
      <c r="O323" s="32" t="s">
        <v>5185</v>
      </c>
      <c r="P323" s="278" t="s">
        <v>5186</v>
      </c>
      <c r="Q323" s="233" t="s">
        <v>934</v>
      </c>
      <c r="R323" s="75">
        <v>413.5</v>
      </c>
      <c r="S323" s="75">
        <v>8748</v>
      </c>
      <c r="T323" s="75">
        <v>9161.5</v>
      </c>
      <c r="U323" s="200">
        <v>162</v>
      </c>
      <c r="V323" s="287">
        <f t="shared" ca="1" si="95"/>
        <v>10</v>
      </c>
      <c r="W323" s="75">
        <f t="shared" ca="1" si="96"/>
        <v>1417.5</v>
      </c>
      <c r="X323" s="200">
        <f t="shared" ca="1" si="97"/>
        <v>10457.5</v>
      </c>
      <c r="Y323" s="1">
        <v>0.5</v>
      </c>
      <c r="Z323" s="1"/>
      <c r="AA323" s="219"/>
      <c r="AB323" s="312" t="s">
        <v>6482</v>
      </c>
      <c r="AC323" s="310">
        <v>42807</v>
      </c>
      <c r="AD323" s="311">
        <v>0.25</v>
      </c>
      <c r="AE323" s="302" t="s">
        <v>5389</v>
      </c>
      <c r="AF323">
        <f t="shared" si="81"/>
        <v>0</v>
      </c>
    </row>
    <row r="324" spans="1:32" hidden="1" x14ac:dyDescent="0.25">
      <c r="A324" s="322" t="s">
        <v>936</v>
      </c>
      <c r="B324" s="93" t="str">
        <f t="shared" si="93"/>
        <v>NO</v>
      </c>
      <c r="C324" s="93" t="s">
        <v>5503</v>
      </c>
      <c r="D324" s="4">
        <v>39190</v>
      </c>
      <c r="E324" s="2">
        <v>39234</v>
      </c>
      <c r="F324" s="2">
        <f t="shared" si="82"/>
        <v>42887</v>
      </c>
      <c r="G324" s="6">
        <v>80</v>
      </c>
      <c r="H324" s="7" t="s">
        <v>935</v>
      </c>
      <c r="I324" s="7" t="s">
        <v>198</v>
      </c>
      <c r="J324" s="186"/>
      <c r="K324" s="266">
        <f t="shared" si="94"/>
        <v>2017</v>
      </c>
      <c r="L324" s="386"/>
      <c r="M324" s="386"/>
      <c r="N324" s="32" t="s">
        <v>893</v>
      </c>
      <c r="O324" s="32" t="s">
        <v>938</v>
      </c>
      <c r="P324" s="278" t="s">
        <v>939</v>
      </c>
      <c r="Q324" s="233" t="s">
        <v>937</v>
      </c>
      <c r="R324" s="75">
        <v>410</v>
      </c>
      <c r="S324" s="75">
        <v>8640</v>
      </c>
      <c r="T324" s="75">
        <v>9050</v>
      </c>
      <c r="U324" s="200">
        <v>160</v>
      </c>
      <c r="V324" s="287">
        <f t="shared" ca="1" si="95"/>
        <v>10</v>
      </c>
      <c r="W324" s="75">
        <f t="shared" ca="1" si="96"/>
        <v>1400</v>
      </c>
      <c r="X324" s="200">
        <f t="shared" ca="1" si="97"/>
        <v>10330</v>
      </c>
      <c r="Y324" s="1">
        <v>0.5</v>
      </c>
      <c r="Z324" s="1"/>
      <c r="AA324" s="219"/>
      <c r="AB324" s="312" t="s">
        <v>6483</v>
      </c>
      <c r="AC324" s="302"/>
      <c r="AD324" s="302"/>
      <c r="AE324" s="302"/>
      <c r="AF324">
        <f t="shared" si="81"/>
        <v>0</v>
      </c>
    </row>
    <row r="325" spans="1:32" ht="26.25" hidden="1" x14ac:dyDescent="0.25">
      <c r="A325" s="322" t="s">
        <v>940</v>
      </c>
      <c r="B325" s="93" t="str">
        <f t="shared" si="93"/>
        <v>NO</v>
      </c>
      <c r="C325" s="93" t="s">
        <v>5503</v>
      </c>
      <c r="D325" s="4">
        <v>39190</v>
      </c>
      <c r="E325" s="2">
        <v>39234</v>
      </c>
      <c r="F325" s="2">
        <f t="shared" si="82"/>
        <v>42887</v>
      </c>
      <c r="G325" s="6">
        <v>280</v>
      </c>
      <c r="H325" s="7" t="s">
        <v>942</v>
      </c>
      <c r="I325" s="7" t="s">
        <v>198</v>
      </c>
      <c r="J325" s="186"/>
      <c r="K325" s="266">
        <f t="shared" si="94"/>
        <v>2017</v>
      </c>
      <c r="L325" s="386"/>
      <c r="M325" s="386"/>
      <c r="N325" s="32" t="s">
        <v>893</v>
      </c>
      <c r="O325" s="32" t="s">
        <v>943</v>
      </c>
      <c r="P325" s="278" t="s">
        <v>944</v>
      </c>
      <c r="Q325" s="233" t="s">
        <v>941</v>
      </c>
      <c r="R325" s="75">
        <v>1110</v>
      </c>
      <c r="S325" s="75">
        <v>3640</v>
      </c>
      <c r="T325" s="75">
        <v>4750</v>
      </c>
      <c r="U325" s="200">
        <v>560</v>
      </c>
      <c r="V325" s="287">
        <f t="shared" ca="1" si="95"/>
        <v>10</v>
      </c>
      <c r="W325" s="75">
        <f t="shared" ca="1" si="96"/>
        <v>4900</v>
      </c>
      <c r="X325" s="200">
        <f t="shared" ca="1" si="97"/>
        <v>9230</v>
      </c>
      <c r="Y325" s="1">
        <v>0.5</v>
      </c>
      <c r="Z325" s="1"/>
      <c r="AA325" s="219"/>
      <c r="AB325" s="302"/>
      <c r="AC325" s="302"/>
      <c r="AD325" s="302"/>
      <c r="AE325" s="302"/>
      <c r="AF325">
        <f t="shared" si="81"/>
        <v>0</v>
      </c>
    </row>
    <row r="326" spans="1:32" ht="26.25" hidden="1" x14ac:dyDescent="0.25">
      <c r="A326" s="322" t="s">
        <v>945</v>
      </c>
      <c r="B326" s="93" t="str">
        <f t="shared" si="93"/>
        <v>NO</v>
      </c>
      <c r="C326" s="93" t="s">
        <v>5503</v>
      </c>
      <c r="D326" s="4">
        <v>39190</v>
      </c>
      <c r="E326" s="2">
        <v>39234</v>
      </c>
      <c r="F326" s="2">
        <f t="shared" si="82"/>
        <v>42887</v>
      </c>
      <c r="G326" s="6">
        <v>99.48</v>
      </c>
      <c r="H326" s="7" t="s">
        <v>942</v>
      </c>
      <c r="I326" s="7" t="s">
        <v>198</v>
      </c>
      <c r="J326" s="186"/>
      <c r="K326" s="266">
        <f t="shared" si="94"/>
        <v>2017</v>
      </c>
      <c r="L326" s="386"/>
      <c r="M326" s="386"/>
      <c r="N326" s="32" t="s">
        <v>893</v>
      </c>
      <c r="O326" s="32" t="s">
        <v>947</v>
      </c>
      <c r="P326" s="278" t="s">
        <v>948</v>
      </c>
      <c r="Q326" s="233" t="s">
        <v>946</v>
      </c>
      <c r="R326" s="75">
        <v>480</v>
      </c>
      <c r="S326" s="75">
        <v>0</v>
      </c>
      <c r="T326" s="75">
        <v>480</v>
      </c>
      <c r="U326" s="200">
        <v>200</v>
      </c>
      <c r="V326" s="287">
        <f t="shared" ca="1" si="95"/>
        <v>10</v>
      </c>
      <c r="W326" s="75">
        <f t="shared" ca="1" si="96"/>
        <v>1750</v>
      </c>
      <c r="X326" s="200">
        <f t="shared" ca="1" si="97"/>
        <v>2080</v>
      </c>
      <c r="Y326" s="1">
        <v>0.5</v>
      </c>
      <c r="Z326" s="1"/>
      <c r="AA326" s="219"/>
      <c r="AB326" s="302"/>
      <c r="AC326" s="302"/>
      <c r="AD326" s="302"/>
      <c r="AE326" s="302"/>
      <c r="AF326">
        <f t="shared" si="81"/>
        <v>0</v>
      </c>
    </row>
    <row r="327" spans="1:32" ht="43.5" hidden="1" customHeight="1" x14ac:dyDescent="0.25">
      <c r="A327" s="322" t="s">
        <v>949</v>
      </c>
      <c r="B327" s="93" t="str">
        <f t="shared" si="93"/>
        <v>NO</v>
      </c>
      <c r="C327" s="93" t="s">
        <v>5503</v>
      </c>
      <c r="D327" s="4">
        <v>39190</v>
      </c>
      <c r="E327" s="2">
        <v>39234</v>
      </c>
      <c r="F327" s="2">
        <f t="shared" si="82"/>
        <v>42887</v>
      </c>
      <c r="G327" s="6">
        <v>40</v>
      </c>
      <c r="H327" s="7" t="s">
        <v>951</v>
      </c>
      <c r="I327" s="7" t="s">
        <v>198</v>
      </c>
      <c r="J327" s="105" t="s">
        <v>4813</v>
      </c>
      <c r="K327" s="266">
        <f t="shared" si="94"/>
        <v>2017</v>
      </c>
      <c r="L327" s="383"/>
      <c r="M327" s="383"/>
      <c r="N327" s="32" t="s">
        <v>893</v>
      </c>
      <c r="O327" s="32" t="s">
        <v>952</v>
      </c>
      <c r="P327" s="278" t="s">
        <v>953</v>
      </c>
      <c r="Q327" s="233" t="s">
        <v>950</v>
      </c>
      <c r="R327" s="75">
        <v>270</v>
      </c>
      <c r="S327" s="75">
        <v>520</v>
      </c>
      <c r="T327" s="75">
        <v>790</v>
      </c>
      <c r="U327" s="200">
        <v>80</v>
      </c>
      <c r="V327" s="287">
        <f t="shared" ca="1" si="95"/>
        <v>10</v>
      </c>
      <c r="W327" s="75">
        <f t="shared" ca="1" si="96"/>
        <v>700</v>
      </c>
      <c r="X327" s="200">
        <f t="shared" ca="1" si="97"/>
        <v>1430</v>
      </c>
      <c r="Y327" s="1">
        <v>0.5</v>
      </c>
      <c r="Z327" s="1"/>
      <c r="AA327" s="219"/>
      <c r="AB327" s="302" t="s">
        <v>6484</v>
      </c>
      <c r="AC327" s="302"/>
      <c r="AD327" s="302"/>
      <c r="AE327" s="302"/>
      <c r="AF327">
        <f t="shared" si="81"/>
        <v>0</v>
      </c>
    </row>
    <row r="328" spans="1:32" hidden="1" x14ac:dyDescent="0.25">
      <c r="A328" s="322" t="s">
        <v>954</v>
      </c>
      <c r="B328" s="93" t="str">
        <f t="shared" si="93"/>
        <v>NO</v>
      </c>
      <c r="C328" s="93" t="s">
        <v>5503</v>
      </c>
      <c r="D328" s="4">
        <v>39190</v>
      </c>
      <c r="E328" s="2">
        <v>39234</v>
      </c>
      <c r="F328" s="2">
        <f t="shared" si="82"/>
        <v>42887</v>
      </c>
      <c r="G328" s="6">
        <v>120</v>
      </c>
      <c r="H328" s="7" t="s">
        <v>951</v>
      </c>
      <c r="I328" s="7" t="s">
        <v>198</v>
      </c>
      <c r="J328" s="186"/>
      <c r="K328" s="266">
        <f t="shared" si="94"/>
        <v>2017</v>
      </c>
      <c r="L328" s="386"/>
      <c r="M328" s="386"/>
      <c r="N328" s="32" t="s">
        <v>893</v>
      </c>
      <c r="O328" s="32" t="s">
        <v>956</v>
      </c>
      <c r="P328" s="278" t="s">
        <v>957</v>
      </c>
      <c r="Q328" s="233" t="s">
        <v>955</v>
      </c>
      <c r="R328" s="75">
        <v>550</v>
      </c>
      <c r="S328" s="75">
        <v>3360</v>
      </c>
      <c r="T328" s="75">
        <v>3910</v>
      </c>
      <c r="U328" s="200">
        <v>240</v>
      </c>
      <c r="V328" s="287">
        <f t="shared" ca="1" si="95"/>
        <v>10</v>
      </c>
      <c r="W328" s="75">
        <f t="shared" ca="1" si="96"/>
        <v>2100</v>
      </c>
      <c r="X328" s="200">
        <f t="shared" ca="1" si="97"/>
        <v>5830</v>
      </c>
      <c r="Y328" s="1">
        <v>0.5</v>
      </c>
      <c r="Z328" s="1"/>
      <c r="AA328" s="219"/>
      <c r="AB328" s="302" t="s">
        <v>6485</v>
      </c>
      <c r="AC328" s="302"/>
      <c r="AD328" s="302"/>
      <c r="AE328" s="302"/>
      <c r="AF328">
        <f t="shared" si="81"/>
        <v>0</v>
      </c>
    </row>
    <row r="329" spans="1:32" ht="17.25" hidden="1" customHeight="1" x14ac:dyDescent="0.25">
      <c r="A329" s="322" t="s">
        <v>958</v>
      </c>
      <c r="B329" s="93" t="str">
        <f t="shared" si="93"/>
        <v>NO</v>
      </c>
      <c r="C329" s="93" t="s">
        <v>5503</v>
      </c>
      <c r="D329" s="4">
        <v>39190</v>
      </c>
      <c r="E329" s="2">
        <v>39234</v>
      </c>
      <c r="F329" s="2">
        <f t="shared" si="82"/>
        <v>42887</v>
      </c>
      <c r="G329" s="6">
        <v>71.599999999999994</v>
      </c>
      <c r="H329" s="7" t="s">
        <v>528</v>
      </c>
      <c r="I329" s="7" t="s">
        <v>198</v>
      </c>
      <c r="J329" s="105" t="s">
        <v>4814</v>
      </c>
      <c r="K329" s="266">
        <f t="shared" si="94"/>
        <v>2017</v>
      </c>
      <c r="L329" s="383"/>
      <c r="M329" s="383"/>
      <c r="N329" s="32" t="s">
        <v>893</v>
      </c>
      <c r="O329" s="32" t="s">
        <v>960</v>
      </c>
      <c r="P329" s="278" t="s">
        <v>961</v>
      </c>
      <c r="Q329" s="233" t="s">
        <v>959</v>
      </c>
      <c r="R329" s="75">
        <v>382</v>
      </c>
      <c r="S329" s="75">
        <v>8856</v>
      </c>
      <c r="T329" s="75">
        <v>9238</v>
      </c>
      <c r="U329" s="200">
        <v>144</v>
      </c>
      <c r="V329" s="287">
        <f t="shared" ca="1" si="95"/>
        <v>10</v>
      </c>
      <c r="W329" s="75">
        <f t="shared" ca="1" si="96"/>
        <v>1260</v>
      </c>
      <c r="X329" s="200">
        <f t="shared" ca="1" si="97"/>
        <v>10390</v>
      </c>
      <c r="Y329" s="1">
        <v>0.5</v>
      </c>
      <c r="Z329" s="1"/>
      <c r="AA329" s="219"/>
      <c r="AB329" s="302" t="s">
        <v>6486</v>
      </c>
      <c r="AC329" s="302"/>
      <c r="AD329" s="302"/>
      <c r="AE329" s="302"/>
      <c r="AF329">
        <f t="shared" si="81"/>
        <v>0</v>
      </c>
    </row>
    <row r="330" spans="1:32" hidden="1" x14ac:dyDescent="0.25">
      <c r="A330" s="322" t="s">
        <v>962</v>
      </c>
      <c r="B330" s="93" t="str">
        <f t="shared" si="93"/>
        <v>NO</v>
      </c>
      <c r="C330" s="93" t="s">
        <v>5503</v>
      </c>
      <c r="D330" s="4">
        <v>39190</v>
      </c>
      <c r="E330" s="2">
        <v>39234</v>
      </c>
      <c r="F330" s="2">
        <f t="shared" si="82"/>
        <v>42887</v>
      </c>
      <c r="G330" s="6">
        <v>160</v>
      </c>
      <c r="H330" s="7" t="s">
        <v>528</v>
      </c>
      <c r="I330" s="7" t="s">
        <v>198</v>
      </c>
      <c r="J330" s="105" t="s">
        <v>964</v>
      </c>
      <c r="K330" s="266">
        <f t="shared" si="94"/>
        <v>2017</v>
      </c>
      <c r="L330" s="381"/>
      <c r="M330" s="381"/>
      <c r="N330" s="32" t="s">
        <v>893</v>
      </c>
      <c r="O330" s="32" t="s">
        <v>965</v>
      </c>
      <c r="P330" s="278" t="s">
        <v>966</v>
      </c>
      <c r="Q330" s="233" t="s">
        <v>963</v>
      </c>
      <c r="R330" s="75">
        <v>690</v>
      </c>
      <c r="S330" s="75">
        <v>18880</v>
      </c>
      <c r="T330" s="75">
        <v>19570</v>
      </c>
      <c r="U330" s="200">
        <v>320</v>
      </c>
      <c r="V330" s="287">
        <f t="shared" ca="1" si="95"/>
        <v>10</v>
      </c>
      <c r="W330" s="75">
        <f t="shared" ca="1" si="96"/>
        <v>2800</v>
      </c>
      <c r="X330" s="200">
        <f t="shared" ca="1" si="97"/>
        <v>22130</v>
      </c>
      <c r="Y330" s="1">
        <v>0.5</v>
      </c>
      <c r="Z330" s="1"/>
      <c r="AA330" s="219"/>
      <c r="AB330" s="302" t="s">
        <v>6487</v>
      </c>
      <c r="AC330" s="302"/>
      <c r="AD330" s="302"/>
      <c r="AE330" s="302"/>
      <c r="AF330">
        <f t="shared" si="81"/>
        <v>0</v>
      </c>
    </row>
    <row r="331" spans="1:32" hidden="1" x14ac:dyDescent="0.25">
      <c r="A331" s="322" t="s">
        <v>967</v>
      </c>
      <c r="B331" s="93" t="str">
        <f t="shared" si="93"/>
        <v>NO</v>
      </c>
      <c r="C331" s="93" t="s">
        <v>5503</v>
      </c>
      <c r="D331" s="4">
        <v>39190</v>
      </c>
      <c r="E331" s="2">
        <v>39234</v>
      </c>
      <c r="F331" s="2">
        <f t="shared" si="82"/>
        <v>42887</v>
      </c>
      <c r="G331" s="6">
        <v>40</v>
      </c>
      <c r="H331" s="7" t="s">
        <v>951</v>
      </c>
      <c r="I331" s="7" t="s">
        <v>198</v>
      </c>
      <c r="J331" s="186"/>
      <c r="K331" s="266">
        <f t="shared" si="94"/>
        <v>2017</v>
      </c>
      <c r="L331" s="386"/>
      <c r="M331" s="386"/>
      <c r="N331" s="32" t="s">
        <v>893</v>
      </c>
      <c r="O331" s="32" t="s">
        <v>969</v>
      </c>
      <c r="P331" s="278" t="s">
        <v>970</v>
      </c>
      <c r="Q331" s="233" t="s">
        <v>968</v>
      </c>
      <c r="R331" s="75">
        <v>270</v>
      </c>
      <c r="S331" s="75">
        <v>0</v>
      </c>
      <c r="T331" s="75">
        <v>270</v>
      </c>
      <c r="U331" s="200">
        <v>80</v>
      </c>
      <c r="V331" s="287">
        <f t="shared" ca="1" si="95"/>
        <v>10</v>
      </c>
      <c r="W331" s="75">
        <f t="shared" ca="1" si="96"/>
        <v>700</v>
      </c>
      <c r="X331" s="200">
        <f t="shared" ca="1" si="97"/>
        <v>910</v>
      </c>
      <c r="Y331" s="1">
        <v>0.5</v>
      </c>
      <c r="Z331" s="1"/>
      <c r="AA331" s="219"/>
      <c r="AB331" s="302" t="s">
        <v>6488</v>
      </c>
      <c r="AC331" s="302"/>
      <c r="AD331" s="302"/>
      <c r="AE331" s="302"/>
      <c r="AF331">
        <f t="shared" ref="AF331:AF394" si="98">COUNTIF(FilterList,A331)</f>
        <v>0</v>
      </c>
    </row>
    <row r="332" spans="1:32" ht="39" hidden="1" x14ac:dyDescent="0.25">
      <c r="A332" s="322" t="s">
        <v>971</v>
      </c>
      <c r="B332" s="93" t="str">
        <f t="shared" si="93"/>
        <v>NO</v>
      </c>
      <c r="C332" s="93" t="s">
        <v>5503</v>
      </c>
      <c r="D332" s="4">
        <v>39190</v>
      </c>
      <c r="E332" s="2">
        <v>39234</v>
      </c>
      <c r="F332" s="2">
        <f t="shared" ref="F332:F395" si="99">DATE(YEAR(E332)+10,MONTH(E332),DAY(E332))</f>
        <v>42887</v>
      </c>
      <c r="G332" s="6">
        <v>176.55</v>
      </c>
      <c r="H332" s="7" t="s">
        <v>973</v>
      </c>
      <c r="I332" s="7" t="s">
        <v>198</v>
      </c>
      <c r="J332" s="186"/>
      <c r="K332" s="266">
        <f t="shared" si="94"/>
        <v>2017</v>
      </c>
      <c r="L332" s="386"/>
      <c r="M332" s="386"/>
      <c r="N332" s="32" t="s">
        <v>893</v>
      </c>
      <c r="O332" s="32" t="s">
        <v>974</v>
      </c>
      <c r="P332" s="278" t="s">
        <v>975</v>
      </c>
      <c r="Q332" s="233" t="s">
        <v>972</v>
      </c>
      <c r="R332" s="75">
        <v>749.5</v>
      </c>
      <c r="S332" s="75">
        <v>0</v>
      </c>
      <c r="T332" s="75">
        <v>749.5</v>
      </c>
      <c r="U332" s="200">
        <v>354</v>
      </c>
      <c r="V332" s="287">
        <f t="shared" ca="1" si="95"/>
        <v>10</v>
      </c>
      <c r="W332" s="75">
        <f t="shared" ca="1" si="96"/>
        <v>3097.5</v>
      </c>
      <c r="X332" s="200">
        <f t="shared" ca="1" si="97"/>
        <v>3581.5</v>
      </c>
      <c r="Y332" s="1">
        <v>0.5</v>
      </c>
      <c r="Z332" s="1"/>
      <c r="AA332" s="219"/>
      <c r="AB332" s="302" t="s">
        <v>6489</v>
      </c>
      <c r="AC332" s="302"/>
      <c r="AD332" s="302"/>
      <c r="AE332" s="302"/>
      <c r="AF332">
        <f t="shared" si="98"/>
        <v>0</v>
      </c>
    </row>
    <row r="333" spans="1:32" hidden="1" x14ac:dyDescent="0.25">
      <c r="A333" s="322" t="s">
        <v>976</v>
      </c>
      <c r="B333" s="93" t="str">
        <f t="shared" si="93"/>
        <v>NO</v>
      </c>
      <c r="C333" s="93" t="s">
        <v>5503</v>
      </c>
      <c r="D333" s="4">
        <v>39190</v>
      </c>
      <c r="E333" s="2">
        <v>39234</v>
      </c>
      <c r="F333" s="2">
        <f t="shared" si="99"/>
        <v>42887</v>
      </c>
      <c r="G333" s="6">
        <v>160</v>
      </c>
      <c r="H333" s="7" t="s">
        <v>197</v>
      </c>
      <c r="I333" s="7" t="s">
        <v>198</v>
      </c>
      <c r="J333" s="186"/>
      <c r="K333" s="266">
        <f t="shared" si="94"/>
        <v>2017</v>
      </c>
      <c r="L333" s="386"/>
      <c r="M333" s="386"/>
      <c r="N333" s="32" t="s">
        <v>893</v>
      </c>
      <c r="O333" s="32" t="s">
        <v>978</v>
      </c>
      <c r="P333" s="278" t="s">
        <v>979</v>
      </c>
      <c r="Q333" s="233" t="s">
        <v>977</v>
      </c>
      <c r="R333" s="75">
        <v>690</v>
      </c>
      <c r="S333" s="75">
        <v>31680</v>
      </c>
      <c r="T333" s="75">
        <v>32370</v>
      </c>
      <c r="U333" s="200">
        <v>320</v>
      </c>
      <c r="V333" s="287">
        <f t="shared" ca="1" si="95"/>
        <v>10</v>
      </c>
      <c r="W333" s="75">
        <f t="shared" ca="1" si="96"/>
        <v>2800</v>
      </c>
      <c r="X333" s="200">
        <f t="shared" ca="1" si="97"/>
        <v>34930</v>
      </c>
      <c r="Y333" s="1">
        <v>0.5</v>
      </c>
      <c r="Z333" s="1"/>
      <c r="AA333" s="219"/>
      <c r="AB333" s="302" t="s">
        <v>6490</v>
      </c>
      <c r="AC333" s="302"/>
      <c r="AD333" s="302"/>
      <c r="AE333" s="302"/>
      <c r="AF333">
        <f t="shared" si="98"/>
        <v>0</v>
      </c>
    </row>
    <row r="334" spans="1:32" hidden="1" x14ac:dyDescent="0.25">
      <c r="A334" s="322" t="s">
        <v>980</v>
      </c>
      <c r="B334" s="93" t="str">
        <f t="shared" si="93"/>
        <v>NO</v>
      </c>
      <c r="C334" s="93" t="s">
        <v>5503</v>
      </c>
      <c r="D334" s="4">
        <v>39190</v>
      </c>
      <c r="E334" s="2">
        <v>39234</v>
      </c>
      <c r="F334" s="2">
        <f t="shared" si="99"/>
        <v>42887</v>
      </c>
      <c r="G334" s="6">
        <v>680</v>
      </c>
      <c r="H334" s="7" t="s">
        <v>982</v>
      </c>
      <c r="I334" s="7" t="s">
        <v>198</v>
      </c>
      <c r="J334" s="186"/>
      <c r="K334" s="266">
        <f t="shared" si="94"/>
        <v>2017</v>
      </c>
      <c r="L334" s="386"/>
      <c r="M334" s="386"/>
      <c r="N334" s="32" t="s">
        <v>893</v>
      </c>
      <c r="O334" s="32" t="s">
        <v>983</v>
      </c>
      <c r="P334" s="278" t="s">
        <v>984</v>
      </c>
      <c r="Q334" s="233" t="s">
        <v>981</v>
      </c>
      <c r="R334" s="75">
        <v>2510</v>
      </c>
      <c r="S334" s="75">
        <v>22440</v>
      </c>
      <c r="T334" s="75">
        <v>24950</v>
      </c>
      <c r="U334" s="200">
        <v>1360</v>
      </c>
      <c r="V334" s="287">
        <f t="shared" ca="1" si="95"/>
        <v>10</v>
      </c>
      <c r="W334" s="75">
        <f t="shared" ca="1" si="96"/>
        <v>11900</v>
      </c>
      <c r="X334" s="200">
        <f t="shared" ca="1" si="97"/>
        <v>35830</v>
      </c>
      <c r="Y334" s="1">
        <v>0.5</v>
      </c>
      <c r="Z334" s="1"/>
      <c r="AA334" s="219"/>
      <c r="AB334" s="302" t="s">
        <v>6491</v>
      </c>
      <c r="AC334" s="302"/>
      <c r="AD334" s="302"/>
      <c r="AE334" s="302"/>
      <c r="AF334">
        <f t="shared" si="98"/>
        <v>0</v>
      </c>
    </row>
    <row r="335" spans="1:32" hidden="1" x14ac:dyDescent="0.25">
      <c r="A335" s="322" t="s">
        <v>985</v>
      </c>
      <c r="B335" s="93" t="str">
        <f t="shared" si="93"/>
        <v>NO</v>
      </c>
      <c r="C335" s="93" t="s">
        <v>5503</v>
      </c>
      <c r="D335" s="4">
        <v>39190</v>
      </c>
      <c r="E335" s="2">
        <v>39234</v>
      </c>
      <c r="F335" s="2">
        <f t="shared" si="99"/>
        <v>42887</v>
      </c>
      <c r="G335" s="6">
        <v>40</v>
      </c>
      <c r="H335" s="7" t="s">
        <v>528</v>
      </c>
      <c r="I335" s="7" t="s">
        <v>198</v>
      </c>
      <c r="J335" s="186"/>
      <c r="K335" s="266">
        <f t="shared" si="94"/>
        <v>2017</v>
      </c>
      <c r="L335" s="386"/>
      <c r="M335" s="386"/>
      <c r="N335" s="32" t="s">
        <v>893</v>
      </c>
      <c r="O335" s="32" t="s">
        <v>987</v>
      </c>
      <c r="P335" s="278" t="s">
        <v>988</v>
      </c>
      <c r="Q335" s="233" t="s">
        <v>986</v>
      </c>
      <c r="R335" s="75">
        <v>270</v>
      </c>
      <c r="S335" s="75">
        <v>5920</v>
      </c>
      <c r="T335" s="75">
        <v>6190</v>
      </c>
      <c r="U335" s="200">
        <v>80</v>
      </c>
      <c r="V335" s="287">
        <f t="shared" ca="1" si="95"/>
        <v>10</v>
      </c>
      <c r="W335" s="75">
        <f t="shared" ca="1" si="96"/>
        <v>700</v>
      </c>
      <c r="X335" s="200">
        <f t="shared" ca="1" si="97"/>
        <v>6830</v>
      </c>
      <c r="Y335" s="1">
        <v>0.5</v>
      </c>
      <c r="Z335" s="1"/>
      <c r="AA335" s="219"/>
      <c r="AB335" s="302" t="s">
        <v>6492</v>
      </c>
      <c r="AC335" s="302"/>
      <c r="AD335" s="302"/>
      <c r="AE335" s="302"/>
      <c r="AF335">
        <f t="shared" si="98"/>
        <v>0</v>
      </c>
    </row>
    <row r="336" spans="1:32" ht="26.25" hidden="1" x14ac:dyDescent="0.25">
      <c r="A336" s="322" t="s">
        <v>989</v>
      </c>
      <c r="B336" s="93" t="str">
        <f t="shared" si="93"/>
        <v>NO</v>
      </c>
      <c r="C336" s="93" t="s">
        <v>5503</v>
      </c>
      <c r="D336" s="4">
        <v>39190</v>
      </c>
      <c r="E336" s="2">
        <v>39234</v>
      </c>
      <c r="F336" s="2">
        <f t="shared" si="99"/>
        <v>42887</v>
      </c>
      <c r="G336" s="6">
        <v>997.8</v>
      </c>
      <c r="H336" s="7" t="s">
        <v>887</v>
      </c>
      <c r="I336" s="7" t="s">
        <v>15</v>
      </c>
      <c r="J336" s="105" t="s">
        <v>5183</v>
      </c>
      <c r="K336" s="266">
        <f t="shared" si="94"/>
        <v>2017</v>
      </c>
      <c r="L336" s="381"/>
      <c r="M336" s="381"/>
      <c r="N336" s="32" t="s">
        <v>991</v>
      </c>
      <c r="O336" s="32" t="s">
        <v>992</v>
      </c>
      <c r="P336" s="278" t="s">
        <v>993</v>
      </c>
      <c r="Q336" s="233" t="s">
        <v>990</v>
      </c>
      <c r="R336" s="75">
        <v>3623</v>
      </c>
      <c r="S336" s="75">
        <v>67864</v>
      </c>
      <c r="T336" s="75">
        <v>71487</v>
      </c>
      <c r="U336" s="200">
        <v>1996</v>
      </c>
      <c r="V336" s="287">
        <f t="shared" ca="1" si="95"/>
        <v>10</v>
      </c>
      <c r="W336" s="75">
        <f t="shared" ca="1" si="96"/>
        <v>17465</v>
      </c>
      <c r="X336" s="200">
        <f t="shared" ca="1" si="97"/>
        <v>87455</v>
      </c>
      <c r="Y336" s="1">
        <v>0.5</v>
      </c>
      <c r="Z336" s="1"/>
      <c r="AA336" s="219"/>
      <c r="AB336" s="302" t="s">
        <v>6493</v>
      </c>
      <c r="AC336" s="302"/>
      <c r="AD336" s="302"/>
      <c r="AE336" s="302"/>
      <c r="AF336">
        <f t="shared" si="98"/>
        <v>0</v>
      </c>
    </row>
    <row r="337" spans="1:32" hidden="1" x14ac:dyDescent="0.25">
      <c r="A337" s="322" t="s">
        <v>994</v>
      </c>
      <c r="B337" s="93" t="str">
        <f t="shared" si="93"/>
        <v>NO</v>
      </c>
      <c r="C337" s="93" t="s">
        <v>5503</v>
      </c>
      <c r="D337" s="4">
        <v>39190</v>
      </c>
      <c r="E337" s="2">
        <v>39234</v>
      </c>
      <c r="F337" s="2">
        <f t="shared" si="99"/>
        <v>42887</v>
      </c>
      <c r="G337" s="6">
        <v>375</v>
      </c>
      <c r="H337" s="7" t="s">
        <v>871</v>
      </c>
      <c r="I337" s="7" t="s">
        <v>15</v>
      </c>
      <c r="J337" s="186"/>
      <c r="K337" s="266">
        <f t="shared" si="94"/>
        <v>2017</v>
      </c>
      <c r="L337" s="386"/>
      <c r="M337" s="386"/>
      <c r="N337" s="32" t="s">
        <v>996</v>
      </c>
      <c r="O337" s="32" t="s">
        <v>997</v>
      </c>
      <c r="P337" s="278"/>
      <c r="Q337" s="233" t="s">
        <v>995</v>
      </c>
      <c r="R337" s="75">
        <v>1442.5</v>
      </c>
      <c r="S337" s="75">
        <v>85500</v>
      </c>
      <c r="T337" s="75">
        <v>86942.5</v>
      </c>
      <c r="U337" s="200">
        <v>750</v>
      </c>
      <c r="V337" s="287">
        <f t="shared" ca="1" si="95"/>
        <v>10</v>
      </c>
      <c r="W337" s="75">
        <f t="shared" ca="1" si="96"/>
        <v>6562.5</v>
      </c>
      <c r="X337" s="200">
        <f t="shared" ca="1" si="97"/>
        <v>92942.5</v>
      </c>
      <c r="Y337" s="1">
        <v>0.5</v>
      </c>
      <c r="Z337" s="1"/>
      <c r="AA337" s="219"/>
      <c r="AB337" s="302" t="s">
        <v>6494</v>
      </c>
      <c r="AC337" s="302"/>
      <c r="AD337" s="302"/>
      <c r="AE337" s="302"/>
      <c r="AF337">
        <f t="shared" si="98"/>
        <v>0</v>
      </c>
    </row>
    <row r="338" spans="1:32" hidden="1" x14ac:dyDescent="0.25">
      <c r="A338" s="322" t="s">
        <v>998</v>
      </c>
      <c r="B338" s="93" t="str">
        <f t="shared" si="93"/>
        <v>NO</v>
      </c>
      <c r="C338" s="93" t="s">
        <v>5503</v>
      </c>
      <c r="D338" s="4">
        <v>39190</v>
      </c>
      <c r="E338" s="2">
        <v>39234</v>
      </c>
      <c r="F338" s="2">
        <f t="shared" si="99"/>
        <v>42887</v>
      </c>
      <c r="G338" s="6">
        <v>78</v>
      </c>
      <c r="H338" s="7" t="s">
        <v>871</v>
      </c>
      <c r="I338" s="7" t="s">
        <v>15</v>
      </c>
      <c r="J338" s="186"/>
      <c r="K338" s="266">
        <f t="shared" si="94"/>
        <v>2017</v>
      </c>
      <c r="L338" s="386"/>
      <c r="M338" s="386"/>
      <c r="N338" s="32" t="s">
        <v>996</v>
      </c>
      <c r="O338" s="32" t="s">
        <v>1000</v>
      </c>
      <c r="P338" s="278"/>
      <c r="Q338" s="233" t="s">
        <v>999</v>
      </c>
      <c r="R338" s="75">
        <v>403</v>
      </c>
      <c r="S338" s="75">
        <v>19344</v>
      </c>
      <c r="T338" s="75">
        <v>19747</v>
      </c>
      <c r="U338" s="200">
        <v>156</v>
      </c>
      <c r="V338" s="287">
        <f t="shared" ca="1" si="95"/>
        <v>10</v>
      </c>
      <c r="W338" s="75">
        <f t="shared" ca="1" si="96"/>
        <v>1365</v>
      </c>
      <c r="X338" s="200">
        <f t="shared" ca="1" si="97"/>
        <v>20995</v>
      </c>
      <c r="Y338" s="1">
        <v>0.5</v>
      </c>
      <c r="Z338" s="1"/>
      <c r="AA338" s="219"/>
      <c r="AB338" s="302" t="s">
        <v>6495</v>
      </c>
      <c r="AC338" s="302"/>
      <c r="AD338" s="302"/>
      <c r="AE338" s="302"/>
      <c r="AF338">
        <f t="shared" si="98"/>
        <v>0</v>
      </c>
    </row>
    <row r="339" spans="1:32" hidden="1" x14ac:dyDescent="0.25">
      <c r="A339" s="322" t="s">
        <v>1001</v>
      </c>
      <c r="B339" s="93" t="str">
        <f t="shared" si="93"/>
        <v>NO</v>
      </c>
      <c r="C339" s="93" t="s">
        <v>5503</v>
      </c>
      <c r="D339" s="4">
        <v>39190</v>
      </c>
      <c r="E339" s="2">
        <v>39234</v>
      </c>
      <c r="F339" s="2">
        <f t="shared" si="99"/>
        <v>42887</v>
      </c>
      <c r="G339" s="6">
        <v>104</v>
      </c>
      <c r="H339" s="7" t="s">
        <v>871</v>
      </c>
      <c r="I339" s="7" t="s">
        <v>15</v>
      </c>
      <c r="J339" s="186"/>
      <c r="K339" s="266">
        <f t="shared" si="94"/>
        <v>2017</v>
      </c>
      <c r="L339" s="386"/>
      <c r="M339" s="386"/>
      <c r="N339" s="32" t="s">
        <v>996</v>
      </c>
      <c r="O339" s="32" t="s">
        <v>1003</v>
      </c>
      <c r="P339" s="278"/>
      <c r="Q339" s="233" t="s">
        <v>1002</v>
      </c>
      <c r="R339" s="75">
        <v>494</v>
      </c>
      <c r="S339" s="75">
        <v>23712</v>
      </c>
      <c r="T339" s="75">
        <v>24206</v>
      </c>
      <c r="U339" s="200">
        <v>208</v>
      </c>
      <c r="V339" s="287">
        <f t="shared" ca="1" si="95"/>
        <v>10</v>
      </c>
      <c r="W339" s="75">
        <f t="shared" ca="1" si="96"/>
        <v>1820</v>
      </c>
      <c r="X339" s="200">
        <f t="shared" ca="1" si="97"/>
        <v>25870</v>
      </c>
      <c r="Y339" s="1">
        <v>0.5</v>
      </c>
      <c r="Z339" s="1"/>
      <c r="AA339" s="219"/>
      <c r="AB339" s="302" t="s">
        <v>6496</v>
      </c>
      <c r="AC339" s="302"/>
      <c r="AD339" s="302"/>
      <c r="AE339" s="302"/>
      <c r="AF339">
        <f t="shared" si="98"/>
        <v>0</v>
      </c>
    </row>
    <row r="340" spans="1:32" hidden="1" x14ac:dyDescent="0.25">
      <c r="A340" s="322" t="s">
        <v>1004</v>
      </c>
      <c r="B340" s="93" t="str">
        <f t="shared" si="93"/>
        <v>NO</v>
      </c>
      <c r="C340" s="93" t="s">
        <v>5503</v>
      </c>
      <c r="D340" s="4">
        <v>39190</v>
      </c>
      <c r="E340" s="2">
        <v>39234</v>
      </c>
      <c r="F340" s="2">
        <f t="shared" si="99"/>
        <v>42887</v>
      </c>
      <c r="G340" s="6">
        <v>16.97</v>
      </c>
      <c r="H340" s="7" t="s">
        <v>37</v>
      </c>
      <c r="I340" s="7" t="s">
        <v>15</v>
      </c>
      <c r="J340" s="186"/>
      <c r="K340" s="266">
        <f t="shared" si="94"/>
        <v>2017</v>
      </c>
      <c r="L340" s="386"/>
      <c r="M340" s="386"/>
      <c r="N340" s="32" t="s">
        <v>996</v>
      </c>
      <c r="O340" s="32" t="s">
        <v>1006</v>
      </c>
      <c r="P340" s="278"/>
      <c r="Q340" s="233" t="s">
        <v>1005</v>
      </c>
      <c r="R340" s="75">
        <v>189.5</v>
      </c>
      <c r="S340" s="75">
        <v>0</v>
      </c>
      <c r="T340" s="75">
        <v>189.5</v>
      </c>
      <c r="U340" s="200">
        <v>34</v>
      </c>
      <c r="V340" s="287">
        <f t="shared" ca="1" si="95"/>
        <v>10</v>
      </c>
      <c r="W340" s="75">
        <f t="shared" ca="1" si="96"/>
        <v>297.5</v>
      </c>
      <c r="X340" s="200">
        <f t="shared" ca="1" si="97"/>
        <v>461.5</v>
      </c>
      <c r="Y340" s="1">
        <v>0.5</v>
      </c>
      <c r="Z340" s="1"/>
      <c r="AA340" s="219"/>
      <c r="AB340" s="302" t="s">
        <v>6497</v>
      </c>
      <c r="AC340" s="302"/>
      <c r="AD340" s="302"/>
      <c r="AE340" s="302"/>
      <c r="AF340">
        <f t="shared" si="98"/>
        <v>0</v>
      </c>
    </row>
    <row r="341" spans="1:32" hidden="1" x14ac:dyDescent="0.25">
      <c r="A341" s="322" t="s">
        <v>1007</v>
      </c>
      <c r="B341" s="93" t="str">
        <f t="shared" si="93"/>
        <v>NO</v>
      </c>
      <c r="C341" s="93" t="s">
        <v>5503</v>
      </c>
      <c r="D341" s="4">
        <v>39190</v>
      </c>
      <c r="E341" s="2">
        <v>39234</v>
      </c>
      <c r="F341" s="2">
        <f t="shared" si="99"/>
        <v>42887</v>
      </c>
      <c r="G341" s="6">
        <v>80.400000000000006</v>
      </c>
      <c r="H341" s="7" t="s">
        <v>37</v>
      </c>
      <c r="I341" s="7" t="s">
        <v>15</v>
      </c>
      <c r="J341" s="186"/>
      <c r="K341" s="266">
        <f t="shared" si="94"/>
        <v>2017</v>
      </c>
      <c r="L341" s="386"/>
      <c r="M341" s="386"/>
      <c r="N341" s="32" t="s">
        <v>996</v>
      </c>
      <c r="O341" s="32" t="s">
        <v>1009</v>
      </c>
      <c r="P341" s="278" t="s">
        <v>1010</v>
      </c>
      <c r="Q341" s="233" t="s">
        <v>1008</v>
      </c>
      <c r="R341" s="75">
        <v>413.5</v>
      </c>
      <c r="S341" s="75">
        <v>64638</v>
      </c>
      <c r="T341" s="75">
        <v>65051.5</v>
      </c>
      <c r="U341" s="200">
        <v>162</v>
      </c>
      <c r="V341" s="287">
        <f t="shared" ca="1" si="95"/>
        <v>10</v>
      </c>
      <c r="W341" s="75">
        <f t="shared" ca="1" si="96"/>
        <v>1417.5</v>
      </c>
      <c r="X341" s="200">
        <f t="shared" ca="1" si="97"/>
        <v>66347.5</v>
      </c>
      <c r="Y341" s="1">
        <v>0.5</v>
      </c>
      <c r="Z341" s="1"/>
      <c r="AA341" s="219"/>
      <c r="AB341" s="302" t="s">
        <v>6498</v>
      </c>
      <c r="AC341" s="302"/>
      <c r="AD341" s="302"/>
      <c r="AE341" s="302"/>
      <c r="AF341">
        <f t="shared" si="98"/>
        <v>0</v>
      </c>
    </row>
    <row r="342" spans="1:32" hidden="1" x14ac:dyDescent="0.25">
      <c r="A342" s="322" t="s">
        <v>1011</v>
      </c>
      <c r="B342" s="93" t="str">
        <f t="shared" si="93"/>
        <v>NO</v>
      </c>
      <c r="C342" s="93" t="s">
        <v>5503</v>
      </c>
      <c r="D342" s="4">
        <v>39190</v>
      </c>
      <c r="E342" s="2">
        <v>39234</v>
      </c>
      <c r="F342" s="2">
        <f t="shared" si="99"/>
        <v>42887</v>
      </c>
      <c r="G342" s="6">
        <v>65.290000000000006</v>
      </c>
      <c r="H342" s="7" t="s">
        <v>37</v>
      </c>
      <c r="I342" s="7" t="s">
        <v>15</v>
      </c>
      <c r="J342" s="186"/>
      <c r="K342" s="266">
        <f t="shared" si="94"/>
        <v>2017</v>
      </c>
      <c r="L342" s="386"/>
      <c r="M342" s="386"/>
      <c r="N342" s="32" t="s">
        <v>996</v>
      </c>
      <c r="O342" s="32" t="s">
        <v>1013</v>
      </c>
      <c r="P342" s="278" t="s">
        <v>1014</v>
      </c>
      <c r="Q342" s="233" t="s">
        <v>1012</v>
      </c>
      <c r="R342" s="75">
        <v>361</v>
      </c>
      <c r="S342" s="75">
        <v>7128</v>
      </c>
      <c r="T342" s="75">
        <v>7489</v>
      </c>
      <c r="U342" s="200">
        <v>132</v>
      </c>
      <c r="V342" s="287">
        <f t="shared" ca="1" si="95"/>
        <v>10</v>
      </c>
      <c r="W342" s="75">
        <f t="shared" ca="1" si="96"/>
        <v>1155</v>
      </c>
      <c r="X342" s="200">
        <f t="shared" ca="1" si="97"/>
        <v>8545</v>
      </c>
      <c r="Y342" s="1">
        <v>0.5</v>
      </c>
      <c r="Z342" s="1"/>
      <c r="AA342" s="219"/>
      <c r="AB342" s="302" t="s">
        <v>6499</v>
      </c>
      <c r="AC342" s="302"/>
      <c r="AD342" s="302"/>
      <c r="AE342" s="302"/>
      <c r="AF342">
        <f t="shared" si="98"/>
        <v>0</v>
      </c>
    </row>
    <row r="343" spans="1:32" hidden="1" x14ac:dyDescent="0.25">
      <c r="A343" s="322" t="s">
        <v>1015</v>
      </c>
      <c r="B343" s="93" t="str">
        <f t="shared" si="93"/>
        <v>NO</v>
      </c>
      <c r="C343" s="93" t="s">
        <v>5503</v>
      </c>
      <c r="D343" s="4">
        <v>39190</v>
      </c>
      <c r="E343" s="2">
        <v>39234</v>
      </c>
      <c r="F343" s="2">
        <f t="shared" si="99"/>
        <v>42887</v>
      </c>
      <c r="G343" s="6">
        <v>89</v>
      </c>
      <c r="H343" s="7" t="s">
        <v>37</v>
      </c>
      <c r="I343" s="7" t="s">
        <v>15</v>
      </c>
      <c r="J343" s="186"/>
      <c r="K343" s="266">
        <f t="shared" si="94"/>
        <v>2017</v>
      </c>
      <c r="L343" s="386"/>
      <c r="M343" s="386"/>
      <c r="N343" s="32" t="s">
        <v>996</v>
      </c>
      <c r="O343" s="32" t="s">
        <v>1017</v>
      </c>
      <c r="P343" s="278"/>
      <c r="Q343" s="233" t="s">
        <v>1016</v>
      </c>
      <c r="R343" s="75">
        <v>441.5</v>
      </c>
      <c r="S343" s="75">
        <v>13172</v>
      </c>
      <c r="T343" s="75">
        <v>13613.5</v>
      </c>
      <c r="U343" s="200">
        <v>178</v>
      </c>
      <c r="V343" s="287">
        <f t="shared" ca="1" si="95"/>
        <v>10</v>
      </c>
      <c r="W343" s="75">
        <f t="shared" ca="1" si="96"/>
        <v>1557.5</v>
      </c>
      <c r="X343" s="200">
        <f t="shared" ca="1" si="97"/>
        <v>15037.5</v>
      </c>
      <c r="Y343" s="1">
        <v>0.5</v>
      </c>
      <c r="Z343" s="1"/>
      <c r="AA343" s="219"/>
      <c r="AB343" s="302" t="s">
        <v>6500</v>
      </c>
      <c r="AC343" s="302"/>
      <c r="AD343" s="302"/>
      <c r="AE343" s="302"/>
      <c r="AF343">
        <f t="shared" si="98"/>
        <v>0</v>
      </c>
    </row>
    <row r="344" spans="1:32" hidden="1" x14ac:dyDescent="0.25">
      <c r="A344" s="323"/>
      <c r="D344" s="4"/>
      <c r="E344" s="2"/>
      <c r="F344" s="2"/>
      <c r="G344" s="6"/>
      <c r="H344" s="7"/>
      <c r="I344" s="7"/>
      <c r="J344" s="186"/>
      <c r="K344" s="186"/>
      <c r="L344" s="386"/>
      <c r="M344" s="386"/>
      <c r="N344" s="32"/>
      <c r="O344" s="32"/>
      <c r="P344" s="278"/>
      <c r="Q344" s="233" t="s">
        <v>508</v>
      </c>
      <c r="R344" s="75">
        <v>28200.5</v>
      </c>
      <c r="S344" s="75">
        <v>491391</v>
      </c>
      <c r="T344" s="75">
        <v>519591.5</v>
      </c>
      <c r="U344" s="200"/>
      <c r="V344" s="75"/>
      <c r="W344" s="75"/>
      <c r="X344" s="200"/>
      <c r="Y344" s="1"/>
      <c r="Z344" s="1"/>
      <c r="AA344" s="219"/>
      <c r="AB344" s="302"/>
      <c r="AC344" s="302"/>
      <c r="AD344" s="302"/>
      <c r="AE344" s="302"/>
      <c r="AF344">
        <f t="shared" si="98"/>
        <v>0</v>
      </c>
    </row>
    <row r="345" spans="1:32" hidden="1" x14ac:dyDescent="0.25">
      <c r="A345" s="323"/>
      <c r="D345" s="4"/>
      <c r="E345" s="2"/>
      <c r="F345" s="2"/>
      <c r="G345" s="6"/>
      <c r="H345" s="7"/>
      <c r="I345" s="7"/>
      <c r="J345" s="186"/>
      <c r="K345" s="186"/>
      <c r="L345" s="386"/>
      <c r="M345" s="386"/>
      <c r="N345" s="32"/>
      <c r="O345" s="32"/>
      <c r="P345" s="278"/>
      <c r="Q345" s="233"/>
      <c r="R345" s="75"/>
      <c r="S345" s="75"/>
      <c r="T345" s="75"/>
      <c r="U345" s="200"/>
      <c r="V345" s="75"/>
      <c r="W345" s="75"/>
      <c r="X345" s="200"/>
      <c r="Y345" s="1"/>
      <c r="Z345" s="1"/>
      <c r="AA345" s="219"/>
      <c r="AB345" s="302"/>
      <c r="AC345" s="302"/>
      <c r="AD345" s="302"/>
      <c r="AE345" s="302"/>
      <c r="AF345">
        <f t="shared" si="98"/>
        <v>0</v>
      </c>
    </row>
    <row r="346" spans="1:32" hidden="1" x14ac:dyDescent="0.25">
      <c r="A346" s="322" t="s">
        <v>1018</v>
      </c>
      <c r="B346" s="93" t="str">
        <f t="shared" ref="B346:B377" si="100">IF(COUNTIF(GIS,A348),"YES","NO")</f>
        <v>NO</v>
      </c>
      <c r="C346" s="93" t="s">
        <v>5503</v>
      </c>
      <c r="D346" s="4">
        <v>39156</v>
      </c>
      <c r="E346" s="2">
        <v>39234</v>
      </c>
      <c r="F346" s="2">
        <f t="shared" si="99"/>
        <v>42887</v>
      </c>
      <c r="G346" s="6">
        <v>160</v>
      </c>
      <c r="H346" s="7" t="s">
        <v>458</v>
      </c>
      <c r="I346" s="7" t="s">
        <v>72</v>
      </c>
      <c r="J346" s="186"/>
      <c r="K346" s="266">
        <f t="shared" ref="K346:K377" si="101">YEAR(F346)</f>
        <v>2017</v>
      </c>
      <c r="L346" s="386"/>
      <c r="M346" s="386"/>
      <c r="N346" s="32" t="s">
        <v>1022</v>
      </c>
      <c r="O346" s="32" t="s">
        <v>5271</v>
      </c>
      <c r="P346" s="278"/>
      <c r="Q346" s="233" t="s">
        <v>1019</v>
      </c>
      <c r="R346" s="75">
        <v>690</v>
      </c>
      <c r="S346" s="75">
        <v>0</v>
      </c>
      <c r="T346" s="75">
        <v>690</v>
      </c>
      <c r="U346" s="200">
        <v>320</v>
      </c>
      <c r="V346" s="287">
        <f t="shared" ref="V346:V377" ca="1" si="102">IF(YEAR($W$3)-YEAR(E346)&gt;9,10,IF(MONTH($W$3)&lt;MONTH(E346),YEAR($W$3)-YEAR(E346),YEAR($W$3)-YEAR(E346)+1))</f>
        <v>10</v>
      </c>
      <c r="W346" s="75">
        <f t="shared" ref="W346:W377" ca="1" si="103">IF(V346&lt;6, ROUNDUP(G346,0)*$W$6*V346, ROUNDUP(G346,0)*($W$6*5 + (V346-5)*$W$7))</f>
        <v>2800</v>
      </c>
      <c r="X346" s="200">
        <f t="shared" ref="X346:X409" ca="1" si="104">IF(V346=0,T346,((T346-ROUNDUP(G346,0)*1.5)+W346))</f>
        <v>3250</v>
      </c>
      <c r="Y346" s="1">
        <v>0.5</v>
      </c>
      <c r="Z346" s="1"/>
      <c r="AA346" s="219"/>
      <c r="AB346" s="302"/>
      <c r="AC346" s="302"/>
      <c r="AD346" s="302"/>
      <c r="AE346" s="302"/>
      <c r="AF346">
        <f t="shared" si="98"/>
        <v>0</v>
      </c>
    </row>
    <row r="347" spans="1:32" ht="26.25" hidden="1" x14ac:dyDescent="0.25">
      <c r="A347" s="322" t="s">
        <v>1020</v>
      </c>
      <c r="B347" s="93" t="str">
        <f t="shared" si="100"/>
        <v>NO</v>
      </c>
      <c r="C347" s="93" t="s">
        <v>5503</v>
      </c>
      <c r="D347" s="4">
        <v>39156</v>
      </c>
      <c r="E347" s="2">
        <v>39234</v>
      </c>
      <c r="F347" s="2">
        <f t="shared" si="99"/>
        <v>42887</v>
      </c>
      <c r="G347" s="6">
        <v>210.19</v>
      </c>
      <c r="H347" s="7" t="s">
        <v>458</v>
      </c>
      <c r="I347" s="7" t="s">
        <v>72</v>
      </c>
      <c r="J347" s="186"/>
      <c r="K347" s="266">
        <f t="shared" si="101"/>
        <v>2017</v>
      </c>
      <c r="L347" s="386"/>
      <c r="M347" s="386"/>
      <c r="N347" s="32" t="s">
        <v>1022</v>
      </c>
      <c r="O347" s="32" t="s">
        <v>1023</v>
      </c>
      <c r="P347" s="278" t="s">
        <v>1024</v>
      </c>
      <c r="Q347" s="233" t="s">
        <v>1021</v>
      </c>
      <c r="R347" s="75">
        <v>868.5</v>
      </c>
      <c r="S347" s="75">
        <v>0</v>
      </c>
      <c r="T347" s="75">
        <v>868.5</v>
      </c>
      <c r="U347" s="200">
        <v>422</v>
      </c>
      <c r="V347" s="287">
        <f t="shared" ca="1" si="102"/>
        <v>10</v>
      </c>
      <c r="W347" s="75">
        <f t="shared" ca="1" si="103"/>
        <v>3692.5</v>
      </c>
      <c r="X347" s="200">
        <f t="shared" ca="1" si="104"/>
        <v>4244.5</v>
      </c>
      <c r="Y347" s="1">
        <v>0.5</v>
      </c>
      <c r="Z347" s="1"/>
      <c r="AA347" s="219"/>
      <c r="AB347" s="302" t="s">
        <v>6358</v>
      </c>
      <c r="AC347" s="302"/>
      <c r="AD347" s="302"/>
      <c r="AE347" s="302"/>
      <c r="AF347">
        <f t="shared" si="98"/>
        <v>0</v>
      </c>
    </row>
    <row r="348" spans="1:32" ht="26.25" hidden="1" x14ac:dyDescent="0.25">
      <c r="A348" s="322" t="s">
        <v>1025</v>
      </c>
      <c r="B348" s="93" t="str">
        <f t="shared" si="100"/>
        <v>NO</v>
      </c>
      <c r="C348" s="93" t="s">
        <v>5503</v>
      </c>
      <c r="D348" s="4">
        <v>39156</v>
      </c>
      <c r="E348" s="2">
        <v>39234</v>
      </c>
      <c r="F348" s="2">
        <f t="shared" si="99"/>
        <v>42887</v>
      </c>
      <c r="G348" s="6">
        <v>400</v>
      </c>
      <c r="H348" s="7" t="s">
        <v>266</v>
      </c>
      <c r="I348" s="7" t="s">
        <v>72</v>
      </c>
      <c r="J348" s="186"/>
      <c r="K348" s="266">
        <f t="shared" si="101"/>
        <v>2017</v>
      </c>
      <c r="L348" s="386"/>
      <c r="M348" s="386"/>
      <c r="N348" s="32" t="s">
        <v>1022</v>
      </c>
      <c r="O348" s="32" t="s">
        <v>1027</v>
      </c>
      <c r="P348" s="278" t="s">
        <v>1028</v>
      </c>
      <c r="Q348" s="233" t="s">
        <v>1026</v>
      </c>
      <c r="R348" s="75">
        <v>1530</v>
      </c>
      <c r="S348" s="75">
        <v>12800</v>
      </c>
      <c r="T348" s="75">
        <v>14330</v>
      </c>
      <c r="U348" s="200">
        <v>800</v>
      </c>
      <c r="V348" s="287">
        <f t="shared" ca="1" si="102"/>
        <v>10</v>
      </c>
      <c r="W348" s="75">
        <f t="shared" ca="1" si="103"/>
        <v>7000</v>
      </c>
      <c r="X348" s="200">
        <f t="shared" ca="1" si="104"/>
        <v>20730</v>
      </c>
      <c r="Y348" s="1">
        <v>0.5</v>
      </c>
      <c r="Z348" s="1"/>
      <c r="AA348" s="219"/>
      <c r="AB348" s="302" t="s">
        <v>6390</v>
      </c>
      <c r="AC348" s="302"/>
      <c r="AD348" s="302"/>
      <c r="AE348" s="302"/>
      <c r="AF348">
        <f t="shared" si="98"/>
        <v>0</v>
      </c>
    </row>
    <row r="349" spans="1:32" hidden="1" x14ac:dyDescent="0.25">
      <c r="A349" s="322" t="s">
        <v>1029</v>
      </c>
      <c r="B349" s="93" t="str">
        <f t="shared" si="100"/>
        <v>NO</v>
      </c>
      <c r="C349" s="93" t="s">
        <v>5503</v>
      </c>
      <c r="D349" s="4">
        <v>39156</v>
      </c>
      <c r="E349" s="2">
        <v>39234</v>
      </c>
      <c r="F349" s="2">
        <f t="shared" si="99"/>
        <v>42887</v>
      </c>
      <c r="G349" s="6">
        <v>120</v>
      </c>
      <c r="H349" s="7" t="s">
        <v>266</v>
      </c>
      <c r="I349" s="7" t="s">
        <v>72</v>
      </c>
      <c r="J349" s="186"/>
      <c r="K349" s="266">
        <f t="shared" si="101"/>
        <v>2017</v>
      </c>
      <c r="L349" s="386"/>
      <c r="M349" s="386"/>
      <c r="N349" s="32" t="s">
        <v>1022</v>
      </c>
      <c r="O349" s="32" t="s">
        <v>1027</v>
      </c>
      <c r="P349" s="278" t="s">
        <v>1031</v>
      </c>
      <c r="Q349" s="233" t="s">
        <v>1030</v>
      </c>
      <c r="R349" s="75">
        <v>550</v>
      </c>
      <c r="S349" s="75">
        <v>4080</v>
      </c>
      <c r="T349" s="75">
        <v>4630</v>
      </c>
      <c r="U349" s="200">
        <v>240</v>
      </c>
      <c r="V349" s="287">
        <f t="shared" ca="1" si="102"/>
        <v>10</v>
      </c>
      <c r="W349" s="75">
        <f t="shared" ca="1" si="103"/>
        <v>2100</v>
      </c>
      <c r="X349" s="200">
        <f t="shared" ca="1" si="104"/>
        <v>6550</v>
      </c>
      <c r="Y349" s="1">
        <v>0.5</v>
      </c>
      <c r="Z349" s="1"/>
      <c r="AA349" s="219" t="s">
        <v>13</v>
      </c>
      <c r="AB349" s="302" t="s">
        <v>6389</v>
      </c>
      <c r="AC349" s="302"/>
      <c r="AD349" s="302"/>
      <c r="AE349" s="302"/>
      <c r="AF349">
        <f t="shared" si="98"/>
        <v>0</v>
      </c>
    </row>
    <row r="350" spans="1:32" ht="39" hidden="1" x14ac:dyDescent="0.25">
      <c r="A350" s="322" t="s">
        <v>1032</v>
      </c>
      <c r="B350" s="93" t="str">
        <f t="shared" si="100"/>
        <v>NO</v>
      </c>
      <c r="C350" s="93" t="s">
        <v>5503</v>
      </c>
      <c r="D350" s="4">
        <v>39156</v>
      </c>
      <c r="E350" s="2">
        <v>39234</v>
      </c>
      <c r="F350" s="2">
        <f t="shared" si="99"/>
        <v>42887</v>
      </c>
      <c r="G350" s="6">
        <v>1038.52</v>
      </c>
      <c r="H350" s="7" t="s">
        <v>1034</v>
      </c>
      <c r="I350" s="7" t="s">
        <v>72</v>
      </c>
      <c r="J350" s="186"/>
      <c r="K350" s="266">
        <f t="shared" si="101"/>
        <v>2017</v>
      </c>
      <c r="L350" s="386"/>
      <c r="M350" s="386"/>
      <c r="N350" s="32" t="s">
        <v>1035</v>
      </c>
      <c r="O350" s="32" t="s">
        <v>1036</v>
      </c>
      <c r="P350" s="278" t="s">
        <v>1037</v>
      </c>
      <c r="Q350" s="233" t="s">
        <v>1033</v>
      </c>
      <c r="R350" s="75">
        <v>3766.5</v>
      </c>
      <c r="S350" s="75">
        <v>673272</v>
      </c>
      <c r="T350" s="75">
        <v>677038.5</v>
      </c>
      <c r="U350" s="200">
        <v>2078</v>
      </c>
      <c r="V350" s="287">
        <f t="shared" ca="1" si="102"/>
        <v>10</v>
      </c>
      <c r="W350" s="75">
        <f t="shared" ca="1" si="103"/>
        <v>18182.5</v>
      </c>
      <c r="X350" s="200">
        <f t="shared" ca="1" si="104"/>
        <v>693662.5</v>
      </c>
      <c r="Y350" s="1">
        <v>0.5</v>
      </c>
      <c r="Z350" s="1"/>
      <c r="AA350" s="219"/>
      <c r="AB350" s="302" t="s">
        <v>6383</v>
      </c>
      <c r="AC350" s="302"/>
      <c r="AD350" s="302"/>
      <c r="AE350" s="302"/>
      <c r="AF350">
        <f t="shared" si="98"/>
        <v>0</v>
      </c>
    </row>
    <row r="351" spans="1:32" hidden="1" x14ac:dyDescent="0.25">
      <c r="A351" s="322" t="s">
        <v>1038</v>
      </c>
      <c r="B351" s="93" t="str">
        <f t="shared" si="100"/>
        <v>NO</v>
      </c>
      <c r="C351" s="93" t="s">
        <v>5503</v>
      </c>
      <c r="D351" s="4">
        <v>39156</v>
      </c>
      <c r="E351" s="2">
        <v>39234</v>
      </c>
      <c r="F351" s="2">
        <f t="shared" si="99"/>
        <v>42887</v>
      </c>
      <c r="G351" s="6">
        <v>160</v>
      </c>
      <c r="H351" s="7" t="s">
        <v>1040</v>
      </c>
      <c r="I351" s="7" t="s">
        <v>72</v>
      </c>
      <c r="J351" s="186"/>
      <c r="K351" s="266">
        <f t="shared" si="101"/>
        <v>2017</v>
      </c>
      <c r="L351" s="386"/>
      <c r="M351" s="386"/>
      <c r="N351" s="32" t="s">
        <v>1035</v>
      </c>
      <c r="O351" s="32" t="s">
        <v>1041</v>
      </c>
      <c r="P351" s="278" t="s">
        <v>1042</v>
      </c>
      <c r="Q351" s="233" t="s">
        <v>1039</v>
      </c>
      <c r="R351" s="75">
        <v>690</v>
      </c>
      <c r="S351" s="75">
        <v>4480</v>
      </c>
      <c r="T351" s="75">
        <v>5170</v>
      </c>
      <c r="U351" s="200">
        <v>320</v>
      </c>
      <c r="V351" s="287">
        <f t="shared" ca="1" si="102"/>
        <v>10</v>
      </c>
      <c r="W351" s="75">
        <f t="shared" ca="1" si="103"/>
        <v>2800</v>
      </c>
      <c r="X351" s="200">
        <f t="shared" ca="1" si="104"/>
        <v>7730</v>
      </c>
      <c r="Y351" s="1">
        <v>0.5</v>
      </c>
      <c r="Z351" s="1"/>
      <c r="AA351" s="219"/>
      <c r="AB351" s="302" t="s">
        <v>6359</v>
      </c>
      <c r="AC351" s="302"/>
      <c r="AD351" s="302"/>
      <c r="AE351" s="302"/>
      <c r="AF351">
        <f t="shared" si="98"/>
        <v>0</v>
      </c>
    </row>
    <row r="352" spans="1:32" hidden="1" x14ac:dyDescent="0.25">
      <c r="A352" s="322" t="s">
        <v>1043</v>
      </c>
      <c r="B352" s="93" t="str">
        <f t="shared" si="100"/>
        <v>NO</v>
      </c>
      <c r="C352" s="93" t="s">
        <v>5503</v>
      </c>
      <c r="D352" s="4">
        <v>39156</v>
      </c>
      <c r="E352" s="2">
        <v>39234</v>
      </c>
      <c r="F352" s="2">
        <f t="shared" si="99"/>
        <v>42887</v>
      </c>
      <c r="G352" s="6">
        <v>300</v>
      </c>
      <c r="H352" s="93" t="s">
        <v>5808</v>
      </c>
      <c r="I352" s="7" t="s">
        <v>79</v>
      </c>
      <c r="J352" s="186"/>
      <c r="K352" s="266">
        <f t="shared" si="101"/>
        <v>2017</v>
      </c>
      <c r="L352" s="386"/>
      <c r="M352" s="386"/>
      <c r="N352" s="32" t="s">
        <v>1045</v>
      </c>
      <c r="O352" s="32" t="s">
        <v>674</v>
      </c>
      <c r="P352" s="278" t="s">
        <v>1046</v>
      </c>
      <c r="Q352" s="233" t="s">
        <v>1044</v>
      </c>
      <c r="R352" s="75">
        <v>1180</v>
      </c>
      <c r="S352" s="75">
        <v>30900</v>
      </c>
      <c r="T352" s="75">
        <v>32080</v>
      </c>
      <c r="U352" s="200">
        <v>600</v>
      </c>
      <c r="V352" s="287">
        <f t="shared" ca="1" si="102"/>
        <v>10</v>
      </c>
      <c r="W352" s="75">
        <f t="shared" ca="1" si="103"/>
        <v>5250</v>
      </c>
      <c r="X352" s="200">
        <f t="shared" ca="1" si="104"/>
        <v>36880</v>
      </c>
      <c r="Y352" s="1">
        <v>0.5</v>
      </c>
      <c r="Z352" s="1"/>
      <c r="AA352" s="219"/>
      <c r="AB352" s="302" t="s">
        <v>6501</v>
      </c>
      <c r="AC352" s="302"/>
      <c r="AD352" s="302"/>
      <c r="AE352" s="302"/>
      <c r="AF352">
        <f t="shared" si="98"/>
        <v>0</v>
      </c>
    </row>
    <row r="353" spans="1:32" ht="26.25" hidden="1" x14ac:dyDescent="0.25">
      <c r="A353" s="322" t="s">
        <v>1047</v>
      </c>
      <c r="B353" s="93" t="str">
        <f t="shared" si="100"/>
        <v>NO</v>
      </c>
      <c r="C353" s="93" t="s">
        <v>5503</v>
      </c>
      <c r="D353" s="4">
        <v>39156</v>
      </c>
      <c r="E353" s="2">
        <v>39234</v>
      </c>
      <c r="F353" s="2">
        <f t="shared" si="99"/>
        <v>42887</v>
      </c>
      <c r="G353" s="6">
        <v>460</v>
      </c>
      <c r="H353" s="7" t="s">
        <v>1049</v>
      </c>
      <c r="I353" s="7" t="s">
        <v>1050</v>
      </c>
      <c r="J353" s="186"/>
      <c r="K353" s="266">
        <f t="shared" si="101"/>
        <v>2017</v>
      </c>
      <c r="L353" s="386"/>
      <c r="M353" s="386"/>
      <c r="N353" s="32" t="s">
        <v>1051</v>
      </c>
      <c r="O353" s="32" t="s">
        <v>1052</v>
      </c>
      <c r="P353" s="278" t="s">
        <v>1053</v>
      </c>
      <c r="Q353" s="233" t="s">
        <v>1048</v>
      </c>
      <c r="R353" s="75">
        <v>1740</v>
      </c>
      <c r="S353" s="75">
        <v>0</v>
      </c>
      <c r="T353" s="75">
        <v>1740</v>
      </c>
      <c r="U353" s="200">
        <v>920</v>
      </c>
      <c r="V353" s="287">
        <f t="shared" ca="1" si="102"/>
        <v>10</v>
      </c>
      <c r="W353" s="75">
        <f t="shared" ca="1" si="103"/>
        <v>8050</v>
      </c>
      <c r="X353" s="200">
        <f t="shared" ca="1" si="104"/>
        <v>9100</v>
      </c>
      <c r="Y353" s="1">
        <v>0.5</v>
      </c>
      <c r="Z353" s="1"/>
      <c r="AA353" s="219"/>
      <c r="AB353" s="302"/>
      <c r="AC353" s="302"/>
      <c r="AD353" s="302"/>
      <c r="AE353" s="302"/>
      <c r="AF353">
        <f t="shared" si="98"/>
        <v>0</v>
      </c>
    </row>
    <row r="354" spans="1:32" ht="26.25" hidden="1" x14ac:dyDescent="0.25">
      <c r="A354" s="322" t="s">
        <v>1054</v>
      </c>
      <c r="B354" s="93" t="str">
        <f t="shared" si="100"/>
        <v>NO</v>
      </c>
      <c r="C354" s="93" t="s">
        <v>5503</v>
      </c>
      <c r="D354" s="4">
        <v>39156</v>
      </c>
      <c r="E354" s="2">
        <v>39234</v>
      </c>
      <c r="F354" s="2">
        <f t="shared" si="99"/>
        <v>42887</v>
      </c>
      <c r="G354" s="6">
        <v>597.73</v>
      </c>
      <c r="H354" s="7" t="s">
        <v>1049</v>
      </c>
      <c r="I354" s="7" t="s">
        <v>1050</v>
      </c>
      <c r="J354" s="186"/>
      <c r="K354" s="266">
        <f t="shared" si="101"/>
        <v>2017</v>
      </c>
      <c r="L354" s="386"/>
      <c r="M354" s="386"/>
      <c r="N354" s="32" t="s">
        <v>1051</v>
      </c>
      <c r="O354" s="32" t="s">
        <v>1052</v>
      </c>
      <c r="P354" s="278" t="s">
        <v>1056</v>
      </c>
      <c r="Q354" s="233" t="s">
        <v>1055</v>
      </c>
      <c r="R354" s="75">
        <v>2223</v>
      </c>
      <c r="S354" s="75">
        <v>1196</v>
      </c>
      <c r="T354" s="75">
        <v>3419</v>
      </c>
      <c r="U354" s="200">
        <v>1196</v>
      </c>
      <c r="V354" s="287">
        <f t="shared" ca="1" si="102"/>
        <v>10</v>
      </c>
      <c r="W354" s="75">
        <f t="shared" ca="1" si="103"/>
        <v>10465</v>
      </c>
      <c r="X354" s="200">
        <f t="shared" ca="1" si="104"/>
        <v>12987</v>
      </c>
      <c r="Y354" s="1">
        <v>0.5</v>
      </c>
      <c r="Z354" s="1"/>
      <c r="AA354" s="219"/>
      <c r="AB354" s="302"/>
      <c r="AC354" s="302"/>
      <c r="AD354" s="302"/>
      <c r="AE354" s="302"/>
      <c r="AF354">
        <f t="shared" si="98"/>
        <v>0</v>
      </c>
    </row>
    <row r="355" spans="1:32" ht="39" hidden="1" x14ac:dyDescent="0.25">
      <c r="A355" s="322" t="s">
        <v>1057</v>
      </c>
      <c r="B355" s="93" t="str">
        <f t="shared" si="100"/>
        <v>NO</v>
      </c>
      <c r="C355" s="93" t="s">
        <v>5503</v>
      </c>
      <c r="D355" s="4">
        <v>39156</v>
      </c>
      <c r="E355" s="2">
        <v>39234</v>
      </c>
      <c r="F355" s="2">
        <f t="shared" si="99"/>
        <v>42887</v>
      </c>
      <c r="G355" s="6">
        <v>496.2</v>
      </c>
      <c r="H355" s="7" t="s">
        <v>1049</v>
      </c>
      <c r="I355" s="7" t="s">
        <v>1050</v>
      </c>
      <c r="J355" s="186"/>
      <c r="K355" s="266">
        <f t="shared" si="101"/>
        <v>2017</v>
      </c>
      <c r="L355" s="386"/>
      <c r="M355" s="386"/>
      <c r="N355" s="32" t="s">
        <v>1051</v>
      </c>
      <c r="O355" s="32" t="s">
        <v>1052</v>
      </c>
      <c r="P355" s="278" t="s">
        <v>1059</v>
      </c>
      <c r="Q355" s="233" t="s">
        <v>1058</v>
      </c>
      <c r="R355" s="75">
        <v>1869.5</v>
      </c>
      <c r="S355" s="75">
        <v>0</v>
      </c>
      <c r="T355" s="75">
        <v>1869.5</v>
      </c>
      <c r="U355" s="200">
        <v>994</v>
      </c>
      <c r="V355" s="287">
        <f t="shared" ca="1" si="102"/>
        <v>10</v>
      </c>
      <c r="W355" s="75">
        <f t="shared" ca="1" si="103"/>
        <v>8697.5</v>
      </c>
      <c r="X355" s="200">
        <f t="shared" ca="1" si="104"/>
        <v>9821.5</v>
      </c>
      <c r="Y355" s="1">
        <v>0.5</v>
      </c>
      <c r="Z355" s="1"/>
      <c r="AA355" s="219"/>
      <c r="AB355" s="302"/>
      <c r="AC355" s="302"/>
      <c r="AD355" s="302"/>
      <c r="AE355" s="302"/>
      <c r="AF355">
        <f t="shared" si="98"/>
        <v>0</v>
      </c>
    </row>
    <row r="356" spans="1:32" hidden="1" x14ac:dyDescent="0.25">
      <c r="A356" s="322" t="s">
        <v>1060</v>
      </c>
      <c r="B356" s="93" t="str">
        <f t="shared" si="100"/>
        <v>NO</v>
      </c>
      <c r="C356" s="93" t="s">
        <v>5503</v>
      </c>
      <c r="D356" s="4">
        <v>39156</v>
      </c>
      <c r="E356" s="2">
        <v>39234</v>
      </c>
      <c r="F356" s="2">
        <f t="shared" si="99"/>
        <v>42887</v>
      </c>
      <c r="G356" s="6">
        <v>303.31</v>
      </c>
      <c r="H356" s="7" t="s">
        <v>453</v>
      </c>
      <c r="I356" s="7" t="s">
        <v>86</v>
      </c>
      <c r="J356" s="186"/>
      <c r="K356" s="266">
        <f t="shared" si="101"/>
        <v>2017</v>
      </c>
      <c r="L356" s="413"/>
      <c r="M356" s="413"/>
      <c r="N356" s="32" t="s">
        <v>1062</v>
      </c>
      <c r="O356" s="32" t="s">
        <v>1063</v>
      </c>
      <c r="P356" s="278" t="s">
        <v>1064</v>
      </c>
      <c r="Q356" s="233" t="s">
        <v>1061</v>
      </c>
      <c r="R356" s="75">
        <v>1194</v>
      </c>
      <c r="S356" s="75">
        <v>9728</v>
      </c>
      <c r="T356" s="75">
        <v>10922</v>
      </c>
      <c r="U356" s="200">
        <v>608</v>
      </c>
      <c r="V356" s="287">
        <f t="shared" ca="1" si="102"/>
        <v>10</v>
      </c>
      <c r="W356" s="75">
        <f t="shared" ca="1" si="103"/>
        <v>5320</v>
      </c>
      <c r="X356" s="200">
        <f t="shared" ca="1" si="104"/>
        <v>15786</v>
      </c>
      <c r="Y356" s="1">
        <v>0.5</v>
      </c>
      <c r="Z356" s="1"/>
      <c r="AA356" s="219"/>
      <c r="AB356" s="302" t="s">
        <v>6502</v>
      </c>
      <c r="AC356" s="302"/>
      <c r="AD356" s="302"/>
      <c r="AE356" s="302"/>
      <c r="AF356">
        <f t="shared" si="98"/>
        <v>0</v>
      </c>
    </row>
    <row r="357" spans="1:32" hidden="1" x14ac:dyDescent="0.25">
      <c r="A357" s="322" t="s">
        <v>1065</v>
      </c>
      <c r="B357" s="93" t="str">
        <f t="shared" si="100"/>
        <v>NO</v>
      </c>
      <c r="C357" s="93" t="s">
        <v>5503</v>
      </c>
      <c r="D357" s="4">
        <v>39156</v>
      </c>
      <c r="E357" s="2">
        <v>39234</v>
      </c>
      <c r="F357" s="2">
        <f t="shared" si="99"/>
        <v>42887</v>
      </c>
      <c r="G357" s="6">
        <v>191.77</v>
      </c>
      <c r="H357" s="7" t="s">
        <v>453</v>
      </c>
      <c r="I357" s="7" t="s">
        <v>86</v>
      </c>
      <c r="J357" s="109" t="s">
        <v>1067</v>
      </c>
      <c r="K357" s="266">
        <f t="shared" si="101"/>
        <v>2017</v>
      </c>
      <c r="L357" s="414"/>
      <c r="M357" s="414"/>
      <c r="N357" s="32" t="s">
        <v>1062</v>
      </c>
      <c r="O357" s="32" t="s">
        <v>1063</v>
      </c>
      <c r="P357" s="278" t="s">
        <v>1068</v>
      </c>
      <c r="Q357" s="233" t="s">
        <v>1066</v>
      </c>
      <c r="R357" s="75">
        <v>942</v>
      </c>
      <c r="S357" s="75">
        <v>9744</v>
      </c>
      <c r="T357" s="75">
        <v>10686</v>
      </c>
      <c r="U357" s="200">
        <v>384</v>
      </c>
      <c r="V357" s="287">
        <f t="shared" ca="1" si="102"/>
        <v>10</v>
      </c>
      <c r="W357" s="75">
        <f t="shared" ca="1" si="103"/>
        <v>3360</v>
      </c>
      <c r="X357" s="200">
        <f t="shared" ca="1" si="104"/>
        <v>13758</v>
      </c>
      <c r="Y357" s="1">
        <v>0.5</v>
      </c>
      <c r="Z357" s="1"/>
      <c r="AA357" s="219"/>
      <c r="AB357" s="302" t="s">
        <v>6503</v>
      </c>
      <c r="AC357" s="302"/>
      <c r="AD357" s="302"/>
      <c r="AE357" s="302"/>
      <c r="AF357">
        <f t="shared" si="98"/>
        <v>0</v>
      </c>
    </row>
    <row r="358" spans="1:32" hidden="1" x14ac:dyDescent="0.25">
      <c r="A358" s="322" t="s">
        <v>1069</v>
      </c>
      <c r="B358" s="93" t="str">
        <f t="shared" si="100"/>
        <v>NO</v>
      </c>
      <c r="C358" s="93" t="s">
        <v>5503</v>
      </c>
      <c r="D358" s="4">
        <v>39156</v>
      </c>
      <c r="E358" s="2">
        <v>39234</v>
      </c>
      <c r="F358" s="2">
        <f t="shared" si="99"/>
        <v>42887</v>
      </c>
      <c r="G358" s="6">
        <v>40</v>
      </c>
      <c r="H358" s="7" t="s">
        <v>453</v>
      </c>
      <c r="I358" s="7" t="s">
        <v>86</v>
      </c>
      <c r="J358" s="109" t="s">
        <v>1067</v>
      </c>
      <c r="K358" s="266">
        <f t="shared" si="101"/>
        <v>2017</v>
      </c>
      <c r="L358" s="414"/>
      <c r="M358" s="414"/>
      <c r="N358" s="32" t="s">
        <v>1062</v>
      </c>
      <c r="O358" s="32" t="s">
        <v>1063</v>
      </c>
      <c r="P358" s="278" t="s">
        <v>1071</v>
      </c>
      <c r="Q358" s="233" t="s">
        <v>1070</v>
      </c>
      <c r="R358" s="75">
        <v>403</v>
      </c>
      <c r="S358" s="75">
        <v>4524</v>
      </c>
      <c r="T358" s="75">
        <v>4927</v>
      </c>
      <c r="U358" s="200">
        <v>80</v>
      </c>
      <c r="V358" s="287">
        <f t="shared" ca="1" si="102"/>
        <v>10</v>
      </c>
      <c r="W358" s="75">
        <f t="shared" ca="1" si="103"/>
        <v>700</v>
      </c>
      <c r="X358" s="200">
        <f t="shared" ca="1" si="104"/>
        <v>5567</v>
      </c>
      <c r="Y358" s="1">
        <v>0.5</v>
      </c>
      <c r="Z358" s="1"/>
      <c r="AA358" s="219"/>
      <c r="AB358" s="302" t="s">
        <v>6504</v>
      </c>
      <c r="AC358" s="302"/>
      <c r="AD358" s="302"/>
      <c r="AE358" s="302"/>
      <c r="AF358">
        <f t="shared" si="98"/>
        <v>0</v>
      </c>
    </row>
    <row r="359" spans="1:32" ht="26.25" hidden="1" x14ac:dyDescent="0.25">
      <c r="A359" s="322" t="s">
        <v>1072</v>
      </c>
      <c r="B359" s="93" t="str">
        <f t="shared" si="100"/>
        <v>NO</v>
      </c>
      <c r="C359" s="93" t="s">
        <v>5503</v>
      </c>
      <c r="D359" s="4">
        <v>39156</v>
      </c>
      <c r="E359" s="2">
        <v>39234</v>
      </c>
      <c r="F359" s="2">
        <f t="shared" si="99"/>
        <v>42887</v>
      </c>
      <c r="G359" s="6">
        <v>587.42999999999995</v>
      </c>
      <c r="H359" s="7" t="s">
        <v>453</v>
      </c>
      <c r="I359" s="7" t="s">
        <v>86</v>
      </c>
      <c r="J359" s="189"/>
      <c r="K359" s="266">
        <f t="shared" si="101"/>
        <v>2017</v>
      </c>
      <c r="L359" s="415"/>
      <c r="M359" s="415"/>
      <c r="N359" s="32" t="s">
        <v>1062</v>
      </c>
      <c r="O359" s="32" t="s">
        <v>1063</v>
      </c>
      <c r="P359" s="278" t="s">
        <v>1074</v>
      </c>
      <c r="Q359" s="233" t="s">
        <v>1073</v>
      </c>
      <c r="R359" s="75">
        <v>2188</v>
      </c>
      <c r="S359" s="75">
        <v>37632</v>
      </c>
      <c r="T359" s="75">
        <v>39820</v>
      </c>
      <c r="U359" s="200">
        <v>1176</v>
      </c>
      <c r="V359" s="287">
        <f t="shared" ca="1" si="102"/>
        <v>10</v>
      </c>
      <c r="W359" s="75">
        <f t="shared" ca="1" si="103"/>
        <v>10290</v>
      </c>
      <c r="X359" s="200">
        <f t="shared" ca="1" si="104"/>
        <v>49228</v>
      </c>
      <c r="Y359" s="1">
        <v>0.5</v>
      </c>
      <c r="Z359" s="1"/>
      <c r="AA359" s="219"/>
      <c r="AB359" s="302" t="s">
        <v>6505</v>
      </c>
      <c r="AC359" s="302"/>
      <c r="AD359" s="302"/>
      <c r="AE359" s="302"/>
      <c r="AF359">
        <f t="shared" si="98"/>
        <v>0</v>
      </c>
    </row>
    <row r="360" spans="1:32" hidden="1" x14ac:dyDescent="0.25">
      <c r="A360" s="322" t="s">
        <v>1075</v>
      </c>
      <c r="B360" s="93" t="str">
        <f t="shared" si="100"/>
        <v>NO</v>
      </c>
      <c r="C360" s="93" t="s">
        <v>5503</v>
      </c>
      <c r="D360" s="4">
        <v>39156</v>
      </c>
      <c r="E360" s="2">
        <v>39234</v>
      </c>
      <c r="F360" s="2">
        <f t="shared" si="99"/>
        <v>42887</v>
      </c>
      <c r="G360" s="6">
        <v>627.17999999999995</v>
      </c>
      <c r="H360" s="7" t="s">
        <v>453</v>
      </c>
      <c r="I360" s="7" t="s">
        <v>86</v>
      </c>
      <c r="J360" s="189"/>
      <c r="K360" s="266">
        <f t="shared" si="101"/>
        <v>2017</v>
      </c>
      <c r="L360" s="415"/>
      <c r="M360" s="415"/>
      <c r="N360" s="32" t="s">
        <v>1062</v>
      </c>
      <c r="O360" s="32" t="s">
        <v>1063</v>
      </c>
      <c r="P360" s="278" t="s">
        <v>1077</v>
      </c>
      <c r="Q360" s="233" t="s">
        <v>1076</v>
      </c>
      <c r="R360" s="75">
        <v>2328</v>
      </c>
      <c r="S360" s="75">
        <v>45844</v>
      </c>
      <c r="T360" s="75">
        <v>48172</v>
      </c>
      <c r="U360" s="200">
        <v>1256</v>
      </c>
      <c r="V360" s="287">
        <f t="shared" ca="1" si="102"/>
        <v>10</v>
      </c>
      <c r="W360" s="75">
        <f t="shared" ca="1" si="103"/>
        <v>10990</v>
      </c>
      <c r="X360" s="200">
        <f t="shared" ca="1" si="104"/>
        <v>58220</v>
      </c>
      <c r="Y360" s="1">
        <v>0.5</v>
      </c>
      <c r="Z360" s="1"/>
      <c r="AA360" s="219"/>
      <c r="AB360" s="302" t="s">
        <v>6506</v>
      </c>
      <c r="AC360" s="302"/>
      <c r="AD360" s="302"/>
      <c r="AE360" s="302"/>
      <c r="AF360">
        <f t="shared" si="98"/>
        <v>0</v>
      </c>
    </row>
    <row r="361" spans="1:32" ht="26.25" hidden="1" x14ac:dyDescent="0.25">
      <c r="A361" s="322" t="s">
        <v>1078</v>
      </c>
      <c r="B361" s="93" t="str">
        <f t="shared" si="100"/>
        <v>NO</v>
      </c>
      <c r="C361" s="93" t="s">
        <v>5503</v>
      </c>
      <c r="D361" s="4">
        <v>39156</v>
      </c>
      <c r="E361" s="2">
        <v>39234</v>
      </c>
      <c r="F361" s="2">
        <f t="shared" si="99"/>
        <v>42887</v>
      </c>
      <c r="G361" s="6">
        <v>207.09</v>
      </c>
      <c r="H361" s="7" t="s">
        <v>453</v>
      </c>
      <c r="I361" s="7" t="s">
        <v>86</v>
      </c>
      <c r="J361" s="189"/>
      <c r="K361" s="266">
        <f t="shared" si="101"/>
        <v>2017</v>
      </c>
      <c r="L361" s="415"/>
      <c r="M361" s="415"/>
      <c r="N361" s="32" t="s">
        <v>1062</v>
      </c>
      <c r="O361" s="32" t="s">
        <v>1063</v>
      </c>
      <c r="P361" s="278" t="s">
        <v>1080</v>
      </c>
      <c r="Q361" s="233" t="s">
        <v>1079</v>
      </c>
      <c r="R361" s="75">
        <v>858</v>
      </c>
      <c r="S361" s="75">
        <v>16224</v>
      </c>
      <c r="T361" s="75">
        <v>17082</v>
      </c>
      <c r="U361" s="200">
        <v>416</v>
      </c>
      <c r="V361" s="287">
        <f t="shared" ca="1" si="102"/>
        <v>10</v>
      </c>
      <c r="W361" s="75">
        <f t="shared" ca="1" si="103"/>
        <v>3640</v>
      </c>
      <c r="X361" s="200">
        <f t="shared" ca="1" si="104"/>
        <v>20410</v>
      </c>
      <c r="Y361" s="1">
        <v>0.5</v>
      </c>
      <c r="Z361" s="1"/>
      <c r="AA361" s="219"/>
      <c r="AB361" s="302" t="s">
        <v>6507</v>
      </c>
      <c r="AC361" s="302"/>
      <c r="AD361" s="302"/>
      <c r="AE361" s="302"/>
      <c r="AF361">
        <f t="shared" si="98"/>
        <v>0</v>
      </c>
    </row>
    <row r="362" spans="1:32" hidden="1" x14ac:dyDescent="0.25">
      <c r="A362" s="322" t="s">
        <v>1081</v>
      </c>
      <c r="B362" s="93" t="str">
        <f t="shared" si="100"/>
        <v>NO</v>
      </c>
      <c r="C362" s="93" t="s">
        <v>5503</v>
      </c>
      <c r="D362" s="4">
        <v>39156</v>
      </c>
      <c r="E362" s="2">
        <v>39234</v>
      </c>
      <c r="F362" s="2">
        <f t="shared" si="99"/>
        <v>42887</v>
      </c>
      <c r="G362" s="6">
        <v>491.11</v>
      </c>
      <c r="H362" s="7" t="s">
        <v>453</v>
      </c>
      <c r="I362" s="7" t="s">
        <v>86</v>
      </c>
      <c r="J362" s="189"/>
      <c r="K362" s="266">
        <f t="shared" si="101"/>
        <v>2017</v>
      </c>
      <c r="L362" s="415"/>
      <c r="M362" s="415"/>
      <c r="N362" s="32" t="s">
        <v>1062</v>
      </c>
      <c r="O362" s="32" t="s">
        <v>1083</v>
      </c>
      <c r="P362" s="278" t="s">
        <v>1084</v>
      </c>
      <c r="Q362" s="233" t="s">
        <v>1082</v>
      </c>
      <c r="R362" s="75">
        <v>1852</v>
      </c>
      <c r="S362" s="75">
        <v>2952</v>
      </c>
      <c r="T362" s="75">
        <v>4804</v>
      </c>
      <c r="U362" s="200">
        <v>984</v>
      </c>
      <c r="V362" s="287">
        <f t="shared" ca="1" si="102"/>
        <v>10</v>
      </c>
      <c r="W362" s="75">
        <f t="shared" ca="1" si="103"/>
        <v>8610</v>
      </c>
      <c r="X362" s="200">
        <f t="shared" ca="1" si="104"/>
        <v>12676</v>
      </c>
      <c r="Y362" s="1">
        <v>0.5</v>
      </c>
      <c r="Z362" s="1"/>
      <c r="AA362" s="219"/>
      <c r="AB362" s="302" t="s">
        <v>6508</v>
      </c>
      <c r="AC362" s="302"/>
      <c r="AD362" s="302"/>
      <c r="AE362" s="302"/>
      <c r="AF362">
        <f t="shared" si="98"/>
        <v>0</v>
      </c>
    </row>
    <row r="363" spans="1:32" hidden="1" x14ac:dyDescent="0.25">
      <c r="A363" s="322" t="s">
        <v>1085</v>
      </c>
      <c r="B363" s="93" t="str">
        <f t="shared" si="100"/>
        <v>NO</v>
      </c>
      <c r="C363" s="93" t="s">
        <v>5503</v>
      </c>
      <c r="D363" s="4">
        <v>39156</v>
      </c>
      <c r="E363" s="2">
        <v>39234</v>
      </c>
      <c r="F363" s="2">
        <f t="shared" si="99"/>
        <v>42887</v>
      </c>
      <c r="G363" s="6">
        <v>163.69999999999999</v>
      </c>
      <c r="H363" s="7" t="s">
        <v>453</v>
      </c>
      <c r="I363" s="7" t="s">
        <v>86</v>
      </c>
      <c r="J363" s="189"/>
      <c r="K363" s="266">
        <f t="shared" si="101"/>
        <v>2017</v>
      </c>
      <c r="L363" s="415"/>
      <c r="M363" s="415"/>
      <c r="N363" s="32" t="s">
        <v>1062</v>
      </c>
      <c r="O363" s="32" t="s">
        <v>1083</v>
      </c>
      <c r="P363" s="278" t="s">
        <v>1087</v>
      </c>
      <c r="Q363" s="233" t="s">
        <v>1086</v>
      </c>
      <c r="R363" s="75">
        <v>704</v>
      </c>
      <c r="S363" s="75">
        <v>9512</v>
      </c>
      <c r="T363" s="75">
        <v>10216</v>
      </c>
      <c r="U363" s="200">
        <v>328</v>
      </c>
      <c r="V363" s="287">
        <f t="shared" ca="1" si="102"/>
        <v>10</v>
      </c>
      <c r="W363" s="75">
        <f t="shared" ca="1" si="103"/>
        <v>2870</v>
      </c>
      <c r="X363" s="200">
        <f t="shared" ca="1" si="104"/>
        <v>12840</v>
      </c>
      <c r="Y363" s="1">
        <v>0.5</v>
      </c>
      <c r="Z363" s="1"/>
      <c r="AA363" s="219"/>
      <c r="AB363" s="302" t="s">
        <v>6509</v>
      </c>
      <c r="AC363" s="302"/>
      <c r="AD363" s="302"/>
      <c r="AE363" s="302"/>
      <c r="AF363">
        <f t="shared" si="98"/>
        <v>0</v>
      </c>
    </row>
    <row r="364" spans="1:32" hidden="1" x14ac:dyDescent="0.25">
      <c r="A364" s="322" t="s">
        <v>1088</v>
      </c>
      <c r="B364" s="93" t="str">
        <f t="shared" si="100"/>
        <v>NO</v>
      </c>
      <c r="C364" s="93" t="s">
        <v>5503</v>
      </c>
      <c r="D364" s="4">
        <v>39156</v>
      </c>
      <c r="E364" s="2">
        <v>39234</v>
      </c>
      <c r="F364" s="2">
        <f t="shared" si="99"/>
        <v>42887</v>
      </c>
      <c r="G364" s="6">
        <v>168.49</v>
      </c>
      <c r="H364" s="7" t="s">
        <v>453</v>
      </c>
      <c r="I364" s="7" t="s">
        <v>86</v>
      </c>
      <c r="J364" s="189"/>
      <c r="K364" s="266">
        <f t="shared" si="101"/>
        <v>2017</v>
      </c>
      <c r="L364" s="415"/>
      <c r="M364" s="415"/>
      <c r="N364" s="32" t="s">
        <v>1062</v>
      </c>
      <c r="O364" s="32" t="s">
        <v>1083</v>
      </c>
      <c r="P364" s="278" t="s">
        <v>1090</v>
      </c>
      <c r="Q364" s="233" t="s">
        <v>1089</v>
      </c>
      <c r="R364" s="75">
        <v>721.5</v>
      </c>
      <c r="S364" s="75">
        <v>8957</v>
      </c>
      <c r="T364" s="75">
        <v>9678.5</v>
      </c>
      <c r="U364" s="200">
        <v>338</v>
      </c>
      <c r="V364" s="287">
        <f t="shared" ca="1" si="102"/>
        <v>10</v>
      </c>
      <c r="W364" s="75">
        <f t="shared" ca="1" si="103"/>
        <v>2957.5</v>
      </c>
      <c r="X364" s="200">
        <f t="shared" ca="1" si="104"/>
        <v>12382.5</v>
      </c>
      <c r="Y364" s="1">
        <v>0.5</v>
      </c>
      <c r="Z364" s="1"/>
      <c r="AA364" s="219"/>
      <c r="AB364" s="302" t="s">
        <v>6510</v>
      </c>
      <c r="AC364" s="302"/>
      <c r="AD364" s="302"/>
      <c r="AE364" s="302"/>
      <c r="AF364">
        <f t="shared" si="98"/>
        <v>0</v>
      </c>
    </row>
    <row r="365" spans="1:32" hidden="1" x14ac:dyDescent="0.25">
      <c r="A365" s="322" t="s">
        <v>1091</v>
      </c>
      <c r="B365" s="93" t="str">
        <f t="shared" si="100"/>
        <v>NO</v>
      </c>
      <c r="C365" s="93" t="s">
        <v>5503</v>
      </c>
      <c r="D365" s="4">
        <v>39156</v>
      </c>
      <c r="E365" s="2">
        <v>39234</v>
      </c>
      <c r="F365" s="2">
        <f t="shared" si="99"/>
        <v>42887</v>
      </c>
      <c r="G365" s="6">
        <v>80.239999999999995</v>
      </c>
      <c r="H365" s="7" t="s">
        <v>453</v>
      </c>
      <c r="I365" s="7" t="s">
        <v>86</v>
      </c>
      <c r="J365" s="189"/>
      <c r="K365" s="266">
        <f t="shared" si="101"/>
        <v>2017</v>
      </c>
      <c r="L365" s="415"/>
      <c r="M365" s="415"/>
      <c r="N365" s="32" t="s">
        <v>1062</v>
      </c>
      <c r="O365" s="32" t="s">
        <v>1093</v>
      </c>
      <c r="P365" s="278" t="s">
        <v>1094</v>
      </c>
      <c r="Q365" s="233" t="s">
        <v>1092</v>
      </c>
      <c r="R365" s="75">
        <v>413.5</v>
      </c>
      <c r="S365" s="75">
        <v>6318</v>
      </c>
      <c r="T365" s="75">
        <v>6731.5</v>
      </c>
      <c r="U365" s="200">
        <v>162</v>
      </c>
      <c r="V365" s="287">
        <f t="shared" ca="1" si="102"/>
        <v>10</v>
      </c>
      <c r="W365" s="75">
        <f t="shared" ca="1" si="103"/>
        <v>1417.5</v>
      </c>
      <c r="X365" s="200">
        <f t="shared" ca="1" si="104"/>
        <v>8027.5</v>
      </c>
      <c r="Y365" s="1">
        <v>0.5</v>
      </c>
      <c r="Z365" s="1"/>
      <c r="AA365" s="219"/>
      <c r="AB365" s="302" t="s">
        <v>6511</v>
      </c>
      <c r="AC365" s="302"/>
      <c r="AD365" s="302"/>
      <c r="AE365" s="302"/>
      <c r="AF365">
        <f t="shared" si="98"/>
        <v>0</v>
      </c>
    </row>
    <row r="366" spans="1:32" ht="26.25" hidden="1" x14ac:dyDescent="0.25">
      <c r="A366" s="322" t="s">
        <v>1095</v>
      </c>
      <c r="B366" s="93" t="str">
        <f t="shared" si="100"/>
        <v>NO</v>
      </c>
      <c r="C366" s="93" t="s">
        <v>5503</v>
      </c>
      <c r="D366" s="4">
        <v>39156</v>
      </c>
      <c r="E366" s="2">
        <v>39234</v>
      </c>
      <c r="F366" s="2">
        <f t="shared" si="99"/>
        <v>42887</v>
      </c>
      <c r="G366" s="6">
        <v>898.57</v>
      </c>
      <c r="H366" s="7" t="s">
        <v>453</v>
      </c>
      <c r="I366" s="7" t="s">
        <v>86</v>
      </c>
      <c r="J366" s="109" t="s">
        <v>1097</v>
      </c>
      <c r="K366" s="266">
        <f t="shared" si="101"/>
        <v>2017</v>
      </c>
      <c r="L366" s="414"/>
      <c r="M366" s="414"/>
      <c r="N366" s="32" t="s">
        <v>1062</v>
      </c>
      <c r="O366" s="32" t="s">
        <v>1098</v>
      </c>
      <c r="P366" s="278" t="s">
        <v>1099</v>
      </c>
      <c r="Q366" s="233" t="s">
        <v>1096</v>
      </c>
      <c r="R366" s="75">
        <v>3276.5</v>
      </c>
      <c r="S366" s="75">
        <v>97092</v>
      </c>
      <c r="T366" s="75">
        <v>100368.5</v>
      </c>
      <c r="U366" s="200">
        <v>1798</v>
      </c>
      <c r="V366" s="287">
        <f t="shared" ca="1" si="102"/>
        <v>10</v>
      </c>
      <c r="W366" s="75">
        <f t="shared" ca="1" si="103"/>
        <v>15732.5</v>
      </c>
      <c r="X366" s="200">
        <f t="shared" ca="1" si="104"/>
        <v>114752.5</v>
      </c>
      <c r="Y366" s="1">
        <v>0.5</v>
      </c>
      <c r="Z366" s="1"/>
      <c r="AA366" s="219"/>
      <c r="AB366" s="302" t="s">
        <v>6512</v>
      </c>
      <c r="AC366" s="302"/>
      <c r="AD366" s="302"/>
      <c r="AE366" s="302"/>
      <c r="AF366">
        <f t="shared" si="98"/>
        <v>0</v>
      </c>
    </row>
    <row r="367" spans="1:32" ht="26.25" hidden="1" x14ac:dyDescent="0.25">
      <c r="A367" s="322" t="s">
        <v>1100</v>
      </c>
      <c r="B367" s="93" t="str">
        <f t="shared" si="100"/>
        <v>NO</v>
      </c>
      <c r="C367" s="93" t="s">
        <v>5503</v>
      </c>
      <c r="D367" s="4">
        <v>39156</v>
      </c>
      <c r="E367" s="2">
        <v>39234</v>
      </c>
      <c r="F367" s="2">
        <f t="shared" si="99"/>
        <v>42887</v>
      </c>
      <c r="G367" s="6">
        <v>158.91</v>
      </c>
      <c r="H367" s="7" t="s">
        <v>453</v>
      </c>
      <c r="I367" s="7" t="s">
        <v>86</v>
      </c>
      <c r="J367" s="109" t="s">
        <v>1097</v>
      </c>
      <c r="K367" s="266">
        <f t="shared" si="101"/>
        <v>2017</v>
      </c>
      <c r="L367" s="414"/>
      <c r="M367" s="414"/>
      <c r="N367" s="32" t="s">
        <v>1062</v>
      </c>
      <c r="O367" s="32" t="s">
        <v>1098</v>
      </c>
      <c r="P367" s="278" t="s">
        <v>1102</v>
      </c>
      <c r="Q367" s="233" t="s">
        <v>1101</v>
      </c>
      <c r="R367" s="75">
        <v>686.5</v>
      </c>
      <c r="S367" s="75">
        <v>25917</v>
      </c>
      <c r="T367" s="75">
        <v>26603.5</v>
      </c>
      <c r="U367" s="200">
        <v>318</v>
      </c>
      <c r="V367" s="287">
        <f t="shared" ca="1" si="102"/>
        <v>10</v>
      </c>
      <c r="W367" s="75">
        <f t="shared" ca="1" si="103"/>
        <v>2782.5</v>
      </c>
      <c r="X367" s="200">
        <f t="shared" ca="1" si="104"/>
        <v>29147.5</v>
      </c>
      <c r="Y367" s="1">
        <v>0.5</v>
      </c>
      <c r="Z367" s="1"/>
      <c r="AA367" s="219"/>
      <c r="AB367" s="302" t="s">
        <v>6513</v>
      </c>
      <c r="AC367" s="302"/>
      <c r="AD367" s="302"/>
      <c r="AE367" s="302"/>
      <c r="AF367">
        <f t="shared" si="98"/>
        <v>0</v>
      </c>
    </row>
    <row r="368" spans="1:32" ht="26.25" hidden="1" x14ac:dyDescent="0.25">
      <c r="A368" s="322" t="s">
        <v>1103</v>
      </c>
      <c r="B368" s="93" t="str">
        <f t="shared" si="100"/>
        <v>NO</v>
      </c>
      <c r="C368" s="93" t="s">
        <v>5503</v>
      </c>
      <c r="D368" s="4">
        <v>39156</v>
      </c>
      <c r="E368" s="2">
        <v>39234</v>
      </c>
      <c r="F368" s="2">
        <f t="shared" si="99"/>
        <v>42887</v>
      </c>
      <c r="G368" s="6">
        <v>160.13</v>
      </c>
      <c r="H368" s="7" t="s">
        <v>453</v>
      </c>
      <c r="I368" s="7" t="s">
        <v>86</v>
      </c>
      <c r="J368" s="109" t="s">
        <v>1097</v>
      </c>
      <c r="K368" s="266">
        <f t="shared" si="101"/>
        <v>2017</v>
      </c>
      <c r="L368" s="414"/>
      <c r="M368" s="414"/>
      <c r="N368" s="32" t="s">
        <v>1062</v>
      </c>
      <c r="O368" s="32" t="s">
        <v>1098</v>
      </c>
      <c r="P368" s="278" t="s">
        <v>1105</v>
      </c>
      <c r="Q368" s="233" t="s">
        <v>1104</v>
      </c>
      <c r="R368" s="75">
        <v>693.5</v>
      </c>
      <c r="S368" s="75">
        <v>18998</v>
      </c>
      <c r="T368" s="75">
        <v>19691.5</v>
      </c>
      <c r="U368" s="200">
        <v>322</v>
      </c>
      <c r="V368" s="287">
        <f t="shared" ca="1" si="102"/>
        <v>10</v>
      </c>
      <c r="W368" s="75">
        <f t="shared" ca="1" si="103"/>
        <v>2817.5</v>
      </c>
      <c r="X368" s="200">
        <f t="shared" ca="1" si="104"/>
        <v>22267.5</v>
      </c>
      <c r="Y368" s="1">
        <v>0.5</v>
      </c>
      <c r="Z368" s="1"/>
      <c r="AA368" s="219"/>
      <c r="AB368" s="302" t="s">
        <v>6514</v>
      </c>
      <c r="AC368" s="302"/>
      <c r="AD368" s="302"/>
      <c r="AE368" s="302"/>
      <c r="AF368">
        <f t="shared" si="98"/>
        <v>0</v>
      </c>
    </row>
    <row r="369" spans="1:32" ht="26.25" hidden="1" x14ac:dyDescent="0.25">
      <c r="A369" s="322" t="s">
        <v>1106</v>
      </c>
      <c r="B369" s="93" t="str">
        <f t="shared" si="100"/>
        <v>NO</v>
      </c>
      <c r="C369" s="93" t="s">
        <v>5503</v>
      </c>
      <c r="D369" s="4">
        <v>39156</v>
      </c>
      <c r="E369" s="2">
        <v>39234</v>
      </c>
      <c r="F369" s="2">
        <f t="shared" si="99"/>
        <v>42887</v>
      </c>
      <c r="G369" s="6">
        <v>356.16</v>
      </c>
      <c r="H369" s="7" t="s">
        <v>453</v>
      </c>
      <c r="I369" s="7" t="s">
        <v>86</v>
      </c>
      <c r="J369" s="109" t="s">
        <v>1097</v>
      </c>
      <c r="K369" s="266">
        <f t="shared" si="101"/>
        <v>2017</v>
      </c>
      <c r="L369" s="414"/>
      <c r="M369" s="414"/>
      <c r="N369" s="32" t="s">
        <v>1062</v>
      </c>
      <c r="O369" s="32" t="s">
        <v>1098</v>
      </c>
      <c r="P369" s="278" t="s">
        <v>1108</v>
      </c>
      <c r="Q369" s="233" t="s">
        <v>1107</v>
      </c>
      <c r="R369" s="75">
        <v>1379.5</v>
      </c>
      <c r="S369" s="75">
        <v>1428</v>
      </c>
      <c r="T369" s="75">
        <v>2807.5</v>
      </c>
      <c r="U369" s="200">
        <v>714</v>
      </c>
      <c r="V369" s="287">
        <f t="shared" ca="1" si="102"/>
        <v>10</v>
      </c>
      <c r="W369" s="75">
        <f t="shared" ca="1" si="103"/>
        <v>6247.5</v>
      </c>
      <c r="X369" s="200">
        <f t="shared" ca="1" si="104"/>
        <v>8519.5</v>
      </c>
      <c r="Y369" s="1">
        <v>0.5</v>
      </c>
      <c r="Z369" s="1"/>
      <c r="AA369" s="219"/>
      <c r="AB369" s="302" t="s">
        <v>6515</v>
      </c>
      <c r="AC369" s="302"/>
      <c r="AD369" s="302"/>
      <c r="AE369" s="302"/>
      <c r="AF369">
        <f t="shared" si="98"/>
        <v>0</v>
      </c>
    </row>
    <row r="370" spans="1:32" ht="26.25" hidden="1" x14ac:dyDescent="0.25">
      <c r="A370" s="322" t="s">
        <v>1109</v>
      </c>
      <c r="B370" s="93" t="str">
        <f t="shared" si="100"/>
        <v>NO</v>
      </c>
      <c r="C370" s="93" t="s">
        <v>5503</v>
      </c>
      <c r="D370" s="4">
        <v>39156</v>
      </c>
      <c r="E370" s="2">
        <v>39234</v>
      </c>
      <c r="F370" s="2">
        <f t="shared" si="99"/>
        <v>42887</v>
      </c>
      <c r="G370" s="6">
        <v>127.36</v>
      </c>
      <c r="H370" s="7" t="s">
        <v>453</v>
      </c>
      <c r="I370" s="7" t="s">
        <v>86</v>
      </c>
      <c r="J370" s="109" t="s">
        <v>1097</v>
      </c>
      <c r="K370" s="266">
        <f t="shared" si="101"/>
        <v>2017</v>
      </c>
      <c r="L370" s="414"/>
      <c r="M370" s="414"/>
      <c r="N370" s="32" t="s">
        <v>1062</v>
      </c>
      <c r="O370" s="32" t="s">
        <v>1098</v>
      </c>
      <c r="P370" s="278" t="s">
        <v>1111</v>
      </c>
      <c r="Q370" s="233" t="s">
        <v>1110</v>
      </c>
      <c r="R370" s="75">
        <v>578</v>
      </c>
      <c r="S370" s="75">
        <v>12544</v>
      </c>
      <c r="T370" s="75">
        <v>13122</v>
      </c>
      <c r="U370" s="200">
        <v>256</v>
      </c>
      <c r="V370" s="287">
        <f t="shared" ca="1" si="102"/>
        <v>10</v>
      </c>
      <c r="W370" s="75">
        <f t="shared" ca="1" si="103"/>
        <v>2240</v>
      </c>
      <c r="X370" s="200">
        <f t="shared" ca="1" si="104"/>
        <v>15170</v>
      </c>
      <c r="Y370" s="1">
        <v>0.5</v>
      </c>
      <c r="Z370" s="1"/>
      <c r="AA370" s="219"/>
      <c r="AB370" s="302" t="s">
        <v>6516</v>
      </c>
      <c r="AC370" s="302"/>
      <c r="AD370" s="302"/>
      <c r="AE370" s="302"/>
      <c r="AF370">
        <f t="shared" si="98"/>
        <v>0</v>
      </c>
    </row>
    <row r="371" spans="1:32" ht="26.25" hidden="1" x14ac:dyDescent="0.25">
      <c r="A371" s="322" t="s">
        <v>1112</v>
      </c>
      <c r="B371" s="93" t="str">
        <f t="shared" si="100"/>
        <v>NO</v>
      </c>
      <c r="C371" s="93" t="s">
        <v>5503</v>
      </c>
      <c r="D371" s="4">
        <v>39156</v>
      </c>
      <c r="E371" s="2">
        <v>39234</v>
      </c>
      <c r="F371" s="2">
        <f t="shared" si="99"/>
        <v>42887</v>
      </c>
      <c r="G371" s="6">
        <v>163.47</v>
      </c>
      <c r="H371" s="7" t="s">
        <v>453</v>
      </c>
      <c r="I371" s="7" t="s">
        <v>86</v>
      </c>
      <c r="J371" s="109" t="s">
        <v>1097</v>
      </c>
      <c r="K371" s="266">
        <f t="shared" si="101"/>
        <v>2017</v>
      </c>
      <c r="L371" s="414"/>
      <c r="M371" s="414"/>
      <c r="N371" s="32" t="s">
        <v>1062</v>
      </c>
      <c r="O371" s="32" t="s">
        <v>1098</v>
      </c>
      <c r="P371" s="278" t="s">
        <v>1114</v>
      </c>
      <c r="Q371" s="233" t="s">
        <v>1113</v>
      </c>
      <c r="R371" s="75">
        <v>704</v>
      </c>
      <c r="S371" s="75">
        <v>52152</v>
      </c>
      <c r="T371" s="75">
        <v>52856</v>
      </c>
      <c r="U371" s="200">
        <v>328</v>
      </c>
      <c r="V371" s="287">
        <f t="shared" ca="1" si="102"/>
        <v>10</v>
      </c>
      <c r="W371" s="75">
        <f t="shared" ca="1" si="103"/>
        <v>2870</v>
      </c>
      <c r="X371" s="200">
        <f t="shared" ca="1" si="104"/>
        <v>55480</v>
      </c>
      <c r="Y371" s="1">
        <v>0.5</v>
      </c>
      <c r="Z371" s="1"/>
      <c r="AA371" s="219"/>
      <c r="AB371" s="302" t="s">
        <v>6517</v>
      </c>
      <c r="AC371" s="302"/>
      <c r="AD371" s="302"/>
      <c r="AE371" s="302"/>
      <c r="AF371">
        <f t="shared" si="98"/>
        <v>0</v>
      </c>
    </row>
    <row r="372" spans="1:32" ht="26.25" hidden="1" x14ac:dyDescent="0.25">
      <c r="A372" s="322" t="s">
        <v>1115</v>
      </c>
      <c r="B372" s="93" t="str">
        <f t="shared" si="100"/>
        <v>NO</v>
      </c>
      <c r="C372" s="93" t="s">
        <v>5503</v>
      </c>
      <c r="D372" s="4">
        <v>39156</v>
      </c>
      <c r="E372" s="2">
        <v>39234</v>
      </c>
      <c r="F372" s="2">
        <f t="shared" si="99"/>
        <v>42887</v>
      </c>
      <c r="G372" s="6">
        <v>78.67</v>
      </c>
      <c r="H372" s="7" t="s">
        <v>453</v>
      </c>
      <c r="I372" s="7" t="s">
        <v>86</v>
      </c>
      <c r="J372" s="109" t="s">
        <v>1097</v>
      </c>
      <c r="K372" s="266">
        <f t="shared" si="101"/>
        <v>2017</v>
      </c>
      <c r="L372" s="414"/>
      <c r="M372" s="414"/>
      <c r="N372" s="32" t="s">
        <v>1062</v>
      </c>
      <c r="O372" s="32" t="s">
        <v>1117</v>
      </c>
      <c r="P372" s="278" t="s">
        <v>1118</v>
      </c>
      <c r="Q372" s="233" t="s">
        <v>1116</v>
      </c>
      <c r="R372" s="75">
        <v>406.5</v>
      </c>
      <c r="S372" s="75">
        <v>5372</v>
      </c>
      <c r="T372" s="75">
        <v>5778.5</v>
      </c>
      <c r="U372" s="200">
        <v>158</v>
      </c>
      <c r="V372" s="287">
        <f t="shared" ca="1" si="102"/>
        <v>10</v>
      </c>
      <c r="W372" s="75">
        <f t="shared" ca="1" si="103"/>
        <v>1382.5</v>
      </c>
      <c r="X372" s="200">
        <f t="shared" ca="1" si="104"/>
        <v>7042.5</v>
      </c>
      <c r="Y372" s="1">
        <v>0.5</v>
      </c>
      <c r="Z372" s="1"/>
      <c r="AA372" s="219"/>
      <c r="AB372" s="302" t="s">
        <v>6518</v>
      </c>
      <c r="AC372" s="302"/>
      <c r="AD372" s="302"/>
      <c r="AE372" s="302"/>
      <c r="AF372">
        <f t="shared" si="98"/>
        <v>0</v>
      </c>
    </row>
    <row r="373" spans="1:32" hidden="1" x14ac:dyDescent="0.25">
      <c r="A373" s="322" t="s">
        <v>1119</v>
      </c>
      <c r="B373" s="93" t="str">
        <f t="shared" si="100"/>
        <v>NO</v>
      </c>
      <c r="C373" s="93" t="s">
        <v>5503</v>
      </c>
      <c r="D373" s="4">
        <v>39156</v>
      </c>
      <c r="E373" s="2">
        <v>39234</v>
      </c>
      <c r="F373" s="2">
        <f t="shared" si="99"/>
        <v>42887</v>
      </c>
      <c r="G373" s="6">
        <v>359.38</v>
      </c>
      <c r="H373" s="7" t="s">
        <v>1121</v>
      </c>
      <c r="I373" s="7" t="s">
        <v>86</v>
      </c>
      <c r="J373" s="105" t="s">
        <v>5163</v>
      </c>
      <c r="K373" s="266">
        <f t="shared" si="101"/>
        <v>2017</v>
      </c>
      <c r="L373" s="412"/>
      <c r="M373" s="412"/>
      <c r="N373" s="32" t="s">
        <v>459</v>
      </c>
      <c r="O373" s="32" t="s">
        <v>1122</v>
      </c>
      <c r="P373" s="278" t="s">
        <v>1123</v>
      </c>
      <c r="Q373" s="233" t="s">
        <v>1120</v>
      </c>
      <c r="R373" s="75">
        <v>1390</v>
      </c>
      <c r="S373" s="75">
        <v>0</v>
      </c>
      <c r="T373" s="75">
        <v>1390</v>
      </c>
      <c r="U373" s="200">
        <v>720</v>
      </c>
      <c r="V373" s="287">
        <f t="shared" ca="1" si="102"/>
        <v>10</v>
      </c>
      <c r="W373" s="75">
        <f t="shared" ca="1" si="103"/>
        <v>6300</v>
      </c>
      <c r="X373" s="200">
        <f t="shared" ca="1" si="104"/>
        <v>7150</v>
      </c>
      <c r="Y373" s="1">
        <v>0.5</v>
      </c>
      <c r="Z373" s="1"/>
      <c r="AA373" s="219"/>
      <c r="AB373" s="302"/>
      <c r="AC373" s="302"/>
      <c r="AD373" s="302"/>
      <c r="AE373" s="302"/>
      <c r="AF373">
        <f t="shared" si="98"/>
        <v>0</v>
      </c>
    </row>
    <row r="374" spans="1:32" hidden="1" x14ac:dyDescent="0.25">
      <c r="A374" s="322" t="s">
        <v>1124</v>
      </c>
      <c r="B374" s="93" t="str">
        <f t="shared" si="100"/>
        <v>NO</v>
      </c>
      <c r="C374" s="93" t="s">
        <v>5503</v>
      </c>
      <c r="D374" s="4">
        <v>39156</v>
      </c>
      <c r="E374" s="2">
        <v>39234</v>
      </c>
      <c r="F374" s="2">
        <f t="shared" si="99"/>
        <v>42887</v>
      </c>
      <c r="G374" s="6">
        <v>400</v>
      </c>
      <c r="H374" s="7" t="s">
        <v>1121</v>
      </c>
      <c r="I374" s="7" t="s">
        <v>86</v>
      </c>
      <c r="J374" s="105" t="s">
        <v>5163</v>
      </c>
      <c r="K374" s="266">
        <f t="shared" si="101"/>
        <v>2017</v>
      </c>
      <c r="L374" s="412"/>
      <c r="M374" s="412"/>
      <c r="N374" s="32" t="s">
        <v>459</v>
      </c>
      <c r="O374" s="32" t="s">
        <v>1122</v>
      </c>
      <c r="P374" s="278" t="s">
        <v>1126</v>
      </c>
      <c r="Q374" s="233" t="s">
        <v>1125</v>
      </c>
      <c r="R374" s="75">
        <v>1530</v>
      </c>
      <c r="S374" s="75">
        <v>0</v>
      </c>
      <c r="T374" s="75">
        <v>1530</v>
      </c>
      <c r="U374" s="200">
        <v>800</v>
      </c>
      <c r="V374" s="287">
        <f t="shared" ca="1" si="102"/>
        <v>10</v>
      </c>
      <c r="W374" s="75">
        <f t="shared" ca="1" si="103"/>
        <v>7000</v>
      </c>
      <c r="X374" s="200">
        <f t="shared" ca="1" si="104"/>
        <v>7930</v>
      </c>
      <c r="Y374" s="1">
        <v>0.5</v>
      </c>
      <c r="Z374" s="1"/>
      <c r="AA374" s="219"/>
      <c r="AB374" s="302"/>
      <c r="AC374" s="302"/>
      <c r="AD374" s="302"/>
      <c r="AE374" s="302"/>
      <c r="AF374">
        <f t="shared" si="98"/>
        <v>0</v>
      </c>
    </row>
    <row r="375" spans="1:32" ht="26.25" hidden="1" x14ac:dyDescent="0.25">
      <c r="A375" s="322" t="s">
        <v>1127</v>
      </c>
      <c r="B375" s="93" t="str">
        <f t="shared" si="100"/>
        <v>NO</v>
      </c>
      <c r="C375" s="93" t="s">
        <v>5503</v>
      </c>
      <c r="D375" s="4">
        <v>39156</v>
      </c>
      <c r="E375" s="2">
        <v>39234</v>
      </c>
      <c r="F375" s="2">
        <f t="shared" si="99"/>
        <v>42887</v>
      </c>
      <c r="G375" s="6">
        <v>549.6</v>
      </c>
      <c r="H375" s="7" t="s">
        <v>376</v>
      </c>
      <c r="I375" s="7" t="s">
        <v>86</v>
      </c>
      <c r="J375" s="105" t="s">
        <v>5163</v>
      </c>
      <c r="K375" s="266">
        <f t="shared" si="101"/>
        <v>2017</v>
      </c>
      <c r="L375" s="412"/>
      <c r="M375" s="412"/>
      <c r="N375" s="32" t="s">
        <v>459</v>
      </c>
      <c r="O375" s="32" t="s">
        <v>1122</v>
      </c>
      <c r="P375" s="278" t="s">
        <v>1129</v>
      </c>
      <c r="Q375" s="233" t="s">
        <v>1128</v>
      </c>
      <c r="R375" s="75">
        <v>2055</v>
      </c>
      <c r="S375" s="75">
        <v>0</v>
      </c>
      <c r="T375" s="75">
        <v>2055</v>
      </c>
      <c r="U375" s="200">
        <v>1100</v>
      </c>
      <c r="V375" s="287">
        <f t="shared" ca="1" si="102"/>
        <v>10</v>
      </c>
      <c r="W375" s="75">
        <f t="shared" ca="1" si="103"/>
        <v>9625</v>
      </c>
      <c r="X375" s="200">
        <f t="shared" ca="1" si="104"/>
        <v>10855</v>
      </c>
      <c r="Y375" s="1">
        <v>0.5</v>
      </c>
      <c r="Z375" s="1"/>
      <c r="AA375" s="219"/>
      <c r="AB375" s="302"/>
      <c r="AC375" s="302"/>
      <c r="AD375" s="302"/>
      <c r="AE375" s="302"/>
      <c r="AF375">
        <f t="shared" si="98"/>
        <v>0</v>
      </c>
    </row>
    <row r="376" spans="1:32" ht="39" hidden="1" x14ac:dyDescent="0.25">
      <c r="A376" s="322" t="s">
        <v>1130</v>
      </c>
      <c r="B376" s="93" t="str">
        <f t="shared" si="100"/>
        <v>NO</v>
      </c>
      <c r="C376" s="93" t="s">
        <v>5503</v>
      </c>
      <c r="D376" s="4">
        <v>39156</v>
      </c>
      <c r="E376" s="2">
        <v>39234</v>
      </c>
      <c r="F376" s="2">
        <f t="shared" si="99"/>
        <v>42887</v>
      </c>
      <c r="G376" s="6">
        <v>478.69</v>
      </c>
      <c r="H376" s="7" t="s">
        <v>376</v>
      </c>
      <c r="I376" s="7" t="s">
        <v>86</v>
      </c>
      <c r="J376" s="105" t="s">
        <v>5163</v>
      </c>
      <c r="K376" s="266">
        <f t="shared" si="101"/>
        <v>2017</v>
      </c>
      <c r="L376" s="412"/>
      <c r="M376" s="412"/>
      <c r="N376" s="32" t="s">
        <v>459</v>
      </c>
      <c r="O376" s="32" t="s">
        <v>1122</v>
      </c>
      <c r="P376" s="278" t="s">
        <v>1132</v>
      </c>
      <c r="Q376" s="233" t="s">
        <v>1131</v>
      </c>
      <c r="R376" s="75">
        <v>1806.5</v>
      </c>
      <c r="S376" s="75">
        <v>0</v>
      </c>
      <c r="T376" s="75">
        <v>1806.5</v>
      </c>
      <c r="U376" s="200">
        <v>958</v>
      </c>
      <c r="V376" s="287">
        <f t="shared" ca="1" si="102"/>
        <v>10</v>
      </c>
      <c r="W376" s="75">
        <f t="shared" ca="1" si="103"/>
        <v>8382.5</v>
      </c>
      <c r="X376" s="200">
        <f t="shared" ca="1" si="104"/>
        <v>9470.5</v>
      </c>
      <c r="Y376" s="1">
        <v>0.5</v>
      </c>
      <c r="Z376" s="1"/>
      <c r="AA376" s="219"/>
      <c r="AB376" s="302"/>
      <c r="AC376" s="302"/>
      <c r="AD376" s="302"/>
      <c r="AE376" s="302"/>
      <c r="AF376">
        <f t="shared" si="98"/>
        <v>0</v>
      </c>
    </row>
    <row r="377" spans="1:32" hidden="1" x14ac:dyDescent="0.25">
      <c r="A377" s="322" t="s">
        <v>1133</v>
      </c>
      <c r="B377" s="93" t="str">
        <f t="shared" si="100"/>
        <v>NO</v>
      </c>
      <c r="C377" s="93" t="s">
        <v>5503</v>
      </c>
      <c r="D377" s="4">
        <v>39156</v>
      </c>
      <c r="E377" s="2">
        <v>39234</v>
      </c>
      <c r="F377" s="2">
        <f t="shared" si="99"/>
        <v>42887</v>
      </c>
      <c r="G377" s="6">
        <v>645.6</v>
      </c>
      <c r="H377" s="7" t="s">
        <v>376</v>
      </c>
      <c r="I377" s="7" t="s">
        <v>86</v>
      </c>
      <c r="J377" s="105" t="s">
        <v>5163</v>
      </c>
      <c r="K377" s="266">
        <f t="shared" si="101"/>
        <v>2017</v>
      </c>
      <c r="L377" s="412"/>
      <c r="M377" s="412"/>
      <c r="N377" s="32" t="s">
        <v>459</v>
      </c>
      <c r="O377" s="32" t="s">
        <v>1122</v>
      </c>
      <c r="P377" s="278" t="s">
        <v>114</v>
      </c>
      <c r="Q377" s="233" t="s">
        <v>1134</v>
      </c>
      <c r="R377" s="75">
        <v>2391</v>
      </c>
      <c r="S377" s="75">
        <v>0</v>
      </c>
      <c r="T377" s="75">
        <v>2391</v>
      </c>
      <c r="U377" s="200">
        <v>1292</v>
      </c>
      <c r="V377" s="287">
        <f t="shared" ca="1" si="102"/>
        <v>10</v>
      </c>
      <c r="W377" s="75">
        <f t="shared" ca="1" si="103"/>
        <v>11305</v>
      </c>
      <c r="X377" s="200">
        <f t="shared" ca="1" si="104"/>
        <v>12727</v>
      </c>
      <c r="Y377" s="1">
        <v>0.5</v>
      </c>
      <c r="Z377" s="1"/>
      <c r="AA377" s="219"/>
      <c r="AB377" s="302"/>
      <c r="AC377" s="302"/>
      <c r="AD377" s="302"/>
      <c r="AE377" s="302"/>
      <c r="AF377">
        <f t="shared" si="98"/>
        <v>0</v>
      </c>
    </row>
    <row r="378" spans="1:32" hidden="1" x14ac:dyDescent="0.25">
      <c r="A378" s="322" t="s">
        <v>1135</v>
      </c>
      <c r="B378" s="93" t="str">
        <f t="shared" ref="B378:B409" si="105">IF(COUNTIF(GIS,A380),"YES","NO")</f>
        <v>NO</v>
      </c>
      <c r="C378" s="93" t="s">
        <v>5503</v>
      </c>
      <c r="D378" s="4">
        <v>39156</v>
      </c>
      <c r="E378" s="2">
        <v>39234</v>
      </c>
      <c r="F378" s="2">
        <f t="shared" si="99"/>
        <v>42887</v>
      </c>
      <c r="G378" s="6">
        <v>323.12</v>
      </c>
      <c r="H378" s="7" t="s">
        <v>376</v>
      </c>
      <c r="I378" s="7" t="s">
        <v>86</v>
      </c>
      <c r="J378" s="105" t="s">
        <v>5163</v>
      </c>
      <c r="K378" s="266">
        <f t="shared" ref="K378:K409" si="106">YEAR(F378)</f>
        <v>2017</v>
      </c>
      <c r="L378" s="412"/>
      <c r="M378" s="412"/>
      <c r="N378" s="32" t="s">
        <v>459</v>
      </c>
      <c r="O378" s="32" t="s">
        <v>1122</v>
      </c>
      <c r="P378" s="278" t="s">
        <v>1137</v>
      </c>
      <c r="Q378" s="233" t="s">
        <v>1136</v>
      </c>
      <c r="R378" s="75">
        <v>1264</v>
      </c>
      <c r="S378" s="75">
        <v>0</v>
      </c>
      <c r="T378" s="75">
        <v>1264</v>
      </c>
      <c r="U378" s="200">
        <v>648</v>
      </c>
      <c r="V378" s="287">
        <f t="shared" ref="V378:V409" ca="1" si="107">IF(YEAR($W$3)-YEAR(E378)&gt;9,10,IF(MONTH($W$3)&lt;MONTH(E378),YEAR($W$3)-YEAR(E378),YEAR($W$3)-YEAR(E378)+1))</f>
        <v>10</v>
      </c>
      <c r="W378" s="75">
        <f t="shared" ref="W378:W409" ca="1" si="108">IF(V378&lt;6, ROUNDUP(G378,0)*$W$6*V378, ROUNDUP(G378,0)*($W$6*5 + (V378-5)*$W$7))</f>
        <v>5670</v>
      </c>
      <c r="X378" s="200">
        <f t="shared" ca="1" si="104"/>
        <v>6448</v>
      </c>
      <c r="Y378" s="1">
        <v>0.5</v>
      </c>
      <c r="Z378" s="1"/>
      <c r="AA378" s="219"/>
      <c r="AB378" s="302"/>
      <c r="AC378" s="302"/>
      <c r="AD378" s="302"/>
      <c r="AE378" s="302"/>
      <c r="AF378">
        <f t="shared" si="98"/>
        <v>0</v>
      </c>
    </row>
    <row r="379" spans="1:32" ht="39" hidden="1" x14ac:dyDescent="0.25">
      <c r="A379" s="322" t="s">
        <v>1138</v>
      </c>
      <c r="B379" s="93" t="str">
        <f t="shared" si="105"/>
        <v>NO</v>
      </c>
      <c r="C379" s="93" t="s">
        <v>5503</v>
      </c>
      <c r="D379" s="4">
        <v>39156</v>
      </c>
      <c r="E379" s="2">
        <v>39234</v>
      </c>
      <c r="F379" s="2">
        <f t="shared" si="99"/>
        <v>42887</v>
      </c>
      <c r="G379" s="6">
        <v>419.03</v>
      </c>
      <c r="H379" s="7" t="s">
        <v>376</v>
      </c>
      <c r="I379" s="7" t="s">
        <v>86</v>
      </c>
      <c r="J379" s="105" t="s">
        <v>5163</v>
      </c>
      <c r="K379" s="266">
        <f t="shared" si="106"/>
        <v>2017</v>
      </c>
      <c r="L379" s="412"/>
      <c r="M379" s="412"/>
      <c r="N379" s="32" t="s">
        <v>459</v>
      </c>
      <c r="O379" s="32" t="s">
        <v>1122</v>
      </c>
      <c r="P379" s="278" t="s">
        <v>1140</v>
      </c>
      <c r="Q379" s="233" t="s">
        <v>1139</v>
      </c>
      <c r="R379" s="75">
        <v>1600</v>
      </c>
      <c r="S379" s="75">
        <v>0</v>
      </c>
      <c r="T379" s="75">
        <v>1600</v>
      </c>
      <c r="U379" s="200">
        <v>840</v>
      </c>
      <c r="V379" s="287">
        <f t="shared" ca="1" si="107"/>
        <v>10</v>
      </c>
      <c r="W379" s="75">
        <f t="shared" ca="1" si="108"/>
        <v>7350</v>
      </c>
      <c r="X379" s="200">
        <f t="shared" ca="1" si="104"/>
        <v>8320</v>
      </c>
      <c r="Y379" s="1">
        <v>0.5</v>
      </c>
      <c r="Z379" s="1"/>
      <c r="AA379" s="219"/>
      <c r="AB379" s="302"/>
      <c r="AC379" s="302"/>
      <c r="AD379" s="302"/>
      <c r="AE379" s="302"/>
      <c r="AF379">
        <f t="shared" si="98"/>
        <v>0</v>
      </c>
    </row>
    <row r="380" spans="1:32" hidden="1" x14ac:dyDescent="0.25">
      <c r="A380" s="322" t="s">
        <v>1141</v>
      </c>
      <c r="B380" s="93" t="str">
        <f t="shared" si="105"/>
        <v>NO</v>
      </c>
      <c r="C380" s="93" t="s">
        <v>5503</v>
      </c>
      <c r="D380" s="4">
        <v>39156</v>
      </c>
      <c r="E380" s="2">
        <v>39234</v>
      </c>
      <c r="F380" s="2">
        <f t="shared" si="99"/>
        <v>42887</v>
      </c>
      <c r="G380" s="6">
        <v>319.8</v>
      </c>
      <c r="H380" s="7" t="s">
        <v>376</v>
      </c>
      <c r="I380" s="7" t="s">
        <v>86</v>
      </c>
      <c r="J380" s="105" t="s">
        <v>5163</v>
      </c>
      <c r="K380" s="266">
        <f t="shared" si="106"/>
        <v>2017</v>
      </c>
      <c r="L380" s="412"/>
      <c r="M380" s="412"/>
      <c r="N380" s="32" t="s">
        <v>459</v>
      </c>
      <c r="O380" s="32" t="s">
        <v>1122</v>
      </c>
      <c r="P380" s="278" t="s">
        <v>1143</v>
      </c>
      <c r="Q380" s="233" t="s">
        <v>1142</v>
      </c>
      <c r="R380" s="75">
        <v>1250</v>
      </c>
      <c r="S380" s="75">
        <v>0</v>
      </c>
      <c r="T380" s="75">
        <v>1250</v>
      </c>
      <c r="U380" s="200">
        <v>640</v>
      </c>
      <c r="V380" s="287">
        <f t="shared" ca="1" si="107"/>
        <v>10</v>
      </c>
      <c r="W380" s="75">
        <f t="shared" ca="1" si="108"/>
        <v>5600</v>
      </c>
      <c r="X380" s="200">
        <f t="shared" ca="1" si="104"/>
        <v>6370</v>
      </c>
      <c r="Y380" s="1">
        <v>0.5</v>
      </c>
      <c r="Z380" s="1"/>
      <c r="AA380" s="219"/>
      <c r="AB380" s="302"/>
      <c r="AC380" s="302"/>
      <c r="AD380" s="302"/>
      <c r="AE380" s="302"/>
      <c r="AF380">
        <f t="shared" si="98"/>
        <v>0</v>
      </c>
    </row>
    <row r="381" spans="1:32" ht="39" hidden="1" x14ac:dyDescent="0.25">
      <c r="A381" s="322" t="s">
        <v>1144</v>
      </c>
      <c r="B381" s="93" t="str">
        <f t="shared" si="105"/>
        <v>NO</v>
      </c>
      <c r="C381" s="93" t="s">
        <v>5503</v>
      </c>
      <c r="D381" s="4">
        <v>39156</v>
      </c>
      <c r="E381" s="2">
        <v>39234</v>
      </c>
      <c r="F381" s="2">
        <f t="shared" si="99"/>
        <v>42887</v>
      </c>
      <c r="G381" s="6">
        <v>610</v>
      </c>
      <c r="H381" s="7" t="s">
        <v>1121</v>
      </c>
      <c r="I381" s="7" t="s">
        <v>86</v>
      </c>
      <c r="J381" s="105" t="s">
        <v>5163</v>
      </c>
      <c r="K381" s="266">
        <f t="shared" si="106"/>
        <v>2017</v>
      </c>
      <c r="L381" s="412"/>
      <c r="M381" s="412"/>
      <c r="N381" s="32" t="s">
        <v>459</v>
      </c>
      <c r="O381" s="32" t="s">
        <v>1122</v>
      </c>
      <c r="P381" s="278" t="s">
        <v>1146</v>
      </c>
      <c r="Q381" s="233" t="s">
        <v>1145</v>
      </c>
      <c r="R381" s="75">
        <v>2265</v>
      </c>
      <c r="S381" s="75">
        <v>0</v>
      </c>
      <c r="T381" s="75">
        <v>2265</v>
      </c>
      <c r="U381" s="200">
        <v>1220</v>
      </c>
      <c r="V381" s="287">
        <f t="shared" ca="1" si="107"/>
        <v>10</v>
      </c>
      <c r="W381" s="75">
        <f t="shared" ca="1" si="108"/>
        <v>10675</v>
      </c>
      <c r="X381" s="200">
        <f t="shared" ca="1" si="104"/>
        <v>12025</v>
      </c>
      <c r="Y381" s="1">
        <v>0.5</v>
      </c>
      <c r="Z381" s="1"/>
      <c r="AA381" s="219"/>
      <c r="AB381" s="302"/>
      <c r="AC381" s="302"/>
      <c r="AD381" s="302"/>
      <c r="AE381" s="302"/>
      <c r="AF381">
        <f t="shared" si="98"/>
        <v>0</v>
      </c>
    </row>
    <row r="382" spans="1:32" hidden="1" x14ac:dyDescent="0.25">
      <c r="A382" s="322" t="s">
        <v>1147</v>
      </c>
      <c r="B382" s="93" t="str">
        <f t="shared" si="105"/>
        <v>NO</v>
      </c>
      <c r="C382" s="93" t="s">
        <v>5503</v>
      </c>
      <c r="D382" s="4">
        <v>39156</v>
      </c>
      <c r="E382" s="2">
        <v>39234</v>
      </c>
      <c r="F382" s="2">
        <f t="shared" si="99"/>
        <v>42887</v>
      </c>
      <c r="G382" s="6">
        <v>280.10000000000002</v>
      </c>
      <c r="H382" s="7" t="s">
        <v>1121</v>
      </c>
      <c r="I382" s="7" t="s">
        <v>86</v>
      </c>
      <c r="J382" s="105" t="s">
        <v>5163</v>
      </c>
      <c r="K382" s="266">
        <f t="shared" si="106"/>
        <v>2017</v>
      </c>
      <c r="L382" s="412"/>
      <c r="M382" s="412"/>
      <c r="N382" s="32" t="s">
        <v>459</v>
      </c>
      <c r="O382" s="32" t="s">
        <v>1122</v>
      </c>
      <c r="P382" s="278" t="s">
        <v>1149</v>
      </c>
      <c r="Q382" s="233" t="s">
        <v>1148</v>
      </c>
      <c r="R382" s="75">
        <v>1113.5</v>
      </c>
      <c r="S382" s="75">
        <v>0</v>
      </c>
      <c r="T382" s="75">
        <v>1113.5</v>
      </c>
      <c r="U382" s="200">
        <v>562</v>
      </c>
      <c r="V382" s="287">
        <f t="shared" ca="1" si="107"/>
        <v>10</v>
      </c>
      <c r="W382" s="75">
        <f t="shared" ca="1" si="108"/>
        <v>4917.5</v>
      </c>
      <c r="X382" s="200">
        <f t="shared" ca="1" si="104"/>
        <v>5609.5</v>
      </c>
      <c r="Y382" s="1">
        <v>0.5</v>
      </c>
      <c r="Z382" s="1"/>
      <c r="AA382" s="219"/>
      <c r="AB382" s="302"/>
      <c r="AC382" s="302"/>
      <c r="AD382" s="302"/>
      <c r="AE382" s="302"/>
      <c r="AF382">
        <f t="shared" si="98"/>
        <v>0</v>
      </c>
    </row>
    <row r="383" spans="1:32" hidden="1" x14ac:dyDescent="0.25">
      <c r="A383" s="322" t="s">
        <v>1150</v>
      </c>
      <c r="B383" s="93" t="str">
        <f t="shared" si="105"/>
        <v>NO</v>
      </c>
      <c r="C383" s="93" t="s">
        <v>5503</v>
      </c>
      <c r="D383" s="4">
        <v>39156</v>
      </c>
      <c r="E383" s="2">
        <v>39234</v>
      </c>
      <c r="F383" s="2">
        <f t="shared" si="99"/>
        <v>42887</v>
      </c>
      <c r="G383" s="6">
        <v>240.24</v>
      </c>
      <c r="H383" s="7" t="s">
        <v>376</v>
      </c>
      <c r="I383" s="7" t="s">
        <v>86</v>
      </c>
      <c r="J383" s="105" t="s">
        <v>5163</v>
      </c>
      <c r="K383" s="266">
        <f t="shared" si="106"/>
        <v>2017</v>
      </c>
      <c r="L383" s="412"/>
      <c r="M383" s="412"/>
      <c r="N383" s="32" t="s">
        <v>459</v>
      </c>
      <c r="O383" s="32" t="s">
        <v>1122</v>
      </c>
      <c r="P383" s="278" t="s">
        <v>1152</v>
      </c>
      <c r="Q383" s="233" t="s">
        <v>1151</v>
      </c>
      <c r="R383" s="75">
        <v>973.5</v>
      </c>
      <c r="S383" s="75">
        <v>0</v>
      </c>
      <c r="T383" s="75">
        <v>973.5</v>
      </c>
      <c r="U383" s="200">
        <v>482</v>
      </c>
      <c r="V383" s="287">
        <f t="shared" ca="1" si="107"/>
        <v>10</v>
      </c>
      <c r="W383" s="75">
        <f t="shared" ca="1" si="108"/>
        <v>4217.5</v>
      </c>
      <c r="X383" s="200">
        <f t="shared" ca="1" si="104"/>
        <v>4829.5</v>
      </c>
      <c r="Y383" s="1">
        <v>0.5</v>
      </c>
      <c r="Z383" s="1"/>
      <c r="AA383" s="219"/>
      <c r="AB383" s="302"/>
      <c r="AC383" s="302"/>
      <c r="AD383" s="302"/>
      <c r="AE383" s="302"/>
      <c r="AF383">
        <f t="shared" si="98"/>
        <v>0</v>
      </c>
    </row>
    <row r="384" spans="1:32" hidden="1" x14ac:dyDescent="0.25">
      <c r="A384" s="322" t="s">
        <v>1153</v>
      </c>
      <c r="B384" s="93" t="str">
        <f t="shared" si="105"/>
        <v>NO</v>
      </c>
      <c r="C384" s="93" t="s">
        <v>5503</v>
      </c>
      <c r="D384" s="4">
        <v>39156</v>
      </c>
      <c r="E384" s="2">
        <v>39234</v>
      </c>
      <c r="F384" s="2">
        <f t="shared" si="99"/>
        <v>42887</v>
      </c>
      <c r="G384" s="6">
        <v>646.79999999999995</v>
      </c>
      <c r="H384" s="7" t="s">
        <v>376</v>
      </c>
      <c r="I384" s="7" t="s">
        <v>86</v>
      </c>
      <c r="J384" s="105" t="s">
        <v>5163</v>
      </c>
      <c r="K384" s="266">
        <f t="shared" si="106"/>
        <v>2017</v>
      </c>
      <c r="L384" s="412"/>
      <c r="M384" s="412"/>
      <c r="N384" s="32" t="s">
        <v>459</v>
      </c>
      <c r="O384" s="32" t="s">
        <v>1122</v>
      </c>
      <c r="P384" s="278" t="s">
        <v>807</v>
      </c>
      <c r="Q384" s="233" t="s">
        <v>1154</v>
      </c>
      <c r="R384" s="75">
        <v>2394.5</v>
      </c>
      <c r="S384" s="75">
        <v>0</v>
      </c>
      <c r="T384" s="75">
        <v>2394.5</v>
      </c>
      <c r="U384" s="200">
        <v>1294</v>
      </c>
      <c r="V384" s="287">
        <f t="shared" ca="1" si="107"/>
        <v>10</v>
      </c>
      <c r="W384" s="75">
        <f t="shared" ca="1" si="108"/>
        <v>11322.5</v>
      </c>
      <c r="X384" s="200">
        <f t="shared" ca="1" si="104"/>
        <v>12746.5</v>
      </c>
      <c r="Y384" s="1">
        <v>0.5</v>
      </c>
      <c r="Z384" s="1"/>
      <c r="AA384" s="219"/>
      <c r="AB384" s="302"/>
      <c r="AC384" s="302"/>
      <c r="AD384" s="302"/>
      <c r="AE384" s="302"/>
      <c r="AF384">
        <f t="shared" si="98"/>
        <v>0</v>
      </c>
    </row>
    <row r="385" spans="1:32" hidden="1" x14ac:dyDescent="0.25">
      <c r="A385" s="322" t="s">
        <v>1155</v>
      </c>
      <c r="B385" s="93" t="str">
        <f t="shared" si="105"/>
        <v>NO</v>
      </c>
      <c r="C385" s="93" t="s">
        <v>5503</v>
      </c>
      <c r="D385" s="4">
        <v>39156</v>
      </c>
      <c r="E385" s="2">
        <v>39234</v>
      </c>
      <c r="F385" s="2">
        <f t="shared" si="99"/>
        <v>42887</v>
      </c>
      <c r="G385" s="6">
        <v>606.75</v>
      </c>
      <c r="H385" s="7" t="s">
        <v>376</v>
      </c>
      <c r="I385" s="7" t="s">
        <v>86</v>
      </c>
      <c r="J385" s="105" t="s">
        <v>5163</v>
      </c>
      <c r="K385" s="266">
        <f t="shared" si="106"/>
        <v>2017</v>
      </c>
      <c r="L385" s="412"/>
      <c r="M385" s="412"/>
      <c r="N385" s="32" t="s">
        <v>459</v>
      </c>
      <c r="O385" s="32" t="s">
        <v>1122</v>
      </c>
      <c r="P385" s="278" t="s">
        <v>1157</v>
      </c>
      <c r="Q385" s="233" t="s">
        <v>1156</v>
      </c>
      <c r="R385" s="75">
        <v>2254.5</v>
      </c>
      <c r="S385" s="75">
        <v>0</v>
      </c>
      <c r="T385" s="75">
        <v>2254.5</v>
      </c>
      <c r="U385" s="200">
        <v>1214</v>
      </c>
      <c r="V385" s="287">
        <f t="shared" ca="1" si="107"/>
        <v>10</v>
      </c>
      <c r="W385" s="75">
        <f t="shared" ca="1" si="108"/>
        <v>10622.5</v>
      </c>
      <c r="X385" s="200">
        <f t="shared" ca="1" si="104"/>
        <v>11966.5</v>
      </c>
      <c r="Y385" s="1">
        <v>0.5</v>
      </c>
      <c r="Z385" s="1"/>
      <c r="AA385" s="219"/>
      <c r="AB385" s="302"/>
      <c r="AC385" s="302"/>
      <c r="AD385" s="302"/>
      <c r="AE385" s="302"/>
      <c r="AF385">
        <f t="shared" si="98"/>
        <v>0</v>
      </c>
    </row>
    <row r="386" spans="1:32" ht="26.25" hidden="1" x14ac:dyDescent="0.25">
      <c r="A386" s="322" t="s">
        <v>1158</v>
      </c>
      <c r="B386" s="93" t="str">
        <f t="shared" si="105"/>
        <v>NO</v>
      </c>
      <c r="C386" s="93" t="s">
        <v>5503</v>
      </c>
      <c r="D386" s="4">
        <v>39156</v>
      </c>
      <c r="E386" s="2">
        <v>39234</v>
      </c>
      <c r="F386" s="2">
        <f t="shared" si="99"/>
        <v>42887</v>
      </c>
      <c r="G386" s="6">
        <v>521.16999999999996</v>
      </c>
      <c r="H386" s="7" t="s">
        <v>376</v>
      </c>
      <c r="I386" s="7" t="s">
        <v>86</v>
      </c>
      <c r="J386" s="105" t="s">
        <v>5163</v>
      </c>
      <c r="K386" s="266">
        <f t="shared" si="106"/>
        <v>2017</v>
      </c>
      <c r="L386" s="412"/>
      <c r="M386" s="412"/>
      <c r="N386" s="32" t="s">
        <v>459</v>
      </c>
      <c r="O386" s="32" t="s">
        <v>1122</v>
      </c>
      <c r="P386" s="278" t="s">
        <v>1160</v>
      </c>
      <c r="Q386" s="233" t="s">
        <v>1159</v>
      </c>
      <c r="R386" s="75">
        <v>1957</v>
      </c>
      <c r="S386" s="75">
        <v>0</v>
      </c>
      <c r="T386" s="75">
        <v>1957</v>
      </c>
      <c r="U386" s="200">
        <v>1044</v>
      </c>
      <c r="V386" s="287">
        <f t="shared" ca="1" si="107"/>
        <v>10</v>
      </c>
      <c r="W386" s="75">
        <f t="shared" ca="1" si="108"/>
        <v>9135</v>
      </c>
      <c r="X386" s="200">
        <f t="shared" ca="1" si="104"/>
        <v>10309</v>
      </c>
      <c r="Y386" s="1">
        <v>0.5</v>
      </c>
      <c r="Z386" s="1"/>
      <c r="AA386" s="219"/>
      <c r="AB386" s="302"/>
      <c r="AC386" s="302"/>
      <c r="AD386" s="302"/>
      <c r="AE386" s="302"/>
      <c r="AF386">
        <f t="shared" si="98"/>
        <v>0</v>
      </c>
    </row>
    <row r="387" spans="1:32" hidden="1" x14ac:dyDescent="0.25">
      <c r="A387" s="322" t="s">
        <v>1161</v>
      </c>
      <c r="B387" s="93" t="str">
        <f t="shared" si="105"/>
        <v>NO</v>
      </c>
      <c r="C387" s="93" t="s">
        <v>5503</v>
      </c>
      <c r="D387" s="4">
        <v>39156</v>
      </c>
      <c r="E387" s="2">
        <v>39234</v>
      </c>
      <c r="F387" s="2">
        <f t="shared" si="99"/>
        <v>42887</v>
      </c>
      <c r="G387" s="6">
        <v>240</v>
      </c>
      <c r="H387" s="7" t="s">
        <v>1121</v>
      </c>
      <c r="I387" s="7" t="s">
        <v>86</v>
      </c>
      <c r="J387" s="105" t="s">
        <v>5163</v>
      </c>
      <c r="K387" s="266">
        <f t="shared" si="106"/>
        <v>2017</v>
      </c>
      <c r="L387" s="412"/>
      <c r="M387" s="412"/>
      <c r="N387" s="32" t="s">
        <v>459</v>
      </c>
      <c r="O387" s="32" t="s">
        <v>1122</v>
      </c>
      <c r="P387" s="278" t="s">
        <v>1163</v>
      </c>
      <c r="Q387" s="233" t="s">
        <v>1162</v>
      </c>
      <c r="R387" s="75">
        <v>970</v>
      </c>
      <c r="S387" s="75">
        <v>0</v>
      </c>
      <c r="T387" s="75">
        <v>970</v>
      </c>
      <c r="U387" s="200">
        <v>480</v>
      </c>
      <c r="V387" s="287">
        <f t="shared" ca="1" si="107"/>
        <v>10</v>
      </c>
      <c r="W387" s="75">
        <f t="shared" ca="1" si="108"/>
        <v>4200</v>
      </c>
      <c r="X387" s="200">
        <f t="shared" ca="1" si="104"/>
        <v>4810</v>
      </c>
      <c r="Y387" s="1">
        <v>0.5</v>
      </c>
      <c r="Z387" s="1"/>
      <c r="AA387" s="219"/>
      <c r="AB387" s="302"/>
      <c r="AC387" s="302"/>
      <c r="AD387" s="302"/>
      <c r="AE387" s="302"/>
      <c r="AF387">
        <f t="shared" si="98"/>
        <v>0</v>
      </c>
    </row>
    <row r="388" spans="1:32" hidden="1" x14ac:dyDescent="0.25">
      <c r="A388" s="322" t="s">
        <v>1164</v>
      </c>
      <c r="B388" s="93" t="str">
        <f t="shared" si="105"/>
        <v>NO</v>
      </c>
      <c r="C388" s="93" t="s">
        <v>5503</v>
      </c>
      <c r="D388" s="4">
        <v>39156</v>
      </c>
      <c r="E388" s="2">
        <v>39234</v>
      </c>
      <c r="F388" s="2">
        <f t="shared" si="99"/>
        <v>42887</v>
      </c>
      <c r="G388" s="6">
        <v>399.5</v>
      </c>
      <c r="H388" s="7" t="s">
        <v>1121</v>
      </c>
      <c r="I388" s="7" t="s">
        <v>86</v>
      </c>
      <c r="J388" s="105" t="s">
        <v>5163</v>
      </c>
      <c r="K388" s="266">
        <f t="shared" si="106"/>
        <v>2017</v>
      </c>
      <c r="L388" s="412"/>
      <c r="M388" s="412"/>
      <c r="N388" s="32" t="s">
        <v>459</v>
      </c>
      <c r="O388" s="32" t="s">
        <v>1122</v>
      </c>
      <c r="P388" s="278" t="s">
        <v>1166</v>
      </c>
      <c r="Q388" s="233" t="s">
        <v>1165</v>
      </c>
      <c r="R388" s="75">
        <v>1530</v>
      </c>
      <c r="S388" s="75">
        <v>0</v>
      </c>
      <c r="T388" s="75">
        <v>1530</v>
      </c>
      <c r="U388" s="200">
        <v>800</v>
      </c>
      <c r="V388" s="287">
        <f t="shared" ca="1" si="107"/>
        <v>10</v>
      </c>
      <c r="W388" s="75">
        <f t="shared" ca="1" si="108"/>
        <v>7000</v>
      </c>
      <c r="X388" s="200">
        <f t="shared" ca="1" si="104"/>
        <v>7930</v>
      </c>
      <c r="Y388" s="1">
        <v>0.5</v>
      </c>
      <c r="Z388" s="1"/>
      <c r="AA388" s="219"/>
      <c r="AB388" s="302"/>
      <c r="AC388" s="302"/>
      <c r="AD388" s="302"/>
      <c r="AE388" s="302"/>
      <c r="AF388">
        <f t="shared" si="98"/>
        <v>0</v>
      </c>
    </row>
    <row r="389" spans="1:32" hidden="1" x14ac:dyDescent="0.25">
      <c r="A389" s="322" t="s">
        <v>1167</v>
      </c>
      <c r="B389" s="93" t="str">
        <f t="shared" si="105"/>
        <v>NO</v>
      </c>
      <c r="C389" s="93" t="s">
        <v>5503</v>
      </c>
      <c r="D389" s="4">
        <v>39156</v>
      </c>
      <c r="E389" s="2">
        <v>39234</v>
      </c>
      <c r="F389" s="2">
        <f t="shared" si="99"/>
        <v>42887</v>
      </c>
      <c r="G389" s="6">
        <v>638.4</v>
      </c>
      <c r="H389" s="7" t="s">
        <v>1121</v>
      </c>
      <c r="I389" s="7" t="s">
        <v>86</v>
      </c>
      <c r="J389" s="105" t="s">
        <v>5163</v>
      </c>
      <c r="K389" s="266">
        <f t="shared" si="106"/>
        <v>2017</v>
      </c>
      <c r="L389" s="412"/>
      <c r="M389" s="412"/>
      <c r="N389" s="32" t="s">
        <v>459</v>
      </c>
      <c r="O389" s="32" t="s">
        <v>1122</v>
      </c>
      <c r="P389" s="278" t="s">
        <v>1169</v>
      </c>
      <c r="Q389" s="233" t="s">
        <v>1168</v>
      </c>
      <c r="R389" s="75">
        <v>2366.5</v>
      </c>
      <c r="S389" s="75">
        <v>0</v>
      </c>
      <c r="T389" s="75">
        <v>2366.5</v>
      </c>
      <c r="U389" s="200">
        <v>1278</v>
      </c>
      <c r="V389" s="287">
        <f t="shared" ca="1" si="107"/>
        <v>10</v>
      </c>
      <c r="W389" s="75">
        <f t="shared" ca="1" si="108"/>
        <v>11182.5</v>
      </c>
      <c r="X389" s="200">
        <f t="shared" ca="1" si="104"/>
        <v>12590.5</v>
      </c>
      <c r="Y389" s="1">
        <v>0.5</v>
      </c>
      <c r="Z389" s="1"/>
      <c r="AA389" s="219"/>
      <c r="AB389" s="302"/>
      <c r="AC389" s="302"/>
      <c r="AD389" s="302"/>
      <c r="AE389" s="302"/>
      <c r="AF389">
        <f t="shared" si="98"/>
        <v>0</v>
      </c>
    </row>
    <row r="390" spans="1:32" hidden="1" x14ac:dyDescent="0.25">
      <c r="A390" s="322" t="s">
        <v>1170</v>
      </c>
      <c r="B390" s="93" t="str">
        <f t="shared" si="105"/>
        <v>NO</v>
      </c>
      <c r="C390" s="93" t="s">
        <v>5503</v>
      </c>
      <c r="D390" s="4">
        <v>39156</v>
      </c>
      <c r="E390" s="2">
        <v>39234</v>
      </c>
      <c r="F390" s="2">
        <f t="shared" si="99"/>
        <v>42887</v>
      </c>
      <c r="G390" s="6">
        <v>640</v>
      </c>
      <c r="H390" s="7" t="s">
        <v>1121</v>
      </c>
      <c r="I390" s="7" t="s">
        <v>86</v>
      </c>
      <c r="J390" s="105" t="s">
        <v>5163</v>
      </c>
      <c r="K390" s="266">
        <f t="shared" si="106"/>
        <v>2017</v>
      </c>
      <c r="L390" s="412"/>
      <c r="M390" s="412"/>
      <c r="N390" s="32" t="s">
        <v>459</v>
      </c>
      <c r="O390" s="32" t="s">
        <v>1122</v>
      </c>
      <c r="P390" s="278" t="s">
        <v>1172</v>
      </c>
      <c r="Q390" s="233" t="s">
        <v>1171</v>
      </c>
      <c r="R390" s="75">
        <v>2370</v>
      </c>
      <c r="S390" s="75">
        <v>0</v>
      </c>
      <c r="T390" s="75">
        <v>2370</v>
      </c>
      <c r="U390" s="200">
        <v>1280</v>
      </c>
      <c r="V390" s="287">
        <f t="shared" ca="1" si="107"/>
        <v>10</v>
      </c>
      <c r="W390" s="75">
        <f t="shared" ca="1" si="108"/>
        <v>11200</v>
      </c>
      <c r="X390" s="200">
        <f t="shared" ca="1" si="104"/>
        <v>12610</v>
      </c>
      <c r="Y390" s="1">
        <v>0.5</v>
      </c>
      <c r="Z390" s="1"/>
      <c r="AA390" s="219"/>
      <c r="AB390" s="302"/>
      <c r="AC390" s="302"/>
      <c r="AD390" s="302"/>
      <c r="AE390" s="302"/>
      <c r="AF390">
        <f t="shared" si="98"/>
        <v>0</v>
      </c>
    </row>
    <row r="391" spans="1:32" hidden="1" x14ac:dyDescent="0.25">
      <c r="A391" s="322" t="s">
        <v>1173</v>
      </c>
      <c r="B391" s="93" t="str">
        <f t="shared" si="105"/>
        <v>NO</v>
      </c>
      <c r="C391" s="93" t="s">
        <v>5503</v>
      </c>
      <c r="D391" s="4">
        <v>39156</v>
      </c>
      <c r="E391" s="2">
        <v>39234</v>
      </c>
      <c r="F391" s="2">
        <f t="shared" si="99"/>
        <v>42887</v>
      </c>
      <c r="G391" s="6">
        <v>439.77</v>
      </c>
      <c r="H391" s="7" t="s">
        <v>376</v>
      </c>
      <c r="I391" s="7" t="s">
        <v>86</v>
      </c>
      <c r="J391" s="105" t="s">
        <v>5163</v>
      </c>
      <c r="K391" s="266">
        <f t="shared" si="106"/>
        <v>2017</v>
      </c>
      <c r="L391" s="412"/>
      <c r="M391" s="412"/>
      <c r="N391" s="32" t="s">
        <v>459</v>
      </c>
      <c r="O391" s="32" t="s">
        <v>1122</v>
      </c>
      <c r="P391" s="278" t="s">
        <v>1175</v>
      </c>
      <c r="Q391" s="233" t="s">
        <v>1174</v>
      </c>
      <c r="R391" s="75">
        <v>1670</v>
      </c>
      <c r="S391" s="75">
        <v>0</v>
      </c>
      <c r="T391" s="75">
        <v>1670</v>
      </c>
      <c r="U391" s="200">
        <v>880</v>
      </c>
      <c r="V391" s="287">
        <f t="shared" ca="1" si="107"/>
        <v>10</v>
      </c>
      <c r="W391" s="75">
        <f t="shared" ca="1" si="108"/>
        <v>7700</v>
      </c>
      <c r="X391" s="200">
        <f t="shared" ca="1" si="104"/>
        <v>8710</v>
      </c>
      <c r="Y391" s="1">
        <v>0.5</v>
      </c>
      <c r="Z391" s="1"/>
      <c r="AA391" s="219"/>
      <c r="AB391" s="302"/>
      <c r="AC391" s="302"/>
      <c r="AD391" s="302"/>
      <c r="AE391" s="302"/>
      <c r="AF391">
        <f t="shared" si="98"/>
        <v>0</v>
      </c>
    </row>
    <row r="392" spans="1:32" ht="15.75" hidden="1" customHeight="1" x14ac:dyDescent="0.25">
      <c r="A392" s="322" t="s">
        <v>1176</v>
      </c>
      <c r="B392" s="93" t="str">
        <f t="shared" si="105"/>
        <v>NO</v>
      </c>
      <c r="C392" s="93" t="s">
        <v>5503</v>
      </c>
      <c r="D392" s="4">
        <v>39156</v>
      </c>
      <c r="E392" s="2">
        <v>39234</v>
      </c>
      <c r="F392" s="2">
        <f t="shared" si="99"/>
        <v>42887</v>
      </c>
      <c r="G392" s="6">
        <v>480</v>
      </c>
      <c r="H392" s="7" t="s">
        <v>376</v>
      </c>
      <c r="I392" s="7" t="s">
        <v>86</v>
      </c>
      <c r="J392" s="105" t="s">
        <v>5164</v>
      </c>
      <c r="K392" s="266">
        <f t="shared" si="106"/>
        <v>2017</v>
      </c>
      <c r="L392" s="409"/>
      <c r="M392" s="409"/>
      <c r="N392" s="32" t="s">
        <v>459</v>
      </c>
      <c r="O392" s="32" t="s">
        <v>1122</v>
      </c>
      <c r="P392" s="278" t="s">
        <v>1178</v>
      </c>
      <c r="Q392" s="233" t="s">
        <v>1177</v>
      </c>
      <c r="R392" s="75">
        <v>2254.5</v>
      </c>
      <c r="S392" s="75">
        <v>0</v>
      </c>
      <c r="T392" s="75">
        <v>2254.5</v>
      </c>
      <c r="U392" s="200">
        <v>960</v>
      </c>
      <c r="V392" s="287">
        <f t="shared" ca="1" si="107"/>
        <v>10</v>
      </c>
      <c r="W392" s="75">
        <f t="shared" ca="1" si="108"/>
        <v>8400</v>
      </c>
      <c r="X392" s="200">
        <f t="shared" ca="1" si="104"/>
        <v>9934.5</v>
      </c>
      <c r="Y392" s="1">
        <v>0.5</v>
      </c>
      <c r="Z392" s="1"/>
      <c r="AA392" s="219"/>
      <c r="AB392" s="302"/>
      <c r="AC392" s="302"/>
      <c r="AD392" s="302"/>
      <c r="AE392" s="302"/>
      <c r="AF392">
        <f t="shared" si="98"/>
        <v>0</v>
      </c>
    </row>
    <row r="393" spans="1:32" hidden="1" x14ac:dyDescent="0.25">
      <c r="A393" s="322" t="s">
        <v>1179</v>
      </c>
      <c r="B393" s="93" t="str">
        <f t="shared" si="105"/>
        <v>NO</v>
      </c>
      <c r="C393" s="93" t="s">
        <v>5503</v>
      </c>
      <c r="D393" s="4">
        <v>39156</v>
      </c>
      <c r="E393" s="2">
        <v>39234</v>
      </c>
      <c r="F393" s="2">
        <f t="shared" si="99"/>
        <v>42887</v>
      </c>
      <c r="G393" s="6">
        <v>375.84</v>
      </c>
      <c r="H393" s="7" t="s">
        <v>376</v>
      </c>
      <c r="I393" s="7" t="s">
        <v>86</v>
      </c>
      <c r="J393" s="105" t="s">
        <v>5163</v>
      </c>
      <c r="K393" s="266">
        <f t="shared" si="106"/>
        <v>2017</v>
      </c>
      <c r="L393" s="412"/>
      <c r="M393" s="412"/>
      <c r="N393" s="32" t="s">
        <v>459</v>
      </c>
      <c r="O393" s="32" t="s">
        <v>1122</v>
      </c>
      <c r="P393" s="278" t="s">
        <v>1181</v>
      </c>
      <c r="Q393" s="233" t="s">
        <v>1180</v>
      </c>
      <c r="R393" s="75">
        <v>2198</v>
      </c>
      <c r="S393" s="75"/>
      <c r="T393" s="75">
        <v>2198</v>
      </c>
      <c r="U393" s="200">
        <v>752</v>
      </c>
      <c r="V393" s="287">
        <f t="shared" ca="1" si="107"/>
        <v>10</v>
      </c>
      <c r="W393" s="75">
        <f t="shared" ca="1" si="108"/>
        <v>6580</v>
      </c>
      <c r="X393" s="200">
        <f t="shared" ca="1" si="104"/>
        <v>8214</v>
      </c>
      <c r="Y393" s="1">
        <v>0.5</v>
      </c>
      <c r="Z393" s="1"/>
      <c r="AA393" s="219"/>
      <c r="AB393" s="302"/>
      <c r="AC393" s="302"/>
      <c r="AD393" s="302"/>
      <c r="AE393" s="302"/>
      <c r="AF393">
        <f t="shared" si="98"/>
        <v>0</v>
      </c>
    </row>
    <row r="394" spans="1:32" hidden="1" x14ac:dyDescent="0.25">
      <c r="A394" s="322" t="s">
        <v>1182</v>
      </c>
      <c r="B394" s="93" t="str">
        <f t="shared" si="105"/>
        <v>NO</v>
      </c>
      <c r="C394" s="93" t="s">
        <v>5503</v>
      </c>
      <c r="D394" s="4">
        <v>39156</v>
      </c>
      <c r="E394" s="2">
        <v>39234</v>
      </c>
      <c r="F394" s="2">
        <f t="shared" si="99"/>
        <v>42887</v>
      </c>
      <c r="G394" s="6">
        <v>633.20000000000005</v>
      </c>
      <c r="H394" s="7" t="s">
        <v>1121</v>
      </c>
      <c r="I394" s="7" t="s">
        <v>86</v>
      </c>
      <c r="J394" s="105" t="s">
        <v>5163</v>
      </c>
      <c r="K394" s="266">
        <f t="shared" si="106"/>
        <v>2017</v>
      </c>
      <c r="L394" s="412"/>
      <c r="M394" s="412"/>
      <c r="N394" s="32" t="s">
        <v>459</v>
      </c>
      <c r="O394" s="32" t="s">
        <v>1122</v>
      </c>
      <c r="P394" s="278" t="s">
        <v>1184</v>
      </c>
      <c r="Q394" s="233" t="s">
        <v>1183</v>
      </c>
      <c r="R394" s="75">
        <v>2349</v>
      </c>
      <c r="S394" s="75">
        <v>1268</v>
      </c>
      <c r="T394" s="75">
        <v>3617</v>
      </c>
      <c r="U394" s="200">
        <v>1268</v>
      </c>
      <c r="V394" s="287">
        <f t="shared" ca="1" si="107"/>
        <v>10</v>
      </c>
      <c r="W394" s="75">
        <f t="shared" ca="1" si="108"/>
        <v>11095</v>
      </c>
      <c r="X394" s="200">
        <f t="shared" ca="1" si="104"/>
        <v>13761</v>
      </c>
      <c r="Y394" s="1">
        <v>0.5</v>
      </c>
      <c r="Z394" s="1"/>
      <c r="AA394" s="219"/>
      <c r="AB394" s="302"/>
      <c r="AC394" s="302"/>
      <c r="AD394" s="302"/>
      <c r="AE394" s="302"/>
      <c r="AF394">
        <f t="shared" si="98"/>
        <v>0</v>
      </c>
    </row>
    <row r="395" spans="1:32" hidden="1" x14ac:dyDescent="0.25">
      <c r="A395" s="322" t="s">
        <v>1185</v>
      </c>
      <c r="B395" s="93" t="str">
        <f t="shared" si="105"/>
        <v>NO</v>
      </c>
      <c r="C395" s="93" t="s">
        <v>5503</v>
      </c>
      <c r="D395" s="4">
        <v>39156</v>
      </c>
      <c r="E395" s="2">
        <v>39234</v>
      </c>
      <c r="F395" s="2">
        <f t="shared" si="99"/>
        <v>42887</v>
      </c>
      <c r="G395" s="6">
        <v>634.79999999999995</v>
      </c>
      <c r="H395" s="7" t="s">
        <v>1121</v>
      </c>
      <c r="I395" s="7" t="s">
        <v>86</v>
      </c>
      <c r="J395" s="105" t="s">
        <v>5163</v>
      </c>
      <c r="K395" s="266">
        <f t="shared" si="106"/>
        <v>2017</v>
      </c>
      <c r="L395" s="412"/>
      <c r="M395" s="412"/>
      <c r="N395" s="32" t="s">
        <v>459</v>
      </c>
      <c r="O395" s="32" t="s">
        <v>1122</v>
      </c>
      <c r="P395" s="278" t="s">
        <v>837</v>
      </c>
      <c r="Q395" s="233" t="s">
        <v>1186</v>
      </c>
      <c r="R395" s="75">
        <v>2352.5</v>
      </c>
      <c r="S395" s="75">
        <v>0</v>
      </c>
      <c r="T395" s="75">
        <v>2352.5</v>
      </c>
      <c r="U395" s="200">
        <v>1270</v>
      </c>
      <c r="V395" s="287">
        <f t="shared" ca="1" si="107"/>
        <v>10</v>
      </c>
      <c r="W395" s="75">
        <f t="shared" ca="1" si="108"/>
        <v>11112.5</v>
      </c>
      <c r="X395" s="200">
        <f t="shared" ca="1" si="104"/>
        <v>12512.5</v>
      </c>
      <c r="Y395" s="1">
        <v>0.5</v>
      </c>
      <c r="Z395" s="1"/>
      <c r="AA395" s="219"/>
      <c r="AB395" s="302"/>
      <c r="AC395" s="302"/>
      <c r="AD395" s="302"/>
      <c r="AE395" s="302"/>
      <c r="AF395">
        <f t="shared" ref="AF395:AF458" si="109">COUNTIF(FilterList,A395)</f>
        <v>0</v>
      </c>
    </row>
    <row r="396" spans="1:32" hidden="1" x14ac:dyDescent="0.25">
      <c r="A396" s="322" t="s">
        <v>1187</v>
      </c>
      <c r="B396" s="93" t="str">
        <f t="shared" si="105"/>
        <v>NO</v>
      </c>
      <c r="C396" s="93" t="s">
        <v>5503</v>
      </c>
      <c r="D396" s="4">
        <v>39156</v>
      </c>
      <c r="E396" s="2">
        <v>39234</v>
      </c>
      <c r="F396" s="2">
        <f t="shared" ref="F396:F459" si="110">DATE(YEAR(E396)+10,MONTH(E396),DAY(E396))</f>
        <v>42887</v>
      </c>
      <c r="G396" s="6">
        <v>320</v>
      </c>
      <c r="H396" s="7" t="s">
        <v>202</v>
      </c>
      <c r="I396" s="7" t="s">
        <v>86</v>
      </c>
      <c r="J396" s="105" t="s">
        <v>5163</v>
      </c>
      <c r="K396" s="266">
        <f t="shared" si="106"/>
        <v>2017</v>
      </c>
      <c r="L396" s="412"/>
      <c r="M396" s="412"/>
      <c r="N396" s="32" t="s">
        <v>459</v>
      </c>
      <c r="O396" s="32" t="s">
        <v>1189</v>
      </c>
      <c r="P396" s="278" t="s">
        <v>1190</v>
      </c>
      <c r="Q396" s="233" t="s">
        <v>1188</v>
      </c>
      <c r="R396" s="75">
        <v>1250</v>
      </c>
      <c r="S396" s="75">
        <v>640</v>
      </c>
      <c r="T396" s="75">
        <v>1890</v>
      </c>
      <c r="U396" s="200">
        <v>640</v>
      </c>
      <c r="V396" s="287">
        <f t="shared" ca="1" si="107"/>
        <v>10</v>
      </c>
      <c r="W396" s="75">
        <f t="shared" ca="1" si="108"/>
        <v>5600</v>
      </c>
      <c r="X396" s="200">
        <f t="shared" ca="1" si="104"/>
        <v>7010</v>
      </c>
      <c r="Y396" s="1">
        <v>0.5</v>
      </c>
      <c r="Z396" s="1"/>
      <c r="AA396" s="219"/>
      <c r="AB396" s="302"/>
      <c r="AC396" s="302"/>
      <c r="AD396" s="302"/>
      <c r="AE396" s="302"/>
      <c r="AF396">
        <f t="shared" si="109"/>
        <v>0</v>
      </c>
    </row>
    <row r="397" spans="1:32" hidden="1" x14ac:dyDescent="0.25">
      <c r="A397" s="322" t="s">
        <v>1191</v>
      </c>
      <c r="B397" s="93" t="str">
        <f t="shared" si="105"/>
        <v>NO</v>
      </c>
      <c r="C397" s="93" t="s">
        <v>5503</v>
      </c>
      <c r="D397" s="4">
        <v>39156</v>
      </c>
      <c r="E397" s="2">
        <v>39234</v>
      </c>
      <c r="F397" s="2">
        <f t="shared" si="110"/>
        <v>42887</v>
      </c>
      <c r="G397" s="6">
        <v>599.61</v>
      </c>
      <c r="H397" s="7" t="s">
        <v>202</v>
      </c>
      <c r="I397" s="7" t="s">
        <v>86</v>
      </c>
      <c r="J397" s="105" t="s">
        <v>5163</v>
      </c>
      <c r="K397" s="266">
        <f t="shared" si="106"/>
        <v>2017</v>
      </c>
      <c r="L397" s="412"/>
      <c r="M397" s="412"/>
      <c r="N397" s="32" t="s">
        <v>459</v>
      </c>
      <c r="O397" s="32" t="s">
        <v>1189</v>
      </c>
      <c r="P397" s="278" t="s">
        <v>1193</v>
      </c>
      <c r="Q397" s="233" t="s">
        <v>1192</v>
      </c>
      <c r="R397" s="75">
        <v>2230</v>
      </c>
      <c r="S397" s="75">
        <v>0</v>
      </c>
      <c r="T397" s="75">
        <v>2230</v>
      </c>
      <c r="U397" s="200">
        <v>1200</v>
      </c>
      <c r="V397" s="287">
        <f t="shared" ca="1" si="107"/>
        <v>10</v>
      </c>
      <c r="W397" s="75">
        <f t="shared" ca="1" si="108"/>
        <v>10500</v>
      </c>
      <c r="X397" s="200">
        <f t="shared" ca="1" si="104"/>
        <v>11830</v>
      </c>
      <c r="Y397" s="1">
        <v>0.5</v>
      </c>
      <c r="Z397" s="1"/>
      <c r="AA397" s="219"/>
      <c r="AB397" s="302"/>
      <c r="AC397" s="302"/>
      <c r="AD397" s="302"/>
      <c r="AE397" s="302"/>
      <c r="AF397">
        <f t="shared" si="109"/>
        <v>0</v>
      </c>
    </row>
    <row r="398" spans="1:32" hidden="1" x14ac:dyDescent="0.25">
      <c r="A398" s="322" t="s">
        <v>1194</v>
      </c>
      <c r="B398" s="93" t="str">
        <f t="shared" si="105"/>
        <v>NO</v>
      </c>
      <c r="C398" s="93" t="s">
        <v>5503</v>
      </c>
      <c r="D398" s="4">
        <v>39156</v>
      </c>
      <c r="E398" s="2">
        <v>39234</v>
      </c>
      <c r="F398" s="2">
        <f t="shared" si="110"/>
        <v>42887</v>
      </c>
      <c r="G398" s="6">
        <v>641.4</v>
      </c>
      <c r="H398" s="7" t="s">
        <v>202</v>
      </c>
      <c r="I398" s="7" t="s">
        <v>86</v>
      </c>
      <c r="J398" s="105" t="s">
        <v>5163</v>
      </c>
      <c r="K398" s="266">
        <f t="shared" si="106"/>
        <v>2017</v>
      </c>
      <c r="L398" s="412"/>
      <c r="M398" s="412"/>
      <c r="N398" s="32" t="s">
        <v>459</v>
      </c>
      <c r="O398" s="32" t="s">
        <v>1189</v>
      </c>
      <c r="P398" s="278" t="s">
        <v>1169</v>
      </c>
      <c r="Q398" s="233" t="s">
        <v>1195</v>
      </c>
      <c r="R398" s="75">
        <v>2377</v>
      </c>
      <c r="S398" s="75">
        <v>0</v>
      </c>
      <c r="T398" s="75">
        <v>2377</v>
      </c>
      <c r="U398" s="200">
        <v>1284</v>
      </c>
      <c r="V398" s="287">
        <f t="shared" ca="1" si="107"/>
        <v>10</v>
      </c>
      <c r="W398" s="75">
        <f t="shared" ca="1" si="108"/>
        <v>11235</v>
      </c>
      <c r="X398" s="200">
        <f t="shared" ca="1" si="104"/>
        <v>12649</v>
      </c>
      <c r="Y398" s="1">
        <v>0.5</v>
      </c>
      <c r="Z398" s="1"/>
      <c r="AA398" s="219"/>
      <c r="AB398" s="302"/>
      <c r="AC398" s="302"/>
      <c r="AD398" s="302"/>
      <c r="AE398" s="302"/>
      <c r="AF398">
        <f t="shared" si="109"/>
        <v>0</v>
      </c>
    </row>
    <row r="399" spans="1:32" hidden="1" x14ac:dyDescent="0.25">
      <c r="A399" s="322" t="s">
        <v>1196</v>
      </c>
      <c r="B399" s="93" t="str">
        <f t="shared" si="105"/>
        <v>NO</v>
      </c>
      <c r="C399" s="93" t="s">
        <v>5503</v>
      </c>
      <c r="D399" s="4">
        <v>39156</v>
      </c>
      <c r="E399" s="2">
        <v>39234</v>
      </c>
      <c r="F399" s="2">
        <f t="shared" si="110"/>
        <v>42887</v>
      </c>
      <c r="G399" s="6">
        <v>359.33</v>
      </c>
      <c r="H399" s="7" t="s">
        <v>782</v>
      </c>
      <c r="I399" s="7" t="s">
        <v>86</v>
      </c>
      <c r="J399" s="105" t="s">
        <v>5163</v>
      </c>
      <c r="K399" s="266">
        <f t="shared" si="106"/>
        <v>2017</v>
      </c>
      <c r="L399" s="412"/>
      <c r="M399" s="412"/>
      <c r="N399" s="32" t="s">
        <v>459</v>
      </c>
      <c r="O399" s="32" t="s">
        <v>1189</v>
      </c>
      <c r="P399" s="278" t="s">
        <v>1198</v>
      </c>
      <c r="Q399" s="233" t="s">
        <v>1197</v>
      </c>
      <c r="R399" s="75">
        <v>1390</v>
      </c>
      <c r="S399" s="75">
        <v>0</v>
      </c>
      <c r="T399" s="75">
        <v>1390</v>
      </c>
      <c r="U399" s="200">
        <v>720</v>
      </c>
      <c r="V399" s="287">
        <f t="shared" ca="1" si="107"/>
        <v>10</v>
      </c>
      <c r="W399" s="75">
        <f t="shared" ca="1" si="108"/>
        <v>6300</v>
      </c>
      <c r="X399" s="200">
        <f t="shared" ca="1" si="104"/>
        <v>7150</v>
      </c>
      <c r="Y399" s="1">
        <v>0.5</v>
      </c>
      <c r="Z399" s="1"/>
      <c r="AA399" s="219"/>
      <c r="AB399" s="302"/>
      <c r="AC399" s="302"/>
      <c r="AD399" s="302"/>
      <c r="AE399" s="302"/>
      <c r="AF399">
        <f t="shared" si="109"/>
        <v>0</v>
      </c>
    </row>
    <row r="400" spans="1:32" hidden="1" x14ac:dyDescent="0.25">
      <c r="A400" s="322" t="s">
        <v>1199</v>
      </c>
      <c r="B400" s="93" t="str">
        <f t="shared" si="105"/>
        <v>NO</v>
      </c>
      <c r="C400" s="93" t="s">
        <v>5503</v>
      </c>
      <c r="D400" s="4">
        <v>39156</v>
      </c>
      <c r="E400" s="2">
        <v>39234</v>
      </c>
      <c r="F400" s="2">
        <f t="shared" si="110"/>
        <v>42887</v>
      </c>
      <c r="G400" s="6">
        <v>173.38</v>
      </c>
      <c r="H400" s="7" t="s">
        <v>782</v>
      </c>
      <c r="I400" s="7" t="s">
        <v>86</v>
      </c>
      <c r="J400" s="105" t="s">
        <v>5163</v>
      </c>
      <c r="K400" s="266">
        <f t="shared" si="106"/>
        <v>2017</v>
      </c>
      <c r="L400" s="412"/>
      <c r="M400" s="412"/>
      <c r="N400" s="32" t="s">
        <v>459</v>
      </c>
      <c r="O400" s="32" t="s">
        <v>1189</v>
      </c>
      <c r="P400" s="278" t="s">
        <v>1201</v>
      </c>
      <c r="Q400" s="233" t="s">
        <v>1200</v>
      </c>
      <c r="R400" s="75">
        <v>739</v>
      </c>
      <c r="S400" s="75">
        <v>0</v>
      </c>
      <c r="T400" s="75">
        <v>739</v>
      </c>
      <c r="U400" s="200">
        <v>348</v>
      </c>
      <c r="V400" s="287">
        <f t="shared" ca="1" si="107"/>
        <v>10</v>
      </c>
      <c r="W400" s="75">
        <f t="shared" ca="1" si="108"/>
        <v>3045</v>
      </c>
      <c r="X400" s="200">
        <f t="shared" ca="1" si="104"/>
        <v>3523</v>
      </c>
      <c r="Y400" s="1">
        <v>0.5</v>
      </c>
      <c r="Z400" s="1"/>
      <c r="AA400" s="219"/>
      <c r="AB400" s="302"/>
      <c r="AC400" s="302"/>
      <c r="AD400" s="302"/>
      <c r="AE400" s="302"/>
      <c r="AF400">
        <f t="shared" si="109"/>
        <v>0</v>
      </c>
    </row>
    <row r="401" spans="1:32" hidden="1" x14ac:dyDescent="0.25">
      <c r="A401" s="322" t="s">
        <v>1202</v>
      </c>
      <c r="B401" s="93" t="str">
        <f t="shared" si="105"/>
        <v>NO</v>
      </c>
      <c r="C401" s="93" t="s">
        <v>5503</v>
      </c>
      <c r="D401" s="4">
        <v>39156</v>
      </c>
      <c r="E401" s="2">
        <v>39234</v>
      </c>
      <c r="F401" s="2">
        <f t="shared" si="110"/>
        <v>42887</v>
      </c>
      <c r="G401" s="6">
        <v>319.66000000000003</v>
      </c>
      <c r="H401" s="7" t="s">
        <v>782</v>
      </c>
      <c r="I401" s="7" t="s">
        <v>86</v>
      </c>
      <c r="J401" s="105" t="s">
        <v>5163</v>
      </c>
      <c r="K401" s="266">
        <f t="shared" si="106"/>
        <v>2017</v>
      </c>
      <c r="L401" s="412"/>
      <c r="M401" s="412"/>
      <c r="N401" s="32" t="s">
        <v>459</v>
      </c>
      <c r="O401" s="32" t="s">
        <v>1204</v>
      </c>
      <c r="P401" s="278" t="s">
        <v>1137</v>
      </c>
      <c r="Q401" s="233" t="s">
        <v>1203</v>
      </c>
      <c r="R401" s="75">
        <v>1250</v>
      </c>
      <c r="S401" s="75">
        <v>0</v>
      </c>
      <c r="T401" s="75">
        <v>1250</v>
      </c>
      <c r="U401" s="200">
        <v>640</v>
      </c>
      <c r="V401" s="287">
        <f t="shared" ca="1" si="107"/>
        <v>10</v>
      </c>
      <c r="W401" s="75">
        <f t="shared" ca="1" si="108"/>
        <v>5600</v>
      </c>
      <c r="X401" s="200">
        <f t="shared" ca="1" si="104"/>
        <v>6370</v>
      </c>
      <c r="Y401" s="1">
        <v>0.5</v>
      </c>
      <c r="Z401" s="1"/>
      <c r="AA401" s="219"/>
      <c r="AB401" s="302"/>
      <c r="AC401" s="302"/>
      <c r="AD401" s="302"/>
      <c r="AE401" s="302"/>
      <c r="AF401">
        <f t="shared" si="109"/>
        <v>0</v>
      </c>
    </row>
    <row r="402" spans="1:32" hidden="1" x14ac:dyDescent="0.25">
      <c r="A402" s="322" t="s">
        <v>1205</v>
      </c>
      <c r="B402" s="93" t="str">
        <f t="shared" si="105"/>
        <v>NO</v>
      </c>
      <c r="C402" s="93" t="s">
        <v>5503</v>
      </c>
      <c r="D402" s="4">
        <v>39156</v>
      </c>
      <c r="E402" s="2">
        <v>39234</v>
      </c>
      <c r="F402" s="2">
        <f t="shared" si="110"/>
        <v>42887</v>
      </c>
      <c r="G402" s="6">
        <v>400</v>
      </c>
      <c r="H402" s="7" t="s">
        <v>376</v>
      </c>
      <c r="I402" s="7" t="s">
        <v>86</v>
      </c>
      <c r="J402" s="105" t="s">
        <v>5163</v>
      </c>
      <c r="K402" s="266">
        <f t="shared" si="106"/>
        <v>2017</v>
      </c>
      <c r="L402" s="412"/>
      <c r="M402" s="412"/>
      <c r="N402" s="32" t="s">
        <v>459</v>
      </c>
      <c r="O402" s="32" t="s">
        <v>1207</v>
      </c>
      <c r="P402" s="278" t="s">
        <v>1208</v>
      </c>
      <c r="Q402" s="233" t="s">
        <v>1206</v>
      </c>
      <c r="R402" s="75">
        <v>1530</v>
      </c>
      <c r="S402" s="75">
        <v>0</v>
      </c>
      <c r="T402" s="75">
        <v>1530</v>
      </c>
      <c r="U402" s="200">
        <v>800</v>
      </c>
      <c r="V402" s="287">
        <f t="shared" ca="1" si="107"/>
        <v>10</v>
      </c>
      <c r="W402" s="75">
        <f t="shared" ca="1" si="108"/>
        <v>7000</v>
      </c>
      <c r="X402" s="200">
        <f t="shared" ca="1" si="104"/>
        <v>7930</v>
      </c>
      <c r="Y402" s="1">
        <v>0.5</v>
      </c>
      <c r="Z402" s="1"/>
      <c r="AA402" s="219"/>
      <c r="AB402" s="302"/>
      <c r="AC402" s="302"/>
      <c r="AD402" s="302"/>
      <c r="AE402" s="302"/>
      <c r="AF402">
        <f t="shared" si="109"/>
        <v>0</v>
      </c>
    </row>
    <row r="403" spans="1:32" ht="26.25" hidden="1" x14ac:dyDescent="0.25">
      <c r="A403" s="322" t="s">
        <v>1209</v>
      </c>
      <c r="B403" s="93" t="str">
        <f t="shared" si="105"/>
        <v>NO</v>
      </c>
      <c r="C403" s="93" t="s">
        <v>5503</v>
      </c>
      <c r="D403" s="4">
        <v>39156</v>
      </c>
      <c r="E403" s="2">
        <v>39234</v>
      </c>
      <c r="F403" s="2">
        <f t="shared" si="110"/>
        <v>42887</v>
      </c>
      <c r="G403" s="6">
        <v>396.84</v>
      </c>
      <c r="H403" s="7" t="s">
        <v>376</v>
      </c>
      <c r="I403" s="7" t="s">
        <v>86</v>
      </c>
      <c r="J403" s="105" t="s">
        <v>5163</v>
      </c>
      <c r="K403" s="266">
        <f t="shared" si="106"/>
        <v>2017</v>
      </c>
      <c r="L403" s="412"/>
      <c r="M403" s="412"/>
      <c r="N403" s="32" t="s">
        <v>459</v>
      </c>
      <c r="O403" s="32" t="s">
        <v>1207</v>
      </c>
      <c r="P403" s="278" t="s">
        <v>1211</v>
      </c>
      <c r="Q403" s="233" t="s">
        <v>1210</v>
      </c>
      <c r="R403" s="75">
        <v>1519.5</v>
      </c>
      <c r="S403" s="75">
        <v>0</v>
      </c>
      <c r="T403" s="75">
        <v>1519.5</v>
      </c>
      <c r="U403" s="200">
        <v>794</v>
      </c>
      <c r="V403" s="287">
        <f t="shared" ca="1" si="107"/>
        <v>10</v>
      </c>
      <c r="W403" s="75">
        <f t="shared" ca="1" si="108"/>
        <v>6947.5</v>
      </c>
      <c r="X403" s="200">
        <f t="shared" ca="1" si="104"/>
        <v>7871.5</v>
      </c>
      <c r="Y403" s="1">
        <v>0.5</v>
      </c>
      <c r="Z403" s="1"/>
      <c r="AA403" s="219"/>
      <c r="AB403" s="302"/>
      <c r="AC403" s="302"/>
      <c r="AD403" s="302"/>
      <c r="AE403" s="302"/>
      <c r="AF403">
        <f t="shared" si="109"/>
        <v>0</v>
      </c>
    </row>
    <row r="404" spans="1:32" ht="26.25" hidden="1" x14ac:dyDescent="0.25">
      <c r="A404" s="322" t="s">
        <v>1212</v>
      </c>
      <c r="B404" s="93" t="str">
        <f t="shared" si="105"/>
        <v>NO</v>
      </c>
      <c r="C404" s="93" t="s">
        <v>5503</v>
      </c>
      <c r="D404" s="4">
        <v>39156</v>
      </c>
      <c r="E404" s="2">
        <v>39234</v>
      </c>
      <c r="F404" s="2">
        <f t="shared" si="110"/>
        <v>42887</v>
      </c>
      <c r="G404" s="6">
        <v>521.95000000000005</v>
      </c>
      <c r="H404" s="7" t="s">
        <v>376</v>
      </c>
      <c r="I404" s="7" t="s">
        <v>86</v>
      </c>
      <c r="J404" s="105" t="s">
        <v>5163</v>
      </c>
      <c r="K404" s="266">
        <f t="shared" si="106"/>
        <v>2017</v>
      </c>
      <c r="L404" s="412"/>
      <c r="M404" s="412"/>
      <c r="N404" s="32" t="s">
        <v>459</v>
      </c>
      <c r="O404" s="32" t="s">
        <v>1207</v>
      </c>
      <c r="P404" s="278" t="s">
        <v>1214</v>
      </c>
      <c r="Q404" s="233" t="s">
        <v>1213</v>
      </c>
      <c r="R404" s="75">
        <v>1957</v>
      </c>
      <c r="S404" s="75">
        <v>0</v>
      </c>
      <c r="T404" s="75">
        <v>1957</v>
      </c>
      <c r="U404" s="200">
        <v>1044</v>
      </c>
      <c r="V404" s="287">
        <f t="shared" ca="1" si="107"/>
        <v>10</v>
      </c>
      <c r="W404" s="75">
        <f t="shared" ca="1" si="108"/>
        <v>9135</v>
      </c>
      <c r="X404" s="200">
        <f t="shared" ca="1" si="104"/>
        <v>10309</v>
      </c>
      <c r="Y404" s="1">
        <v>0.5</v>
      </c>
      <c r="Z404" s="1"/>
      <c r="AA404" s="219"/>
      <c r="AB404" s="302"/>
      <c r="AC404" s="302"/>
      <c r="AD404" s="302"/>
      <c r="AE404" s="302"/>
      <c r="AF404">
        <f t="shared" si="109"/>
        <v>0</v>
      </c>
    </row>
    <row r="405" spans="1:32" ht="39" hidden="1" x14ac:dyDescent="0.25">
      <c r="A405" s="322" t="s">
        <v>1215</v>
      </c>
      <c r="B405" s="93" t="str">
        <f t="shared" si="105"/>
        <v>NO</v>
      </c>
      <c r="C405" s="93" t="s">
        <v>5503</v>
      </c>
      <c r="D405" s="4">
        <v>39156</v>
      </c>
      <c r="E405" s="2">
        <v>39234</v>
      </c>
      <c r="F405" s="2">
        <f t="shared" si="110"/>
        <v>42887</v>
      </c>
      <c r="G405" s="6">
        <v>595.80999999999995</v>
      </c>
      <c r="H405" s="7" t="s">
        <v>376</v>
      </c>
      <c r="I405" s="7" t="s">
        <v>86</v>
      </c>
      <c r="J405" s="105" t="s">
        <v>5163</v>
      </c>
      <c r="K405" s="266">
        <f t="shared" si="106"/>
        <v>2017</v>
      </c>
      <c r="L405" s="412"/>
      <c r="M405" s="412"/>
      <c r="N405" s="32" t="s">
        <v>459</v>
      </c>
      <c r="O405" s="32" t="s">
        <v>1207</v>
      </c>
      <c r="P405" s="278" t="s">
        <v>1217</v>
      </c>
      <c r="Q405" s="233" t="s">
        <v>1216</v>
      </c>
      <c r="R405" s="75">
        <v>2216</v>
      </c>
      <c r="S405" s="75">
        <v>0</v>
      </c>
      <c r="T405" s="75">
        <v>2216</v>
      </c>
      <c r="U405" s="200">
        <v>1192</v>
      </c>
      <c r="V405" s="287">
        <f t="shared" ca="1" si="107"/>
        <v>10</v>
      </c>
      <c r="W405" s="75">
        <f t="shared" ca="1" si="108"/>
        <v>10430</v>
      </c>
      <c r="X405" s="200">
        <f t="shared" ca="1" si="104"/>
        <v>11752</v>
      </c>
      <c r="Y405" s="1">
        <v>0.5</v>
      </c>
      <c r="Z405" s="1"/>
      <c r="AA405" s="219"/>
      <c r="AB405" s="302"/>
      <c r="AC405" s="302"/>
      <c r="AD405" s="302"/>
      <c r="AE405" s="302"/>
      <c r="AF405">
        <f t="shared" si="109"/>
        <v>0</v>
      </c>
    </row>
    <row r="406" spans="1:32" hidden="1" x14ac:dyDescent="0.25">
      <c r="A406" s="322" t="s">
        <v>1218</v>
      </c>
      <c r="B406" s="93" t="str">
        <f t="shared" si="105"/>
        <v>NO</v>
      </c>
      <c r="C406" s="93" t="s">
        <v>5503</v>
      </c>
      <c r="D406" s="4">
        <v>39156</v>
      </c>
      <c r="E406" s="2">
        <v>39234</v>
      </c>
      <c r="F406" s="2">
        <f t="shared" si="110"/>
        <v>42887</v>
      </c>
      <c r="G406" s="6">
        <v>600</v>
      </c>
      <c r="H406" s="7" t="s">
        <v>1220</v>
      </c>
      <c r="I406" s="7" t="s">
        <v>86</v>
      </c>
      <c r="J406" s="105" t="s">
        <v>5163</v>
      </c>
      <c r="K406" s="266">
        <f t="shared" si="106"/>
        <v>2017</v>
      </c>
      <c r="L406" s="412"/>
      <c r="M406" s="412"/>
      <c r="N406" s="32" t="s">
        <v>459</v>
      </c>
      <c r="O406" s="32" t="s">
        <v>1207</v>
      </c>
      <c r="P406" s="278" t="s">
        <v>1221</v>
      </c>
      <c r="Q406" s="233" t="s">
        <v>1219</v>
      </c>
      <c r="R406" s="75">
        <v>2230</v>
      </c>
      <c r="S406" s="75">
        <v>0</v>
      </c>
      <c r="T406" s="75">
        <v>2230</v>
      </c>
      <c r="U406" s="200">
        <v>1200</v>
      </c>
      <c r="V406" s="287">
        <f t="shared" ca="1" si="107"/>
        <v>10</v>
      </c>
      <c r="W406" s="75">
        <f t="shared" ca="1" si="108"/>
        <v>10500</v>
      </c>
      <c r="X406" s="200">
        <f t="shared" ca="1" si="104"/>
        <v>11830</v>
      </c>
      <c r="Y406" s="1">
        <v>0.5</v>
      </c>
      <c r="Z406" s="1"/>
      <c r="AA406" s="219"/>
      <c r="AB406" s="302"/>
      <c r="AC406" s="302"/>
      <c r="AD406" s="302"/>
      <c r="AE406" s="302"/>
      <c r="AF406">
        <f t="shared" si="109"/>
        <v>0</v>
      </c>
    </row>
    <row r="407" spans="1:32" hidden="1" x14ac:dyDescent="0.25">
      <c r="A407" s="322" t="s">
        <v>1222</v>
      </c>
      <c r="B407" s="93" t="str">
        <f t="shared" si="105"/>
        <v>NO</v>
      </c>
      <c r="C407" s="93" t="s">
        <v>5503</v>
      </c>
      <c r="D407" s="4">
        <v>39156</v>
      </c>
      <c r="E407" s="2">
        <v>39234</v>
      </c>
      <c r="F407" s="2">
        <f t="shared" si="110"/>
        <v>42887</v>
      </c>
      <c r="G407" s="6">
        <v>560</v>
      </c>
      <c r="H407" s="7" t="s">
        <v>376</v>
      </c>
      <c r="I407" s="7" t="s">
        <v>86</v>
      </c>
      <c r="J407" s="105" t="s">
        <v>5163</v>
      </c>
      <c r="K407" s="266">
        <f t="shared" si="106"/>
        <v>2017</v>
      </c>
      <c r="L407" s="412"/>
      <c r="M407" s="412"/>
      <c r="N407" s="32" t="s">
        <v>459</v>
      </c>
      <c r="O407" s="32" t="s">
        <v>1207</v>
      </c>
      <c r="P407" s="278" t="s">
        <v>1224</v>
      </c>
      <c r="Q407" s="233" t="s">
        <v>1223</v>
      </c>
      <c r="R407" s="75">
        <v>2090</v>
      </c>
      <c r="S407" s="75">
        <v>0</v>
      </c>
      <c r="T407" s="75">
        <v>2090</v>
      </c>
      <c r="U407" s="200">
        <v>1120</v>
      </c>
      <c r="V407" s="287">
        <f t="shared" ca="1" si="107"/>
        <v>10</v>
      </c>
      <c r="W407" s="75">
        <f t="shared" ca="1" si="108"/>
        <v>9800</v>
      </c>
      <c r="X407" s="200">
        <f t="shared" ca="1" si="104"/>
        <v>11050</v>
      </c>
      <c r="Y407" s="1">
        <v>0.5</v>
      </c>
      <c r="Z407" s="1"/>
      <c r="AA407" s="219"/>
      <c r="AB407" s="302"/>
      <c r="AC407" s="302"/>
      <c r="AD407" s="302"/>
      <c r="AE407" s="302"/>
      <c r="AF407">
        <f t="shared" si="109"/>
        <v>0</v>
      </c>
    </row>
    <row r="408" spans="1:32" hidden="1" x14ac:dyDescent="0.25">
      <c r="A408" s="322" t="s">
        <v>1225</v>
      </c>
      <c r="B408" s="93" t="str">
        <f t="shared" si="105"/>
        <v>NO</v>
      </c>
      <c r="C408" s="93" t="s">
        <v>5503</v>
      </c>
      <c r="D408" s="4">
        <v>39156</v>
      </c>
      <c r="E408" s="2">
        <v>39234</v>
      </c>
      <c r="F408" s="2">
        <f t="shared" si="110"/>
        <v>42887</v>
      </c>
      <c r="G408" s="6">
        <v>656</v>
      </c>
      <c r="H408" s="7" t="s">
        <v>376</v>
      </c>
      <c r="I408" s="7" t="s">
        <v>86</v>
      </c>
      <c r="J408" s="109" t="s">
        <v>1227</v>
      </c>
      <c r="K408" s="266">
        <f t="shared" si="106"/>
        <v>2017</v>
      </c>
      <c r="L408" s="414"/>
      <c r="M408" s="414"/>
      <c r="N408" s="32" t="s">
        <v>459</v>
      </c>
      <c r="O408" s="32" t="s">
        <v>1228</v>
      </c>
      <c r="P408" s="278" t="s">
        <v>165</v>
      </c>
      <c r="Q408" s="233" t="s">
        <v>1226</v>
      </c>
      <c r="R408" s="75">
        <v>2426</v>
      </c>
      <c r="S408" s="75">
        <v>0</v>
      </c>
      <c r="T408" s="75">
        <v>2426</v>
      </c>
      <c r="U408" s="200">
        <v>984</v>
      </c>
      <c r="V408" s="287">
        <f t="shared" ca="1" si="107"/>
        <v>10</v>
      </c>
      <c r="W408" s="75">
        <f t="shared" ca="1" si="108"/>
        <v>11480</v>
      </c>
      <c r="X408" s="200">
        <f t="shared" ca="1" si="104"/>
        <v>12922</v>
      </c>
      <c r="Y408" s="1">
        <v>0.5</v>
      </c>
      <c r="Z408" s="1"/>
      <c r="AA408" s="219"/>
      <c r="AB408" s="302"/>
      <c r="AC408" s="302"/>
      <c r="AD408" s="302"/>
      <c r="AE408" s="302"/>
      <c r="AF408">
        <f t="shared" si="109"/>
        <v>0</v>
      </c>
    </row>
    <row r="409" spans="1:32" hidden="1" x14ac:dyDescent="0.25">
      <c r="A409" s="322" t="s">
        <v>1229</v>
      </c>
      <c r="B409" s="93" t="str">
        <f t="shared" si="105"/>
        <v>NO</v>
      </c>
      <c r="C409" s="93" t="s">
        <v>5503</v>
      </c>
      <c r="D409" s="4">
        <v>39156</v>
      </c>
      <c r="E409" s="2">
        <v>39234</v>
      </c>
      <c r="F409" s="2">
        <f t="shared" si="110"/>
        <v>42887</v>
      </c>
      <c r="G409" s="6">
        <v>640</v>
      </c>
      <c r="H409" s="7" t="s">
        <v>376</v>
      </c>
      <c r="I409" s="7" t="s">
        <v>86</v>
      </c>
      <c r="J409" s="109" t="s">
        <v>1227</v>
      </c>
      <c r="K409" s="266">
        <f t="shared" si="106"/>
        <v>2017</v>
      </c>
      <c r="L409" s="414"/>
      <c r="M409" s="414"/>
      <c r="N409" s="32" t="s">
        <v>459</v>
      </c>
      <c r="O409" s="32" t="s">
        <v>1228</v>
      </c>
      <c r="P409" s="278" t="s">
        <v>168</v>
      </c>
      <c r="Q409" s="233" t="s">
        <v>1230</v>
      </c>
      <c r="R409" s="75">
        <v>2370</v>
      </c>
      <c r="S409" s="75">
        <v>0</v>
      </c>
      <c r="T409" s="75">
        <v>2370</v>
      </c>
      <c r="U409" s="200">
        <v>960</v>
      </c>
      <c r="V409" s="287">
        <f t="shared" ca="1" si="107"/>
        <v>10</v>
      </c>
      <c r="W409" s="75">
        <f t="shared" ca="1" si="108"/>
        <v>11200</v>
      </c>
      <c r="X409" s="200">
        <f t="shared" ca="1" si="104"/>
        <v>12610</v>
      </c>
      <c r="Y409" s="1">
        <v>0.5</v>
      </c>
      <c r="Z409" s="1"/>
      <c r="AA409" s="219"/>
      <c r="AB409" s="302"/>
      <c r="AC409" s="302"/>
      <c r="AD409" s="302"/>
      <c r="AE409" s="302"/>
      <c r="AF409">
        <f t="shared" si="109"/>
        <v>0</v>
      </c>
    </row>
    <row r="410" spans="1:32" hidden="1" x14ac:dyDescent="0.25">
      <c r="A410" s="322" t="s">
        <v>1231</v>
      </c>
      <c r="B410" s="93" t="str">
        <f t="shared" ref="B410:B429" si="111">IF(COUNTIF(GIS,A412),"YES","NO")</f>
        <v>NO</v>
      </c>
      <c r="C410" s="93" t="s">
        <v>5503</v>
      </c>
      <c r="D410" s="4">
        <v>39156</v>
      </c>
      <c r="E410" s="2">
        <v>39234</v>
      </c>
      <c r="F410" s="2">
        <f t="shared" si="110"/>
        <v>42887</v>
      </c>
      <c r="G410" s="6">
        <v>521.29999999999995</v>
      </c>
      <c r="H410" s="7" t="s">
        <v>782</v>
      </c>
      <c r="I410" s="7" t="s">
        <v>86</v>
      </c>
      <c r="J410" s="186"/>
      <c r="K410" s="266">
        <f t="shared" ref="K410:K429" si="112">YEAR(F410)</f>
        <v>2017</v>
      </c>
      <c r="L410" s="413"/>
      <c r="M410" s="413"/>
      <c r="N410" s="32" t="s">
        <v>459</v>
      </c>
      <c r="O410" s="32" t="s">
        <v>1228</v>
      </c>
      <c r="P410" s="278" t="s">
        <v>1233</v>
      </c>
      <c r="Q410" s="233" t="s">
        <v>1232</v>
      </c>
      <c r="R410" s="75">
        <v>1957</v>
      </c>
      <c r="S410" s="75">
        <v>0</v>
      </c>
      <c r="T410" s="75">
        <v>1957</v>
      </c>
      <c r="U410" s="200">
        <v>1044</v>
      </c>
      <c r="V410" s="287">
        <f t="shared" ref="V410:V429" ca="1" si="113">IF(YEAR($W$3)-YEAR(E410)&gt;9,10,IF(MONTH($W$3)&lt;MONTH(E410),YEAR($W$3)-YEAR(E410),YEAR($W$3)-YEAR(E410)+1))</f>
        <v>10</v>
      </c>
      <c r="W410" s="75">
        <f t="shared" ref="W410:W429" ca="1" si="114">IF(V410&lt;6, ROUNDUP(G410,0)*$W$6*V410, ROUNDUP(G410,0)*($W$6*5 + (V410-5)*$W$7))</f>
        <v>9135</v>
      </c>
      <c r="X410" s="200">
        <f t="shared" ref="X410:X429" ca="1" si="115">IF(V410=0,T410,((T410-ROUNDUP(G410,0)*1.5)+W410))</f>
        <v>10309</v>
      </c>
      <c r="Y410" s="1">
        <v>0.5</v>
      </c>
      <c r="Z410" s="1"/>
      <c r="AA410" s="219"/>
      <c r="AB410" s="302"/>
      <c r="AC410" s="302"/>
      <c r="AD410" s="302"/>
      <c r="AE410" s="302"/>
      <c r="AF410">
        <f t="shared" si="109"/>
        <v>0</v>
      </c>
    </row>
    <row r="411" spans="1:32" hidden="1" x14ac:dyDescent="0.25">
      <c r="A411" s="322" t="s">
        <v>1234</v>
      </c>
      <c r="B411" s="93" t="str">
        <f t="shared" si="111"/>
        <v>NO</v>
      </c>
      <c r="C411" s="93" t="s">
        <v>5503</v>
      </c>
      <c r="D411" s="4">
        <v>39156</v>
      </c>
      <c r="E411" s="2">
        <v>39234</v>
      </c>
      <c r="F411" s="2">
        <f t="shared" si="110"/>
        <v>42887</v>
      </c>
      <c r="G411" s="6">
        <v>341.43</v>
      </c>
      <c r="H411" s="7" t="s">
        <v>782</v>
      </c>
      <c r="I411" s="7" t="s">
        <v>86</v>
      </c>
      <c r="J411" s="105" t="s">
        <v>5163</v>
      </c>
      <c r="K411" s="266">
        <f t="shared" si="112"/>
        <v>2017</v>
      </c>
      <c r="L411" s="412"/>
      <c r="M411" s="412"/>
      <c r="N411" s="32" t="s">
        <v>459</v>
      </c>
      <c r="O411" s="32" t="s">
        <v>1228</v>
      </c>
      <c r="P411" s="278" t="s">
        <v>1236</v>
      </c>
      <c r="Q411" s="233" t="s">
        <v>1235</v>
      </c>
      <c r="R411" s="75">
        <v>1327</v>
      </c>
      <c r="S411" s="75">
        <v>0</v>
      </c>
      <c r="T411" s="75">
        <v>1327</v>
      </c>
      <c r="U411" s="200">
        <v>684</v>
      </c>
      <c r="V411" s="287">
        <f t="shared" ca="1" si="113"/>
        <v>10</v>
      </c>
      <c r="W411" s="75">
        <f t="shared" ca="1" si="114"/>
        <v>5985</v>
      </c>
      <c r="X411" s="200">
        <f t="shared" ca="1" si="115"/>
        <v>6799</v>
      </c>
      <c r="Y411" s="1">
        <v>0.5</v>
      </c>
      <c r="Z411" s="1"/>
      <c r="AA411" s="219"/>
      <c r="AB411" s="302"/>
      <c r="AC411" s="302"/>
      <c r="AD411" s="302"/>
      <c r="AE411" s="302"/>
      <c r="AF411">
        <f t="shared" si="109"/>
        <v>0</v>
      </c>
    </row>
    <row r="412" spans="1:32" hidden="1" x14ac:dyDescent="0.25">
      <c r="A412" s="322" t="s">
        <v>1237</v>
      </c>
      <c r="B412" s="93" t="str">
        <f t="shared" si="111"/>
        <v>NO</v>
      </c>
      <c r="C412" s="93" t="s">
        <v>5503</v>
      </c>
      <c r="D412" s="4">
        <v>39156</v>
      </c>
      <c r="E412" s="2">
        <v>39234</v>
      </c>
      <c r="F412" s="2">
        <f t="shared" si="110"/>
        <v>42887</v>
      </c>
      <c r="G412" s="6">
        <v>686.39</v>
      </c>
      <c r="H412" s="7" t="s">
        <v>782</v>
      </c>
      <c r="I412" s="7" t="s">
        <v>86</v>
      </c>
      <c r="J412" s="105" t="s">
        <v>5163</v>
      </c>
      <c r="K412" s="266">
        <f t="shared" si="112"/>
        <v>2017</v>
      </c>
      <c r="L412" s="412"/>
      <c r="M412" s="412"/>
      <c r="N412" s="32" t="s">
        <v>459</v>
      </c>
      <c r="O412" s="32" t="s">
        <v>1228</v>
      </c>
      <c r="P412" s="278" t="s">
        <v>837</v>
      </c>
      <c r="Q412" s="233" t="s">
        <v>1238</v>
      </c>
      <c r="R412" s="75">
        <v>2534.5</v>
      </c>
      <c r="S412" s="75">
        <v>0</v>
      </c>
      <c r="T412" s="75">
        <v>2534.5</v>
      </c>
      <c r="U412" s="200">
        <v>1374</v>
      </c>
      <c r="V412" s="287">
        <f t="shared" ca="1" si="113"/>
        <v>10</v>
      </c>
      <c r="W412" s="75">
        <f t="shared" ca="1" si="114"/>
        <v>12022.5</v>
      </c>
      <c r="X412" s="200">
        <f t="shared" ca="1" si="115"/>
        <v>13526.5</v>
      </c>
      <c r="Y412" s="1">
        <v>0.5</v>
      </c>
      <c r="Z412" s="1"/>
      <c r="AA412" s="219"/>
      <c r="AB412" s="302"/>
      <c r="AC412" s="302"/>
      <c r="AD412" s="302"/>
      <c r="AE412" s="302"/>
      <c r="AF412">
        <f t="shared" si="109"/>
        <v>0</v>
      </c>
    </row>
    <row r="413" spans="1:32" hidden="1" x14ac:dyDescent="0.25">
      <c r="A413" s="322" t="s">
        <v>1239</v>
      </c>
      <c r="B413" s="93" t="str">
        <f t="shared" si="111"/>
        <v>NO</v>
      </c>
      <c r="C413" s="93" t="s">
        <v>5503</v>
      </c>
      <c r="D413" s="4">
        <v>39156</v>
      </c>
      <c r="E413" s="2">
        <v>39234</v>
      </c>
      <c r="F413" s="2">
        <f t="shared" si="110"/>
        <v>42887</v>
      </c>
      <c r="G413" s="6">
        <v>639.6</v>
      </c>
      <c r="H413" s="7" t="s">
        <v>782</v>
      </c>
      <c r="I413" s="7" t="s">
        <v>86</v>
      </c>
      <c r="J413" s="105" t="s">
        <v>5163</v>
      </c>
      <c r="K413" s="266">
        <f t="shared" si="112"/>
        <v>2017</v>
      </c>
      <c r="L413" s="412"/>
      <c r="M413" s="412"/>
      <c r="N413" s="32" t="s">
        <v>459</v>
      </c>
      <c r="O413" s="32" t="s">
        <v>1241</v>
      </c>
      <c r="P413" s="278" t="s">
        <v>141</v>
      </c>
      <c r="Q413" s="233" t="s">
        <v>1240</v>
      </c>
      <c r="R413" s="75">
        <v>2370</v>
      </c>
      <c r="S413" s="75">
        <v>0</v>
      </c>
      <c r="T413" s="75">
        <v>2370</v>
      </c>
      <c r="U413" s="200">
        <v>1280</v>
      </c>
      <c r="V413" s="287">
        <f t="shared" ca="1" si="113"/>
        <v>10</v>
      </c>
      <c r="W413" s="75">
        <f t="shared" ca="1" si="114"/>
        <v>11200</v>
      </c>
      <c r="X413" s="200">
        <f t="shared" ca="1" si="115"/>
        <v>12610</v>
      </c>
      <c r="Y413" s="1">
        <v>0.5</v>
      </c>
      <c r="Z413" s="1"/>
      <c r="AA413" s="219"/>
      <c r="AB413" s="302"/>
      <c r="AC413" s="302"/>
      <c r="AD413" s="302"/>
      <c r="AE413" s="302"/>
      <c r="AF413">
        <f t="shared" si="109"/>
        <v>0</v>
      </c>
    </row>
    <row r="414" spans="1:32" hidden="1" x14ac:dyDescent="0.25">
      <c r="A414" s="322" t="s">
        <v>1242</v>
      </c>
      <c r="B414" s="93" t="str">
        <f t="shared" si="111"/>
        <v>NO</v>
      </c>
      <c r="C414" s="93" t="s">
        <v>5503</v>
      </c>
      <c r="D414" s="4">
        <v>39156</v>
      </c>
      <c r="E414" s="2">
        <v>39234</v>
      </c>
      <c r="F414" s="2">
        <f t="shared" si="110"/>
        <v>42887</v>
      </c>
      <c r="G414" s="6">
        <v>640.6</v>
      </c>
      <c r="H414" s="7" t="s">
        <v>782</v>
      </c>
      <c r="I414" s="7" t="s">
        <v>86</v>
      </c>
      <c r="J414" s="105" t="s">
        <v>5163</v>
      </c>
      <c r="K414" s="266">
        <f t="shared" si="112"/>
        <v>2017</v>
      </c>
      <c r="L414" s="412"/>
      <c r="M414" s="412"/>
      <c r="N414" s="32" t="s">
        <v>459</v>
      </c>
      <c r="O414" s="32" t="s">
        <v>1241</v>
      </c>
      <c r="P414" s="278" t="s">
        <v>1244</v>
      </c>
      <c r="Q414" s="233" t="s">
        <v>1243</v>
      </c>
      <c r="R414" s="75">
        <v>2373.5</v>
      </c>
      <c r="S414" s="75">
        <v>0</v>
      </c>
      <c r="T414" s="75">
        <v>2373.5</v>
      </c>
      <c r="U414" s="200">
        <v>1282</v>
      </c>
      <c r="V414" s="287">
        <f t="shared" ca="1" si="113"/>
        <v>10</v>
      </c>
      <c r="W414" s="75">
        <f t="shared" ca="1" si="114"/>
        <v>11217.5</v>
      </c>
      <c r="X414" s="200">
        <f t="shared" ca="1" si="115"/>
        <v>12629.5</v>
      </c>
      <c r="Y414" s="1">
        <v>0.5</v>
      </c>
      <c r="Z414" s="1"/>
      <c r="AA414" s="219"/>
      <c r="AB414" s="302"/>
      <c r="AC414" s="302"/>
      <c r="AD414" s="302"/>
      <c r="AE414" s="302"/>
      <c r="AF414">
        <f t="shared" si="109"/>
        <v>0</v>
      </c>
    </row>
    <row r="415" spans="1:32" hidden="1" x14ac:dyDescent="0.25">
      <c r="A415" s="322" t="s">
        <v>1245</v>
      </c>
      <c r="B415" s="93" t="str">
        <f t="shared" si="111"/>
        <v>NO</v>
      </c>
      <c r="C415" s="93" t="s">
        <v>5503</v>
      </c>
      <c r="D415" s="4">
        <v>39156</v>
      </c>
      <c r="E415" s="2">
        <v>39234</v>
      </c>
      <c r="F415" s="2">
        <f t="shared" si="110"/>
        <v>42887</v>
      </c>
      <c r="G415" s="6">
        <v>638.79999999999995</v>
      </c>
      <c r="H415" s="7" t="s">
        <v>782</v>
      </c>
      <c r="I415" s="7" t="s">
        <v>86</v>
      </c>
      <c r="J415" s="105" t="s">
        <v>5163</v>
      </c>
      <c r="K415" s="266">
        <f t="shared" si="112"/>
        <v>2017</v>
      </c>
      <c r="L415" s="412"/>
      <c r="M415" s="412"/>
      <c r="N415" s="32" t="s">
        <v>459</v>
      </c>
      <c r="O415" s="32" t="s">
        <v>1241</v>
      </c>
      <c r="P415" s="278" t="s">
        <v>1247</v>
      </c>
      <c r="Q415" s="233" t="s">
        <v>1246</v>
      </c>
      <c r="R415" s="75">
        <v>2366.5</v>
      </c>
      <c r="S415" s="75">
        <v>0</v>
      </c>
      <c r="T415" s="75">
        <v>2366.5</v>
      </c>
      <c r="U415" s="200">
        <v>1278</v>
      </c>
      <c r="V415" s="287">
        <f t="shared" ca="1" si="113"/>
        <v>10</v>
      </c>
      <c r="W415" s="75">
        <f t="shared" ca="1" si="114"/>
        <v>11182.5</v>
      </c>
      <c r="X415" s="200">
        <f t="shared" ca="1" si="115"/>
        <v>12590.5</v>
      </c>
      <c r="Y415" s="1">
        <v>0.5</v>
      </c>
      <c r="Z415" s="1"/>
      <c r="AA415" s="219"/>
      <c r="AB415" s="302"/>
      <c r="AC415" s="302"/>
      <c r="AD415" s="302"/>
      <c r="AE415" s="302"/>
      <c r="AF415">
        <f t="shared" si="109"/>
        <v>0</v>
      </c>
    </row>
    <row r="416" spans="1:32" hidden="1" x14ac:dyDescent="0.25">
      <c r="A416" s="322" t="s">
        <v>1248</v>
      </c>
      <c r="B416" s="93" t="str">
        <f t="shared" si="111"/>
        <v>NO</v>
      </c>
      <c r="C416" s="93" t="s">
        <v>5503</v>
      </c>
      <c r="D416" s="4">
        <v>39156</v>
      </c>
      <c r="E416" s="2">
        <v>39234</v>
      </c>
      <c r="F416" s="2">
        <f t="shared" si="110"/>
        <v>42887</v>
      </c>
      <c r="G416" s="6">
        <v>640.79999999999995</v>
      </c>
      <c r="H416" s="7" t="s">
        <v>782</v>
      </c>
      <c r="I416" s="7" t="s">
        <v>86</v>
      </c>
      <c r="J416" s="105" t="s">
        <v>5163</v>
      </c>
      <c r="K416" s="266">
        <f t="shared" si="112"/>
        <v>2017</v>
      </c>
      <c r="L416" s="412"/>
      <c r="M416" s="412"/>
      <c r="N416" s="32" t="s">
        <v>459</v>
      </c>
      <c r="O416" s="32" t="s">
        <v>1241</v>
      </c>
      <c r="P416" s="278" t="s">
        <v>767</v>
      </c>
      <c r="Q416" s="233" t="s">
        <v>1249</v>
      </c>
      <c r="R416" s="75">
        <v>2373.5</v>
      </c>
      <c r="S416" s="75">
        <v>0</v>
      </c>
      <c r="T416" s="75">
        <v>2373.5</v>
      </c>
      <c r="U416" s="200">
        <v>1282</v>
      </c>
      <c r="V416" s="287">
        <f t="shared" ca="1" si="113"/>
        <v>10</v>
      </c>
      <c r="W416" s="75">
        <f t="shared" ca="1" si="114"/>
        <v>11217.5</v>
      </c>
      <c r="X416" s="200">
        <f t="shared" ca="1" si="115"/>
        <v>12629.5</v>
      </c>
      <c r="Y416" s="1">
        <v>0.5</v>
      </c>
      <c r="Z416" s="1"/>
      <c r="AA416" s="219"/>
      <c r="AB416" s="302"/>
      <c r="AC416" s="302"/>
      <c r="AD416" s="302"/>
      <c r="AE416" s="302"/>
      <c r="AF416">
        <f t="shared" si="109"/>
        <v>0</v>
      </c>
    </row>
    <row r="417" spans="1:32" hidden="1" x14ac:dyDescent="0.25">
      <c r="A417" s="322" t="s">
        <v>1250</v>
      </c>
      <c r="B417" s="93" t="str">
        <f t="shared" si="111"/>
        <v>NO</v>
      </c>
      <c r="C417" s="93" t="s">
        <v>5503</v>
      </c>
      <c r="D417" s="4">
        <v>39156</v>
      </c>
      <c r="E417" s="2">
        <v>39234</v>
      </c>
      <c r="F417" s="2">
        <f t="shared" si="110"/>
        <v>42887</v>
      </c>
      <c r="G417" s="6">
        <v>639</v>
      </c>
      <c r="H417" s="7" t="s">
        <v>782</v>
      </c>
      <c r="I417" s="7" t="s">
        <v>86</v>
      </c>
      <c r="J417" s="105" t="s">
        <v>5163</v>
      </c>
      <c r="K417" s="266">
        <f t="shared" si="112"/>
        <v>2017</v>
      </c>
      <c r="L417" s="412"/>
      <c r="M417" s="412"/>
      <c r="N417" s="32" t="s">
        <v>459</v>
      </c>
      <c r="O417" s="32" t="s">
        <v>1241</v>
      </c>
      <c r="P417" s="278" t="s">
        <v>727</v>
      </c>
      <c r="Q417" s="233" t="s">
        <v>1251</v>
      </c>
      <c r="R417" s="75">
        <v>2366.5</v>
      </c>
      <c r="S417" s="75">
        <v>0</v>
      </c>
      <c r="T417" s="75">
        <v>2366.5</v>
      </c>
      <c r="U417" s="200">
        <v>1278</v>
      </c>
      <c r="V417" s="287">
        <f t="shared" ca="1" si="113"/>
        <v>10</v>
      </c>
      <c r="W417" s="75">
        <f t="shared" ca="1" si="114"/>
        <v>11182.5</v>
      </c>
      <c r="X417" s="200">
        <f t="shared" ca="1" si="115"/>
        <v>12590.5</v>
      </c>
      <c r="Y417" s="1">
        <v>0.5</v>
      </c>
      <c r="Z417" s="1"/>
      <c r="AA417" s="219"/>
      <c r="AB417" s="302"/>
      <c r="AC417" s="302"/>
      <c r="AD417" s="302"/>
      <c r="AE417" s="302"/>
      <c r="AF417">
        <f t="shared" si="109"/>
        <v>0</v>
      </c>
    </row>
    <row r="418" spans="1:32" hidden="1" x14ac:dyDescent="0.25">
      <c r="A418" s="322" t="s">
        <v>1252</v>
      </c>
      <c r="B418" s="93" t="str">
        <f t="shared" si="111"/>
        <v>NO</v>
      </c>
      <c r="C418" s="93" t="s">
        <v>5503</v>
      </c>
      <c r="D418" s="4">
        <v>39156</v>
      </c>
      <c r="E418" s="2">
        <v>39234</v>
      </c>
      <c r="F418" s="2">
        <f t="shared" si="110"/>
        <v>42887</v>
      </c>
      <c r="G418" s="6">
        <v>637.48</v>
      </c>
      <c r="H418" s="7" t="s">
        <v>782</v>
      </c>
      <c r="I418" s="7" t="s">
        <v>86</v>
      </c>
      <c r="J418" s="105" t="s">
        <v>5163</v>
      </c>
      <c r="K418" s="266">
        <f t="shared" si="112"/>
        <v>2017</v>
      </c>
      <c r="L418" s="412"/>
      <c r="M418" s="412"/>
      <c r="N418" s="32" t="s">
        <v>459</v>
      </c>
      <c r="O418" s="32" t="s">
        <v>1241</v>
      </c>
      <c r="P418" s="278" t="s">
        <v>795</v>
      </c>
      <c r="Q418" s="233" t="s">
        <v>1253</v>
      </c>
      <c r="R418" s="75">
        <v>2363</v>
      </c>
      <c r="S418" s="75">
        <v>0</v>
      </c>
      <c r="T418" s="75">
        <v>2363</v>
      </c>
      <c r="U418" s="200">
        <v>1276</v>
      </c>
      <c r="V418" s="287">
        <f t="shared" ca="1" si="113"/>
        <v>10</v>
      </c>
      <c r="W418" s="75">
        <f t="shared" ca="1" si="114"/>
        <v>11165</v>
      </c>
      <c r="X418" s="200">
        <f t="shared" ca="1" si="115"/>
        <v>12571</v>
      </c>
      <c r="Y418" s="1">
        <v>0.5</v>
      </c>
      <c r="Z418" s="1"/>
      <c r="AA418" s="219"/>
      <c r="AB418" s="302"/>
      <c r="AC418" s="302"/>
      <c r="AD418" s="302"/>
      <c r="AE418" s="302"/>
      <c r="AF418">
        <f t="shared" si="109"/>
        <v>0</v>
      </c>
    </row>
    <row r="419" spans="1:32" ht="39" hidden="1" x14ac:dyDescent="0.25">
      <c r="A419" s="322" t="s">
        <v>1254</v>
      </c>
      <c r="B419" s="93" t="str">
        <f t="shared" si="111"/>
        <v>NO</v>
      </c>
      <c r="C419" s="93" t="s">
        <v>5503</v>
      </c>
      <c r="D419" s="4">
        <v>39156</v>
      </c>
      <c r="E419" s="2">
        <v>39234</v>
      </c>
      <c r="F419" s="2">
        <f t="shared" si="110"/>
        <v>42887</v>
      </c>
      <c r="G419" s="6">
        <v>276.64999999999998</v>
      </c>
      <c r="H419" s="7" t="s">
        <v>782</v>
      </c>
      <c r="I419" s="7" t="s">
        <v>86</v>
      </c>
      <c r="J419" s="105" t="s">
        <v>5163</v>
      </c>
      <c r="K419" s="266">
        <f t="shared" si="112"/>
        <v>2017</v>
      </c>
      <c r="L419" s="412"/>
      <c r="M419" s="412"/>
      <c r="N419" s="32" t="s">
        <v>459</v>
      </c>
      <c r="O419" s="32" t="s">
        <v>1241</v>
      </c>
      <c r="P419" s="278" t="s">
        <v>1256</v>
      </c>
      <c r="Q419" s="233" t="s">
        <v>1255</v>
      </c>
      <c r="R419" s="75">
        <v>1099.5</v>
      </c>
      <c r="S419" s="75">
        <v>0</v>
      </c>
      <c r="T419" s="75">
        <v>1099.5</v>
      </c>
      <c r="U419" s="200">
        <v>554</v>
      </c>
      <c r="V419" s="287">
        <f t="shared" ca="1" si="113"/>
        <v>10</v>
      </c>
      <c r="W419" s="75">
        <f t="shared" ca="1" si="114"/>
        <v>4847.5</v>
      </c>
      <c r="X419" s="200">
        <f t="shared" ca="1" si="115"/>
        <v>5531.5</v>
      </c>
      <c r="Y419" s="1">
        <v>0.5</v>
      </c>
      <c r="Z419" s="1"/>
      <c r="AA419" s="219"/>
      <c r="AB419" s="302"/>
      <c r="AC419" s="302"/>
      <c r="AD419" s="302"/>
      <c r="AE419" s="302"/>
      <c r="AF419">
        <f t="shared" si="109"/>
        <v>0</v>
      </c>
    </row>
    <row r="420" spans="1:32" hidden="1" x14ac:dyDescent="0.25">
      <c r="A420" s="322" t="s">
        <v>1257</v>
      </c>
      <c r="B420" s="93" t="str">
        <f t="shared" si="111"/>
        <v>NO</v>
      </c>
      <c r="C420" s="93" t="s">
        <v>5503</v>
      </c>
      <c r="D420" s="4">
        <v>39156</v>
      </c>
      <c r="E420" s="2">
        <v>39234</v>
      </c>
      <c r="F420" s="2">
        <f t="shared" si="110"/>
        <v>42887</v>
      </c>
      <c r="G420" s="6">
        <v>641.4</v>
      </c>
      <c r="H420" s="7" t="s">
        <v>782</v>
      </c>
      <c r="I420" s="7" t="s">
        <v>86</v>
      </c>
      <c r="J420" s="105" t="s">
        <v>5163</v>
      </c>
      <c r="K420" s="266">
        <f t="shared" si="112"/>
        <v>2017</v>
      </c>
      <c r="L420" s="412"/>
      <c r="M420" s="412"/>
      <c r="N420" s="32" t="s">
        <v>459</v>
      </c>
      <c r="O420" s="32" t="s">
        <v>1241</v>
      </c>
      <c r="P420" s="278" t="s">
        <v>1259</v>
      </c>
      <c r="Q420" s="233" t="s">
        <v>1258</v>
      </c>
      <c r="R420" s="75">
        <v>2377</v>
      </c>
      <c r="S420" s="75">
        <v>0</v>
      </c>
      <c r="T420" s="75">
        <v>2377</v>
      </c>
      <c r="U420" s="200">
        <v>1284</v>
      </c>
      <c r="V420" s="287">
        <f t="shared" ca="1" si="113"/>
        <v>10</v>
      </c>
      <c r="W420" s="75">
        <f t="shared" ca="1" si="114"/>
        <v>11235</v>
      </c>
      <c r="X420" s="200">
        <f t="shared" ca="1" si="115"/>
        <v>12649</v>
      </c>
      <c r="Y420" s="1">
        <v>0.5</v>
      </c>
      <c r="Z420" s="1"/>
      <c r="AA420" s="219"/>
      <c r="AB420" s="302"/>
      <c r="AC420" s="302"/>
      <c r="AD420" s="302"/>
      <c r="AE420" s="302"/>
      <c r="AF420">
        <f t="shared" si="109"/>
        <v>0</v>
      </c>
    </row>
    <row r="421" spans="1:32" hidden="1" x14ac:dyDescent="0.25">
      <c r="A421" s="322" t="s">
        <v>1260</v>
      </c>
      <c r="B421" s="93" t="str">
        <f t="shared" si="111"/>
        <v>NO</v>
      </c>
      <c r="C421" s="93" t="s">
        <v>5503</v>
      </c>
      <c r="D421" s="4">
        <v>39156</v>
      </c>
      <c r="E421" s="2">
        <v>39234</v>
      </c>
      <c r="F421" s="2">
        <f t="shared" si="110"/>
        <v>42887</v>
      </c>
      <c r="G421" s="6">
        <v>639.6</v>
      </c>
      <c r="H421" s="7" t="s">
        <v>782</v>
      </c>
      <c r="I421" s="7" t="s">
        <v>86</v>
      </c>
      <c r="J421" s="105" t="s">
        <v>5163</v>
      </c>
      <c r="K421" s="266">
        <f t="shared" si="112"/>
        <v>2017</v>
      </c>
      <c r="L421" s="412"/>
      <c r="M421" s="412"/>
      <c r="N421" s="32" t="s">
        <v>459</v>
      </c>
      <c r="O421" s="32" t="s">
        <v>1241</v>
      </c>
      <c r="P421" s="278" t="s">
        <v>1262</v>
      </c>
      <c r="Q421" s="233" t="s">
        <v>1261</v>
      </c>
      <c r="R421" s="75">
        <v>2370</v>
      </c>
      <c r="S421" s="75">
        <v>0</v>
      </c>
      <c r="T421" s="75">
        <v>2370</v>
      </c>
      <c r="U421" s="200">
        <v>1280</v>
      </c>
      <c r="V421" s="287">
        <f t="shared" ca="1" si="113"/>
        <v>10</v>
      </c>
      <c r="W421" s="75">
        <f t="shared" ca="1" si="114"/>
        <v>11200</v>
      </c>
      <c r="X421" s="200">
        <f t="shared" ca="1" si="115"/>
        <v>12610</v>
      </c>
      <c r="Y421" s="1">
        <v>0.5</v>
      </c>
      <c r="Z421" s="1"/>
      <c r="AA421" s="219"/>
      <c r="AB421" s="302"/>
      <c r="AC421" s="302"/>
      <c r="AD421" s="302"/>
      <c r="AE421" s="302"/>
      <c r="AF421">
        <f t="shared" si="109"/>
        <v>0</v>
      </c>
    </row>
    <row r="422" spans="1:32" hidden="1" x14ac:dyDescent="0.25">
      <c r="A422" s="322" t="s">
        <v>1263</v>
      </c>
      <c r="B422" s="93" t="str">
        <f t="shared" si="111"/>
        <v>NO</v>
      </c>
      <c r="C422" s="93" t="s">
        <v>5503</v>
      </c>
      <c r="D422" s="4">
        <v>39156</v>
      </c>
      <c r="E422" s="2">
        <v>39234</v>
      </c>
      <c r="F422" s="2">
        <f t="shared" si="110"/>
        <v>42887</v>
      </c>
      <c r="G422" s="6">
        <v>639.6</v>
      </c>
      <c r="H422" s="7" t="s">
        <v>782</v>
      </c>
      <c r="I422" s="7" t="s">
        <v>86</v>
      </c>
      <c r="J422" s="105" t="s">
        <v>5163</v>
      </c>
      <c r="K422" s="266">
        <f t="shared" si="112"/>
        <v>2017</v>
      </c>
      <c r="L422" s="412"/>
      <c r="M422" s="412"/>
      <c r="N422" s="32" t="s">
        <v>459</v>
      </c>
      <c r="O422" s="32" t="s">
        <v>1241</v>
      </c>
      <c r="P422" s="278" t="s">
        <v>162</v>
      </c>
      <c r="Q422" s="233" t="s">
        <v>1264</v>
      </c>
      <c r="R422" s="75">
        <v>2370</v>
      </c>
      <c r="S422" s="75">
        <v>0</v>
      </c>
      <c r="T422" s="75">
        <v>2370</v>
      </c>
      <c r="U422" s="200">
        <v>1280</v>
      </c>
      <c r="V422" s="287">
        <f t="shared" ca="1" si="113"/>
        <v>10</v>
      </c>
      <c r="W422" s="75">
        <f t="shared" ca="1" si="114"/>
        <v>11200</v>
      </c>
      <c r="X422" s="200">
        <f t="shared" ca="1" si="115"/>
        <v>12610</v>
      </c>
      <c r="Y422" s="1">
        <v>0.5</v>
      </c>
      <c r="Z422" s="1"/>
      <c r="AA422" s="219"/>
      <c r="AB422" s="302"/>
      <c r="AC422" s="302"/>
      <c r="AD422" s="302"/>
      <c r="AE422" s="302"/>
      <c r="AF422">
        <f t="shared" si="109"/>
        <v>0</v>
      </c>
    </row>
    <row r="423" spans="1:32" hidden="1" x14ac:dyDescent="0.25">
      <c r="A423" s="322" t="s">
        <v>1265</v>
      </c>
      <c r="B423" s="93" t="str">
        <f t="shared" si="111"/>
        <v>NO</v>
      </c>
      <c r="C423" s="93" t="s">
        <v>5503</v>
      </c>
      <c r="D423" s="4">
        <v>39156</v>
      </c>
      <c r="E423" s="2">
        <v>39234</v>
      </c>
      <c r="F423" s="2">
        <f t="shared" si="110"/>
        <v>42887</v>
      </c>
      <c r="G423" s="6">
        <v>641.79999999999995</v>
      </c>
      <c r="H423" s="7" t="s">
        <v>782</v>
      </c>
      <c r="I423" s="7" t="s">
        <v>86</v>
      </c>
      <c r="J423" s="105" t="s">
        <v>5163</v>
      </c>
      <c r="K423" s="266">
        <f t="shared" si="112"/>
        <v>2017</v>
      </c>
      <c r="L423" s="412"/>
      <c r="M423" s="412"/>
      <c r="N423" s="32" t="s">
        <v>459</v>
      </c>
      <c r="O423" s="32" t="s">
        <v>1241</v>
      </c>
      <c r="P423" s="278" t="s">
        <v>363</v>
      </c>
      <c r="Q423" s="233" t="s">
        <v>1266</v>
      </c>
      <c r="R423" s="75">
        <v>2377</v>
      </c>
      <c r="S423" s="75">
        <v>0</v>
      </c>
      <c r="T423" s="75">
        <v>2377</v>
      </c>
      <c r="U423" s="200">
        <v>1284</v>
      </c>
      <c r="V423" s="287">
        <f t="shared" ca="1" si="113"/>
        <v>10</v>
      </c>
      <c r="W423" s="75">
        <f t="shared" ca="1" si="114"/>
        <v>11235</v>
      </c>
      <c r="X423" s="200">
        <f t="shared" ca="1" si="115"/>
        <v>12649</v>
      </c>
      <c r="Y423" s="1">
        <v>0.5</v>
      </c>
      <c r="Z423" s="1"/>
      <c r="AA423" s="219"/>
      <c r="AB423" s="302"/>
      <c r="AC423" s="302"/>
      <c r="AD423" s="302"/>
      <c r="AE423" s="302"/>
      <c r="AF423">
        <f t="shared" si="109"/>
        <v>0</v>
      </c>
    </row>
    <row r="424" spans="1:32" hidden="1" x14ac:dyDescent="0.25">
      <c r="A424" s="322" t="s">
        <v>1267</v>
      </c>
      <c r="B424" s="93" t="str">
        <f t="shared" si="111"/>
        <v>NO</v>
      </c>
      <c r="C424" s="93" t="s">
        <v>5503</v>
      </c>
      <c r="D424" s="4">
        <v>39156</v>
      </c>
      <c r="E424" s="2">
        <v>39234</v>
      </c>
      <c r="F424" s="2">
        <f t="shared" si="110"/>
        <v>42887</v>
      </c>
      <c r="G424" s="6">
        <v>622.69000000000005</v>
      </c>
      <c r="H424" s="7" t="s">
        <v>782</v>
      </c>
      <c r="I424" s="7" t="s">
        <v>86</v>
      </c>
      <c r="J424" s="105" t="s">
        <v>5163</v>
      </c>
      <c r="K424" s="266">
        <f t="shared" si="112"/>
        <v>2017</v>
      </c>
      <c r="L424" s="412"/>
      <c r="M424" s="412"/>
      <c r="N424" s="32" t="s">
        <v>459</v>
      </c>
      <c r="O424" s="32" t="s">
        <v>1241</v>
      </c>
      <c r="P424" s="278" t="s">
        <v>1269</v>
      </c>
      <c r="Q424" s="233" t="s">
        <v>1268</v>
      </c>
      <c r="R424" s="75">
        <v>2310.5</v>
      </c>
      <c r="S424" s="75">
        <v>623</v>
      </c>
      <c r="T424" s="75">
        <v>2933.5</v>
      </c>
      <c r="U424" s="200">
        <v>1246</v>
      </c>
      <c r="V424" s="287">
        <f t="shared" ca="1" si="113"/>
        <v>10</v>
      </c>
      <c r="W424" s="75">
        <f t="shared" ca="1" si="114"/>
        <v>10902.5</v>
      </c>
      <c r="X424" s="200">
        <f t="shared" ca="1" si="115"/>
        <v>12901.5</v>
      </c>
      <c r="Y424" s="1">
        <v>0.5</v>
      </c>
      <c r="Z424" s="1"/>
      <c r="AA424" s="219"/>
      <c r="AB424" s="302"/>
      <c r="AC424" s="302"/>
      <c r="AD424" s="302"/>
      <c r="AE424" s="302"/>
      <c r="AF424">
        <f t="shared" si="109"/>
        <v>0</v>
      </c>
    </row>
    <row r="425" spans="1:32" hidden="1" x14ac:dyDescent="0.25">
      <c r="A425" s="322" t="s">
        <v>1270</v>
      </c>
      <c r="B425" s="93" t="str">
        <f t="shared" si="111"/>
        <v>NO</v>
      </c>
      <c r="C425" s="93" t="s">
        <v>5503</v>
      </c>
      <c r="D425" s="4">
        <v>39156</v>
      </c>
      <c r="E425" s="2">
        <v>39234</v>
      </c>
      <c r="F425" s="2">
        <f t="shared" si="110"/>
        <v>42887</v>
      </c>
      <c r="G425" s="6">
        <v>638.28</v>
      </c>
      <c r="H425" s="7" t="s">
        <v>782</v>
      </c>
      <c r="I425" s="7" t="s">
        <v>86</v>
      </c>
      <c r="J425" s="105" t="s">
        <v>5163</v>
      </c>
      <c r="K425" s="266">
        <f t="shared" si="112"/>
        <v>2017</v>
      </c>
      <c r="L425" s="412"/>
      <c r="M425" s="412"/>
      <c r="N425" s="32" t="s">
        <v>459</v>
      </c>
      <c r="O425" s="32" t="s">
        <v>1241</v>
      </c>
      <c r="P425" s="278" t="s">
        <v>171</v>
      </c>
      <c r="Q425" s="233" t="s">
        <v>1271</v>
      </c>
      <c r="R425" s="75">
        <v>2366.5</v>
      </c>
      <c r="S425" s="75">
        <v>0</v>
      </c>
      <c r="T425" s="75">
        <v>2366.5</v>
      </c>
      <c r="U425" s="200">
        <v>1278</v>
      </c>
      <c r="V425" s="287">
        <f t="shared" ca="1" si="113"/>
        <v>10</v>
      </c>
      <c r="W425" s="75">
        <f t="shared" ca="1" si="114"/>
        <v>11182.5</v>
      </c>
      <c r="X425" s="200">
        <f t="shared" ca="1" si="115"/>
        <v>12590.5</v>
      </c>
      <c r="Y425" s="1">
        <v>0.5</v>
      </c>
      <c r="Z425" s="1"/>
      <c r="AA425" s="219"/>
      <c r="AB425" s="302"/>
      <c r="AC425" s="302"/>
      <c r="AD425" s="302"/>
      <c r="AE425" s="302"/>
      <c r="AF425">
        <f t="shared" si="109"/>
        <v>0</v>
      </c>
    </row>
    <row r="426" spans="1:32" hidden="1" x14ac:dyDescent="0.25">
      <c r="A426" s="322" t="s">
        <v>1272</v>
      </c>
      <c r="B426" s="93" t="str">
        <f t="shared" si="111"/>
        <v>NO</v>
      </c>
      <c r="C426" s="93" t="s">
        <v>5503</v>
      </c>
      <c r="D426" s="4">
        <v>39156</v>
      </c>
      <c r="E426" s="2">
        <v>39234</v>
      </c>
      <c r="F426" s="2">
        <f t="shared" si="110"/>
        <v>42887</v>
      </c>
      <c r="G426" s="6">
        <v>642.6</v>
      </c>
      <c r="H426" s="7" t="s">
        <v>782</v>
      </c>
      <c r="I426" s="7" t="s">
        <v>86</v>
      </c>
      <c r="J426" s="105" t="s">
        <v>5163</v>
      </c>
      <c r="K426" s="266">
        <f t="shared" si="112"/>
        <v>2017</v>
      </c>
      <c r="L426" s="412"/>
      <c r="M426" s="412"/>
      <c r="N426" s="32" t="s">
        <v>459</v>
      </c>
      <c r="O426" s="32" t="s">
        <v>1241</v>
      </c>
      <c r="P426" s="278" t="s">
        <v>1274</v>
      </c>
      <c r="Q426" s="233" t="s">
        <v>1273</v>
      </c>
      <c r="R426" s="75">
        <v>2380.5</v>
      </c>
      <c r="S426" s="75">
        <v>0</v>
      </c>
      <c r="T426" s="75">
        <v>2380.5</v>
      </c>
      <c r="U426" s="200">
        <v>1286</v>
      </c>
      <c r="V426" s="287">
        <f t="shared" ca="1" si="113"/>
        <v>10</v>
      </c>
      <c r="W426" s="75">
        <f t="shared" ca="1" si="114"/>
        <v>11252.5</v>
      </c>
      <c r="X426" s="200">
        <f t="shared" ca="1" si="115"/>
        <v>12668.5</v>
      </c>
      <c r="Y426" s="1">
        <v>0.5</v>
      </c>
      <c r="Z426" s="1"/>
      <c r="AA426" s="219"/>
      <c r="AB426" s="302"/>
      <c r="AC426" s="302"/>
      <c r="AD426" s="302"/>
      <c r="AE426" s="302"/>
      <c r="AF426">
        <f t="shared" si="109"/>
        <v>0</v>
      </c>
    </row>
    <row r="427" spans="1:32" hidden="1" x14ac:dyDescent="0.25">
      <c r="A427" s="322" t="s">
        <v>1275</v>
      </c>
      <c r="B427" s="93" t="str">
        <f t="shared" si="111"/>
        <v>NO</v>
      </c>
      <c r="C427" s="93" t="s">
        <v>5503</v>
      </c>
      <c r="D427" s="4">
        <v>39156</v>
      </c>
      <c r="E427" s="2">
        <v>39234</v>
      </c>
      <c r="F427" s="2">
        <f t="shared" si="110"/>
        <v>42887</v>
      </c>
      <c r="G427" s="6">
        <v>639.20000000000005</v>
      </c>
      <c r="H427" s="7" t="s">
        <v>782</v>
      </c>
      <c r="I427" s="7" t="s">
        <v>86</v>
      </c>
      <c r="J427" s="105" t="s">
        <v>5163</v>
      </c>
      <c r="K427" s="266">
        <f t="shared" si="112"/>
        <v>2017</v>
      </c>
      <c r="L427" s="412"/>
      <c r="M427" s="412"/>
      <c r="N427" s="32" t="s">
        <v>459</v>
      </c>
      <c r="O427" s="32" t="s">
        <v>1241</v>
      </c>
      <c r="P427" s="278" t="s">
        <v>177</v>
      </c>
      <c r="Q427" s="233" t="s">
        <v>1276</v>
      </c>
      <c r="R427" s="75">
        <v>2370</v>
      </c>
      <c r="S427" s="75">
        <v>0</v>
      </c>
      <c r="T427" s="75">
        <v>2370</v>
      </c>
      <c r="U427" s="200">
        <v>1280</v>
      </c>
      <c r="V427" s="287">
        <f t="shared" ca="1" si="113"/>
        <v>10</v>
      </c>
      <c r="W427" s="75">
        <f t="shared" ca="1" si="114"/>
        <v>11200</v>
      </c>
      <c r="X427" s="200">
        <f t="shared" ca="1" si="115"/>
        <v>12610</v>
      </c>
      <c r="Y427" s="1">
        <v>0.5</v>
      </c>
      <c r="Z427" s="1"/>
      <c r="AA427" s="219"/>
      <c r="AB427" s="302"/>
      <c r="AC427" s="302"/>
      <c r="AD427" s="302"/>
      <c r="AE427" s="302"/>
      <c r="AF427">
        <f t="shared" si="109"/>
        <v>0</v>
      </c>
    </row>
    <row r="428" spans="1:32" hidden="1" x14ac:dyDescent="0.25">
      <c r="A428" s="322" t="s">
        <v>1277</v>
      </c>
      <c r="B428" s="93" t="str">
        <f t="shared" si="111"/>
        <v>NO</v>
      </c>
      <c r="C428" s="93" t="s">
        <v>5503</v>
      </c>
      <c r="D428" s="4">
        <v>39156</v>
      </c>
      <c r="E428" s="2">
        <v>39234</v>
      </c>
      <c r="F428" s="2">
        <f t="shared" si="110"/>
        <v>42887</v>
      </c>
      <c r="G428" s="6">
        <v>99.61</v>
      </c>
      <c r="H428" s="7" t="s">
        <v>85</v>
      </c>
      <c r="I428" s="7" t="s">
        <v>86</v>
      </c>
      <c r="J428" s="105" t="s">
        <v>5163</v>
      </c>
      <c r="K428" s="266">
        <f t="shared" si="112"/>
        <v>2017</v>
      </c>
      <c r="L428" s="412"/>
      <c r="M428" s="412"/>
      <c r="N428" s="32" t="s">
        <v>459</v>
      </c>
      <c r="O428" s="32" t="s">
        <v>1279</v>
      </c>
      <c r="P428" s="278" t="s">
        <v>1280</v>
      </c>
      <c r="Q428" s="233" t="s">
        <v>1278</v>
      </c>
      <c r="R428" s="75">
        <v>480</v>
      </c>
      <c r="S428" s="75">
        <v>1800</v>
      </c>
      <c r="T428" s="75">
        <v>2280</v>
      </c>
      <c r="U428" s="200">
        <v>200</v>
      </c>
      <c r="V428" s="287">
        <f t="shared" ca="1" si="113"/>
        <v>10</v>
      </c>
      <c r="W428" s="75">
        <f t="shared" ca="1" si="114"/>
        <v>1750</v>
      </c>
      <c r="X428" s="200">
        <f t="shared" ca="1" si="115"/>
        <v>3880</v>
      </c>
      <c r="Y428" s="1">
        <v>0.5</v>
      </c>
      <c r="Z428" s="1"/>
      <c r="AA428" s="219"/>
      <c r="AB428" s="302"/>
      <c r="AC428" s="302"/>
      <c r="AD428" s="302"/>
      <c r="AE428" s="302"/>
      <c r="AF428">
        <f t="shared" si="109"/>
        <v>0</v>
      </c>
    </row>
    <row r="429" spans="1:32" hidden="1" x14ac:dyDescent="0.25">
      <c r="A429" s="322" t="s">
        <v>1281</v>
      </c>
      <c r="B429" s="93" t="str">
        <f t="shared" si="111"/>
        <v>NO</v>
      </c>
      <c r="C429" s="93" t="s">
        <v>5503</v>
      </c>
      <c r="D429" s="4">
        <v>39156</v>
      </c>
      <c r="E429" s="2">
        <v>39234</v>
      </c>
      <c r="F429" s="2">
        <f t="shared" si="110"/>
        <v>42887</v>
      </c>
      <c r="G429" s="6">
        <v>320.48</v>
      </c>
      <c r="H429" s="7" t="s">
        <v>85</v>
      </c>
      <c r="I429" s="7" t="s">
        <v>86</v>
      </c>
      <c r="J429" s="105" t="s">
        <v>5163</v>
      </c>
      <c r="K429" s="266">
        <f t="shared" si="112"/>
        <v>2017</v>
      </c>
      <c r="L429" s="412"/>
      <c r="M429" s="412"/>
      <c r="N429" s="32" t="s">
        <v>459</v>
      </c>
      <c r="O429" s="32" t="s">
        <v>1279</v>
      </c>
      <c r="P429" s="278" t="s">
        <v>1283</v>
      </c>
      <c r="Q429" s="233" t="s">
        <v>1282</v>
      </c>
      <c r="R429" s="75">
        <v>1253.5</v>
      </c>
      <c r="S429" s="75">
        <v>4494</v>
      </c>
      <c r="T429" s="75">
        <v>5747.5</v>
      </c>
      <c r="U429" s="200">
        <v>642</v>
      </c>
      <c r="V429" s="287">
        <f t="shared" ca="1" si="113"/>
        <v>10</v>
      </c>
      <c r="W429" s="75">
        <f t="shared" ca="1" si="114"/>
        <v>5617.5</v>
      </c>
      <c r="X429" s="200">
        <f t="shared" ca="1" si="115"/>
        <v>10883.5</v>
      </c>
      <c r="Y429" s="1">
        <v>0.5</v>
      </c>
      <c r="Z429" s="1"/>
      <c r="AA429" s="219"/>
      <c r="AB429" s="302"/>
      <c r="AC429" s="302"/>
      <c r="AD429" s="302"/>
      <c r="AE429" s="302"/>
      <c r="AF429">
        <f t="shared" si="109"/>
        <v>0</v>
      </c>
    </row>
    <row r="430" spans="1:32" ht="15.75" hidden="1" thickBot="1" x14ac:dyDescent="0.3">
      <c r="A430" s="323"/>
      <c r="D430" s="4"/>
      <c r="E430" s="2"/>
      <c r="F430" s="2"/>
      <c r="G430" s="6"/>
      <c r="H430" s="7"/>
      <c r="I430" s="7"/>
      <c r="J430" s="186"/>
      <c r="K430" s="186"/>
      <c r="L430" s="386"/>
      <c r="M430" s="386"/>
      <c r="N430" s="32"/>
      <c r="O430" s="32"/>
      <c r="P430" s="278"/>
      <c r="Q430" s="233" t="s">
        <v>508</v>
      </c>
      <c r="R430" s="76">
        <v>144101.5</v>
      </c>
      <c r="S430" s="76">
        <v>1100491</v>
      </c>
      <c r="T430" s="76">
        <v>1244592.5</v>
      </c>
      <c r="U430" s="200"/>
      <c r="V430" s="75"/>
      <c r="W430" s="75"/>
      <c r="X430" s="200"/>
      <c r="Y430" s="1"/>
      <c r="Z430" s="1"/>
      <c r="AA430" s="219"/>
      <c r="AB430" s="302"/>
      <c r="AC430" s="302"/>
      <c r="AD430" s="302"/>
      <c r="AE430" s="302"/>
      <c r="AF430">
        <f t="shared" si="109"/>
        <v>0</v>
      </c>
    </row>
    <row r="431" spans="1:32" hidden="1" x14ac:dyDescent="0.25">
      <c r="A431" s="323"/>
      <c r="D431" s="4"/>
      <c r="E431" s="2"/>
      <c r="F431" s="2"/>
      <c r="G431" s="6"/>
      <c r="H431" s="7"/>
      <c r="I431" s="7"/>
      <c r="J431" s="186"/>
      <c r="K431" s="186"/>
      <c r="L431" s="386"/>
      <c r="M431" s="386"/>
      <c r="N431" s="32"/>
      <c r="O431" s="32"/>
      <c r="P431" s="278"/>
      <c r="Q431" s="233"/>
      <c r="R431" s="75"/>
      <c r="S431" s="75"/>
      <c r="T431" s="75"/>
      <c r="U431" s="200"/>
      <c r="V431" s="75"/>
      <c r="W431" s="75"/>
      <c r="X431" s="200"/>
      <c r="Y431" s="1"/>
      <c r="Z431" s="1"/>
      <c r="AA431" s="219"/>
      <c r="AB431" s="302"/>
      <c r="AC431" s="302"/>
      <c r="AD431" s="302"/>
      <c r="AE431" s="302"/>
      <c r="AF431">
        <f t="shared" si="109"/>
        <v>0</v>
      </c>
    </row>
    <row r="432" spans="1:32" hidden="1" x14ac:dyDescent="0.25">
      <c r="A432" s="322" t="s">
        <v>1284</v>
      </c>
      <c r="B432" s="93" t="str">
        <f t="shared" ref="B432:B464" si="116">IF(COUNTIF(GIS,A434),"YES","NO")</f>
        <v>NO</v>
      </c>
      <c r="C432" s="93" t="s">
        <v>5503</v>
      </c>
      <c r="D432" s="4">
        <v>39281</v>
      </c>
      <c r="E432" s="2">
        <v>39326</v>
      </c>
      <c r="F432" s="2">
        <f t="shared" si="110"/>
        <v>42979</v>
      </c>
      <c r="G432" s="6">
        <v>2560</v>
      </c>
      <c r="H432" s="7" t="s">
        <v>1286</v>
      </c>
      <c r="I432" s="7" t="s">
        <v>512</v>
      </c>
      <c r="J432" s="186"/>
      <c r="K432" s="266">
        <f t="shared" ref="K432:K464" si="117">YEAR(F432)</f>
        <v>2017</v>
      </c>
      <c r="L432" s="386"/>
      <c r="M432" s="386"/>
      <c r="N432" s="32"/>
      <c r="O432" s="32" t="s">
        <v>1287</v>
      </c>
      <c r="P432" s="278" t="s">
        <v>1288</v>
      </c>
      <c r="Q432" s="233" t="s">
        <v>1285</v>
      </c>
      <c r="R432" s="75">
        <v>9090</v>
      </c>
      <c r="S432" s="75">
        <v>20480</v>
      </c>
      <c r="T432" s="75">
        <v>29570</v>
      </c>
      <c r="U432" s="200">
        <v>5120</v>
      </c>
      <c r="V432" s="287">
        <f t="shared" ref="V432:V464" ca="1" si="118">IF(YEAR($W$3)-YEAR(E432)&gt;9,10,IF(MONTH($W$3)&lt;MONTH(E432),YEAR($W$3)-YEAR(E432),YEAR($W$3)-YEAR(E432)+1))</f>
        <v>10</v>
      </c>
      <c r="W432" s="75">
        <f t="shared" ref="W432:W464" ca="1" si="119">IF(V432&lt;6, ROUNDUP(G432,0)*$W$6*V432, ROUNDUP(G432,0)*($W$6*5 + (V432-5)*$W$7))</f>
        <v>44800</v>
      </c>
      <c r="X432" s="200">
        <f t="shared" ref="X432:X464" ca="1" si="120">IF(V432=0,T432,((T432-ROUNDUP(G432,0)*1.5)+W432))</f>
        <v>70530</v>
      </c>
      <c r="Y432" s="1">
        <v>0.5</v>
      </c>
      <c r="Z432" s="1"/>
      <c r="AA432" s="219"/>
      <c r="AB432" s="302" t="s">
        <v>6519</v>
      </c>
      <c r="AC432" s="302"/>
      <c r="AD432" s="302"/>
      <c r="AE432" s="302"/>
      <c r="AF432">
        <f t="shared" si="109"/>
        <v>0</v>
      </c>
    </row>
    <row r="433" spans="1:32" hidden="1" x14ac:dyDescent="0.25">
      <c r="A433" s="322" t="s">
        <v>1289</v>
      </c>
      <c r="B433" s="93" t="str">
        <f t="shared" si="116"/>
        <v>NO</v>
      </c>
      <c r="C433" s="93" t="s">
        <v>5503</v>
      </c>
      <c r="D433" s="4">
        <v>39281</v>
      </c>
      <c r="E433" s="2">
        <v>39326</v>
      </c>
      <c r="F433" s="2">
        <f t="shared" si="110"/>
        <v>42979</v>
      </c>
      <c r="G433" s="6">
        <v>2240</v>
      </c>
      <c r="H433" s="7" t="s">
        <v>1286</v>
      </c>
      <c r="I433" s="7" t="s">
        <v>512</v>
      </c>
      <c r="J433" s="186"/>
      <c r="K433" s="266">
        <f t="shared" si="117"/>
        <v>2017</v>
      </c>
      <c r="L433" s="386"/>
      <c r="M433" s="386"/>
      <c r="N433" s="32"/>
      <c r="O433" s="32" t="s">
        <v>1287</v>
      </c>
      <c r="P433" s="278" t="s">
        <v>1291</v>
      </c>
      <c r="Q433" s="233" t="s">
        <v>1290</v>
      </c>
      <c r="R433" s="75">
        <v>7970</v>
      </c>
      <c r="S433" s="75">
        <v>17920</v>
      </c>
      <c r="T433" s="75">
        <v>25890</v>
      </c>
      <c r="U433" s="200">
        <v>4480</v>
      </c>
      <c r="V433" s="287">
        <f t="shared" ca="1" si="118"/>
        <v>10</v>
      </c>
      <c r="W433" s="75">
        <f t="shared" ca="1" si="119"/>
        <v>39200</v>
      </c>
      <c r="X433" s="200">
        <f t="shared" ca="1" si="120"/>
        <v>61730</v>
      </c>
      <c r="Y433" s="1">
        <v>0.5</v>
      </c>
      <c r="Z433" s="1"/>
      <c r="AA433" s="219"/>
      <c r="AB433" s="302" t="s">
        <v>6520</v>
      </c>
      <c r="AC433" s="302"/>
      <c r="AD433" s="302"/>
      <c r="AE433" s="302"/>
      <c r="AF433">
        <f t="shared" si="109"/>
        <v>0</v>
      </c>
    </row>
    <row r="434" spans="1:32" hidden="1" x14ac:dyDescent="0.25">
      <c r="A434" s="322" t="s">
        <v>1292</v>
      </c>
      <c r="B434" s="93" t="str">
        <f t="shared" si="116"/>
        <v>NO</v>
      </c>
      <c r="C434" s="93" t="s">
        <v>5503</v>
      </c>
      <c r="D434" s="4">
        <v>39281</v>
      </c>
      <c r="E434" s="2">
        <v>39326</v>
      </c>
      <c r="F434" s="2">
        <f t="shared" si="110"/>
        <v>42979</v>
      </c>
      <c r="G434" s="6">
        <v>640.72</v>
      </c>
      <c r="H434" s="7" t="s">
        <v>1286</v>
      </c>
      <c r="I434" s="7" t="s">
        <v>512</v>
      </c>
      <c r="J434" s="186"/>
      <c r="K434" s="266">
        <f t="shared" si="117"/>
        <v>2017</v>
      </c>
      <c r="L434" s="386"/>
      <c r="M434" s="386"/>
      <c r="N434" s="32"/>
      <c r="O434" s="32" t="s">
        <v>1294</v>
      </c>
      <c r="P434" s="278" t="s">
        <v>1295</v>
      </c>
      <c r="Q434" s="233" t="s">
        <v>1293</v>
      </c>
      <c r="R434" s="75">
        <v>2373.5</v>
      </c>
      <c r="S434" s="75">
        <v>5128</v>
      </c>
      <c r="T434" s="75">
        <v>7501.5</v>
      </c>
      <c r="U434" s="200">
        <v>1282</v>
      </c>
      <c r="V434" s="287">
        <f t="shared" ca="1" si="118"/>
        <v>10</v>
      </c>
      <c r="W434" s="75">
        <f t="shared" ca="1" si="119"/>
        <v>11217.5</v>
      </c>
      <c r="X434" s="200">
        <f t="shared" ca="1" si="120"/>
        <v>17757.5</v>
      </c>
      <c r="Y434" s="1">
        <v>0.5</v>
      </c>
      <c r="Z434" s="1"/>
      <c r="AA434" s="219"/>
      <c r="AB434" s="302" t="s">
        <v>6521</v>
      </c>
      <c r="AC434" s="302"/>
      <c r="AD434" s="302"/>
      <c r="AE434" s="302"/>
      <c r="AF434">
        <f t="shared" si="109"/>
        <v>0</v>
      </c>
    </row>
    <row r="435" spans="1:32" hidden="1" x14ac:dyDescent="0.25">
      <c r="A435" s="322" t="s">
        <v>1296</v>
      </c>
      <c r="B435" s="93" t="str">
        <f t="shared" si="116"/>
        <v>NO</v>
      </c>
      <c r="C435" s="93" t="s">
        <v>5503</v>
      </c>
      <c r="D435" s="4">
        <v>39281</v>
      </c>
      <c r="E435" s="2">
        <v>39326</v>
      </c>
      <c r="F435" s="2">
        <f t="shared" si="110"/>
        <v>42979</v>
      </c>
      <c r="G435" s="6">
        <v>880</v>
      </c>
      <c r="H435" s="7" t="s">
        <v>1286</v>
      </c>
      <c r="I435" s="7" t="s">
        <v>512</v>
      </c>
      <c r="J435" s="186"/>
      <c r="K435" s="266">
        <f t="shared" si="117"/>
        <v>2017</v>
      </c>
      <c r="L435" s="386"/>
      <c r="M435" s="386"/>
      <c r="N435" s="32"/>
      <c r="O435" s="32" t="s">
        <v>1294</v>
      </c>
      <c r="P435" s="278" t="s">
        <v>1298</v>
      </c>
      <c r="Q435" s="233" t="s">
        <v>1297</v>
      </c>
      <c r="R435" s="75">
        <v>3210</v>
      </c>
      <c r="S435" s="75">
        <v>7040</v>
      </c>
      <c r="T435" s="75">
        <v>10250</v>
      </c>
      <c r="U435" s="200">
        <v>1760</v>
      </c>
      <c r="V435" s="287">
        <f t="shared" ca="1" si="118"/>
        <v>10</v>
      </c>
      <c r="W435" s="75">
        <f t="shared" ca="1" si="119"/>
        <v>15400</v>
      </c>
      <c r="X435" s="200">
        <f t="shared" ca="1" si="120"/>
        <v>24330</v>
      </c>
      <c r="Y435" s="1">
        <v>0.5</v>
      </c>
      <c r="Z435" s="1"/>
      <c r="AA435" s="219"/>
      <c r="AB435" s="302" t="s">
        <v>6522</v>
      </c>
      <c r="AC435" s="302"/>
      <c r="AD435" s="302"/>
      <c r="AE435" s="302"/>
      <c r="AF435">
        <f t="shared" si="109"/>
        <v>0</v>
      </c>
    </row>
    <row r="436" spans="1:32" ht="26.25" hidden="1" x14ac:dyDescent="0.25">
      <c r="A436" s="322" t="s">
        <v>1299</v>
      </c>
      <c r="B436" s="93" t="str">
        <f t="shared" si="116"/>
        <v>NO</v>
      </c>
      <c r="C436" s="93" t="s">
        <v>5503</v>
      </c>
      <c r="D436" s="4">
        <v>39281</v>
      </c>
      <c r="E436" s="2">
        <v>39326</v>
      </c>
      <c r="F436" s="2">
        <f t="shared" si="110"/>
        <v>42979</v>
      </c>
      <c r="G436" s="6">
        <v>2547.08</v>
      </c>
      <c r="H436" s="7" t="s">
        <v>1286</v>
      </c>
      <c r="I436" s="7" t="s">
        <v>512</v>
      </c>
      <c r="J436" s="186"/>
      <c r="K436" s="266">
        <f t="shared" si="117"/>
        <v>2017</v>
      </c>
      <c r="L436" s="386"/>
      <c r="M436" s="386"/>
      <c r="N436" s="32"/>
      <c r="O436" s="32" t="s">
        <v>1301</v>
      </c>
      <c r="P436" s="278" t="s">
        <v>1302</v>
      </c>
      <c r="Q436" s="233" t="s">
        <v>1300</v>
      </c>
      <c r="R436" s="75">
        <v>9048</v>
      </c>
      <c r="S436" s="75">
        <v>20384</v>
      </c>
      <c r="T436" s="75">
        <v>29432</v>
      </c>
      <c r="U436" s="200">
        <v>5096</v>
      </c>
      <c r="V436" s="287">
        <f t="shared" ca="1" si="118"/>
        <v>10</v>
      </c>
      <c r="W436" s="75">
        <f t="shared" ca="1" si="119"/>
        <v>44590</v>
      </c>
      <c r="X436" s="200">
        <f t="shared" ca="1" si="120"/>
        <v>70200</v>
      </c>
      <c r="Y436" s="1">
        <v>0.5</v>
      </c>
      <c r="Z436" s="1"/>
      <c r="AA436" s="219"/>
      <c r="AB436" s="302" t="s">
        <v>6523</v>
      </c>
      <c r="AC436" s="302"/>
      <c r="AD436" s="302"/>
      <c r="AE436" s="302"/>
      <c r="AF436">
        <f t="shared" si="109"/>
        <v>0</v>
      </c>
    </row>
    <row r="437" spans="1:32" hidden="1" x14ac:dyDescent="0.25">
      <c r="A437" s="322" t="s">
        <v>1303</v>
      </c>
      <c r="B437" s="93" t="str">
        <f t="shared" si="116"/>
        <v>NO</v>
      </c>
      <c r="C437" s="93" t="s">
        <v>5503</v>
      </c>
      <c r="D437" s="4">
        <v>39281</v>
      </c>
      <c r="E437" s="2">
        <v>39326</v>
      </c>
      <c r="F437" s="2">
        <f t="shared" si="110"/>
        <v>42979</v>
      </c>
      <c r="G437" s="6">
        <v>1400</v>
      </c>
      <c r="H437" s="7" t="s">
        <v>1286</v>
      </c>
      <c r="I437" s="7" t="s">
        <v>512</v>
      </c>
      <c r="J437" s="186"/>
      <c r="K437" s="266">
        <f t="shared" si="117"/>
        <v>2017</v>
      </c>
      <c r="L437" s="386"/>
      <c r="M437" s="386"/>
      <c r="N437" s="32"/>
      <c r="O437" s="32" t="s">
        <v>1301</v>
      </c>
      <c r="P437" s="278" t="s">
        <v>1305</v>
      </c>
      <c r="Q437" s="233" t="s">
        <v>1304</v>
      </c>
      <c r="R437" s="75">
        <v>5030</v>
      </c>
      <c r="S437" s="75">
        <v>19600</v>
      </c>
      <c r="T437" s="75">
        <v>24630</v>
      </c>
      <c r="U437" s="200">
        <v>2800</v>
      </c>
      <c r="V437" s="287">
        <f t="shared" ca="1" si="118"/>
        <v>10</v>
      </c>
      <c r="W437" s="75">
        <f t="shared" ca="1" si="119"/>
        <v>24500</v>
      </c>
      <c r="X437" s="200">
        <f t="shared" ca="1" si="120"/>
        <v>47030</v>
      </c>
      <c r="Y437" s="1">
        <v>0.5</v>
      </c>
      <c r="Z437" s="1"/>
      <c r="AA437" s="219"/>
      <c r="AB437" s="302" t="s">
        <v>6524</v>
      </c>
      <c r="AC437" s="302"/>
      <c r="AD437" s="302"/>
      <c r="AE437" s="302"/>
      <c r="AF437">
        <f t="shared" si="109"/>
        <v>0</v>
      </c>
    </row>
    <row r="438" spans="1:32" hidden="1" x14ac:dyDescent="0.25">
      <c r="A438" s="322" t="s">
        <v>1306</v>
      </c>
      <c r="B438" s="93" t="str">
        <f t="shared" si="116"/>
        <v>NO</v>
      </c>
      <c r="C438" s="93" t="s">
        <v>5503</v>
      </c>
      <c r="D438" s="4">
        <v>39281</v>
      </c>
      <c r="E438" s="2">
        <v>39326</v>
      </c>
      <c r="F438" s="2">
        <f t="shared" si="110"/>
        <v>42979</v>
      </c>
      <c r="G438" s="6">
        <v>1920</v>
      </c>
      <c r="H438" s="7" t="s">
        <v>1286</v>
      </c>
      <c r="I438" s="7" t="s">
        <v>512</v>
      </c>
      <c r="J438" s="186"/>
      <c r="K438" s="266">
        <f t="shared" si="117"/>
        <v>2017</v>
      </c>
      <c r="L438" s="386"/>
      <c r="M438" s="386"/>
      <c r="N438" s="32"/>
      <c r="O438" s="32" t="s">
        <v>1301</v>
      </c>
      <c r="P438" s="278" t="s">
        <v>1308</v>
      </c>
      <c r="Q438" s="233" t="s">
        <v>1307</v>
      </c>
      <c r="R438" s="75">
        <v>6850</v>
      </c>
      <c r="S438" s="75">
        <v>26880</v>
      </c>
      <c r="T438" s="75">
        <v>33730</v>
      </c>
      <c r="U438" s="200">
        <v>3840</v>
      </c>
      <c r="V438" s="287">
        <f t="shared" ca="1" si="118"/>
        <v>10</v>
      </c>
      <c r="W438" s="75">
        <f t="shared" ca="1" si="119"/>
        <v>33600</v>
      </c>
      <c r="X438" s="200">
        <f t="shared" ca="1" si="120"/>
        <v>64450</v>
      </c>
      <c r="Y438" s="1">
        <v>0.5</v>
      </c>
      <c r="Z438" s="1"/>
      <c r="AA438" s="219"/>
      <c r="AB438" s="302" t="s">
        <v>6525</v>
      </c>
      <c r="AC438" s="302"/>
      <c r="AD438" s="302"/>
      <c r="AE438" s="302"/>
      <c r="AF438">
        <f t="shared" si="109"/>
        <v>0</v>
      </c>
    </row>
    <row r="439" spans="1:32" hidden="1" x14ac:dyDescent="0.25">
      <c r="A439" s="322" t="s">
        <v>1309</v>
      </c>
      <c r="B439" s="93" t="str">
        <f t="shared" si="116"/>
        <v>NO</v>
      </c>
      <c r="C439" s="93" t="s">
        <v>5503</v>
      </c>
      <c r="D439" s="4">
        <v>39281</v>
      </c>
      <c r="E439" s="2">
        <v>39326</v>
      </c>
      <c r="F439" s="2">
        <f t="shared" si="110"/>
        <v>42979</v>
      </c>
      <c r="G439" s="6">
        <v>1600</v>
      </c>
      <c r="H439" s="7" t="s">
        <v>1286</v>
      </c>
      <c r="I439" s="7" t="s">
        <v>512</v>
      </c>
      <c r="J439" s="186"/>
      <c r="K439" s="266">
        <f t="shared" si="117"/>
        <v>2017</v>
      </c>
      <c r="L439" s="386"/>
      <c r="M439" s="386"/>
      <c r="N439" s="32"/>
      <c r="O439" s="32" t="s">
        <v>1301</v>
      </c>
      <c r="P439" s="278" t="s">
        <v>1311</v>
      </c>
      <c r="Q439" s="233" t="s">
        <v>1310</v>
      </c>
      <c r="R439" s="75">
        <v>5730</v>
      </c>
      <c r="S439" s="75">
        <v>28800</v>
      </c>
      <c r="T439" s="75">
        <v>34530</v>
      </c>
      <c r="U439" s="200">
        <v>3200</v>
      </c>
      <c r="V439" s="287">
        <f t="shared" ca="1" si="118"/>
        <v>10</v>
      </c>
      <c r="W439" s="75">
        <f t="shared" ca="1" si="119"/>
        <v>28000</v>
      </c>
      <c r="X439" s="200">
        <f t="shared" ca="1" si="120"/>
        <v>60130</v>
      </c>
      <c r="Y439" s="1">
        <v>0.5</v>
      </c>
      <c r="Z439" s="1"/>
      <c r="AA439" s="219"/>
      <c r="AB439" s="302" t="s">
        <v>6526</v>
      </c>
      <c r="AC439" s="302"/>
      <c r="AD439" s="302"/>
      <c r="AE439" s="302"/>
      <c r="AF439">
        <f t="shared" si="109"/>
        <v>0</v>
      </c>
    </row>
    <row r="440" spans="1:32" hidden="1" x14ac:dyDescent="0.25">
      <c r="A440" s="322" t="s">
        <v>1312</v>
      </c>
      <c r="B440" s="93" t="str">
        <f t="shared" si="116"/>
        <v>NO</v>
      </c>
      <c r="C440" s="93" t="s">
        <v>5503</v>
      </c>
      <c r="D440" s="4">
        <v>39281</v>
      </c>
      <c r="E440" s="2">
        <v>39326</v>
      </c>
      <c r="F440" s="2">
        <f t="shared" si="110"/>
        <v>42979</v>
      </c>
      <c r="G440" s="6">
        <v>960.12</v>
      </c>
      <c r="H440" s="7" t="s">
        <v>1286</v>
      </c>
      <c r="I440" s="7" t="s">
        <v>512</v>
      </c>
      <c r="J440" s="186"/>
      <c r="K440" s="266">
        <f t="shared" si="117"/>
        <v>2017</v>
      </c>
      <c r="L440" s="386"/>
      <c r="M440" s="386"/>
      <c r="N440" s="32"/>
      <c r="O440" s="32" t="s">
        <v>1314</v>
      </c>
      <c r="P440" s="278" t="s">
        <v>1315</v>
      </c>
      <c r="Q440" s="233" t="s">
        <v>1313</v>
      </c>
      <c r="R440" s="75">
        <v>3493.5</v>
      </c>
      <c r="S440" s="75">
        <v>18259</v>
      </c>
      <c r="T440" s="75">
        <v>21752.5</v>
      </c>
      <c r="U440" s="200">
        <v>1922</v>
      </c>
      <c r="V440" s="287">
        <f t="shared" ca="1" si="118"/>
        <v>10</v>
      </c>
      <c r="W440" s="75">
        <f t="shared" ca="1" si="119"/>
        <v>16817.5</v>
      </c>
      <c r="X440" s="200">
        <f t="shared" ca="1" si="120"/>
        <v>37128.5</v>
      </c>
      <c r="Y440" s="1">
        <v>0.5</v>
      </c>
      <c r="Z440" s="1"/>
      <c r="AA440" s="219"/>
      <c r="AB440" s="302" t="s">
        <v>6527</v>
      </c>
      <c r="AC440" s="302"/>
      <c r="AD440" s="302"/>
      <c r="AE440" s="302"/>
      <c r="AF440">
        <f t="shared" si="109"/>
        <v>0</v>
      </c>
    </row>
    <row r="441" spans="1:32" ht="39" hidden="1" x14ac:dyDescent="0.25">
      <c r="A441" s="322" t="s">
        <v>1316</v>
      </c>
      <c r="B441" s="93" t="str">
        <f t="shared" si="116"/>
        <v>NO</v>
      </c>
      <c r="C441" s="93" t="s">
        <v>5503</v>
      </c>
      <c r="D441" s="4">
        <v>39281</v>
      </c>
      <c r="E441" s="2">
        <v>39326</v>
      </c>
      <c r="F441" s="2">
        <f t="shared" si="110"/>
        <v>42979</v>
      </c>
      <c r="G441" s="6">
        <v>1469.12</v>
      </c>
      <c r="H441" s="7" t="s">
        <v>892</v>
      </c>
      <c r="I441" s="7" t="s">
        <v>512</v>
      </c>
      <c r="J441" s="186"/>
      <c r="K441" s="266">
        <f t="shared" si="117"/>
        <v>2017</v>
      </c>
      <c r="L441" s="386"/>
      <c r="M441" s="386"/>
      <c r="N441" s="32"/>
      <c r="O441" s="32" t="s">
        <v>1318</v>
      </c>
      <c r="P441" s="278" t="s">
        <v>1319</v>
      </c>
      <c r="Q441" s="233" t="s">
        <v>1317</v>
      </c>
      <c r="R441" s="75">
        <v>5275</v>
      </c>
      <c r="S441" s="75">
        <v>0</v>
      </c>
      <c r="T441" s="75">
        <v>5275</v>
      </c>
      <c r="U441" s="200">
        <v>2940</v>
      </c>
      <c r="V441" s="287">
        <f t="shared" ca="1" si="118"/>
        <v>10</v>
      </c>
      <c r="W441" s="75">
        <f t="shared" ca="1" si="119"/>
        <v>25725</v>
      </c>
      <c r="X441" s="200">
        <f t="shared" ca="1" si="120"/>
        <v>28795</v>
      </c>
      <c r="Y441" s="1">
        <v>0.5</v>
      </c>
      <c r="Z441" s="1"/>
      <c r="AA441" s="219"/>
      <c r="AB441" s="302" t="s">
        <v>6528</v>
      </c>
      <c r="AC441" s="302"/>
      <c r="AD441" s="302"/>
      <c r="AE441" s="302"/>
      <c r="AF441">
        <f t="shared" si="109"/>
        <v>0</v>
      </c>
    </row>
    <row r="442" spans="1:32" hidden="1" x14ac:dyDescent="0.25">
      <c r="A442" s="322" t="s">
        <v>1320</v>
      </c>
      <c r="B442" s="93" t="str">
        <f t="shared" si="116"/>
        <v>NO</v>
      </c>
      <c r="C442" s="93" t="s">
        <v>5503</v>
      </c>
      <c r="D442" s="4">
        <v>39281</v>
      </c>
      <c r="E442" s="2">
        <v>39326</v>
      </c>
      <c r="F442" s="2">
        <f t="shared" si="110"/>
        <v>42979</v>
      </c>
      <c r="G442" s="6">
        <v>960</v>
      </c>
      <c r="H442" s="7" t="s">
        <v>892</v>
      </c>
      <c r="I442" s="7" t="s">
        <v>512</v>
      </c>
      <c r="J442" s="186"/>
      <c r="K442" s="266">
        <f t="shared" si="117"/>
        <v>2017</v>
      </c>
      <c r="L442" s="386"/>
      <c r="M442" s="386"/>
      <c r="N442" s="32"/>
      <c r="O442" s="32" t="s">
        <v>1322</v>
      </c>
      <c r="P442" s="278" t="s">
        <v>1323</v>
      </c>
      <c r="Q442" s="233" t="s">
        <v>1321</v>
      </c>
      <c r="R442" s="75">
        <v>3490</v>
      </c>
      <c r="S442" s="75">
        <v>0</v>
      </c>
      <c r="T442" s="75">
        <v>3490</v>
      </c>
      <c r="U442" s="200">
        <v>1920</v>
      </c>
      <c r="V442" s="287">
        <f t="shared" ca="1" si="118"/>
        <v>10</v>
      </c>
      <c r="W442" s="75">
        <f t="shared" ca="1" si="119"/>
        <v>16800</v>
      </c>
      <c r="X442" s="200">
        <f t="shared" ca="1" si="120"/>
        <v>18850</v>
      </c>
      <c r="Y442" s="1">
        <v>0.5</v>
      </c>
      <c r="Z442" s="1"/>
      <c r="AA442" s="219"/>
      <c r="AB442" s="302" t="s">
        <v>6529</v>
      </c>
      <c r="AC442" s="302"/>
      <c r="AD442" s="302"/>
      <c r="AE442" s="302"/>
      <c r="AF442">
        <f t="shared" si="109"/>
        <v>0</v>
      </c>
    </row>
    <row r="443" spans="1:32" ht="26.25" hidden="1" x14ac:dyDescent="0.25">
      <c r="A443" s="322" t="s">
        <v>1324</v>
      </c>
      <c r="B443" s="93" t="str">
        <f t="shared" si="116"/>
        <v>NO</v>
      </c>
      <c r="C443" s="93" t="s">
        <v>5503</v>
      </c>
      <c r="D443" s="4">
        <v>39281</v>
      </c>
      <c r="E443" s="2">
        <v>39326</v>
      </c>
      <c r="F443" s="2">
        <f t="shared" si="110"/>
        <v>42979</v>
      </c>
      <c r="G443" s="6">
        <v>1280</v>
      </c>
      <c r="H443" s="7" t="s">
        <v>892</v>
      </c>
      <c r="I443" s="7" t="s">
        <v>512</v>
      </c>
      <c r="J443" s="186"/>
      <c r="K443" s="266">
        <f t="shared" si="117"/>
        <v>2017</v>
      </c>
      <c r="L443" s="386"/>
      <c r="M443" s="386"/>
      <c r="N443" s="32"/>
      <c r="O443" s="32" t="s">
        <v>1322</v>
      </c>
      <c r="P443" s="278" t="s">
        <v>1326</v>
      </c>
      <c r="Q443" s="233" t="s">
        <v>1325</v>
      </c>
      <c r="R443" s="75">
        <v>4610</v>
      </c>
      <c r="S443" s="75">
        <v>35840</v>
      </c>
      <c r="T443" s="75">
        <v>40450</v>
      </c>
      <c r="U443" s="200">
        <v>2560</v>
      </c>
      <c r="V443" s="287">
        <f t="shared" ca="1" si="118"/>
        <v>10</v>
      </c>
      <c r="W443" s="75">
        <f t="shared" ca="1" si="119"/>
        <v>22400</v>
      </c>
      <c r="X443" s="200">
        <f t="shared" ca="1" si="120"/>
        <v>60930</v>
      </c>
      <c r="Y443" s="1">
        <v>0.5</v>
      </c>
      <c r="Z443" s="1"/>
      <c r="AA443" s="219"/>
      <c r="AB443" s="302" t="s">
        <v>6530</v>
      </c>
      <c r="AC443" s="302"/>
      <c r="AD443" s="302"/>
      <c r="AE443" s="302"/>
      <c r="AF443">
        <f t="shared" si="109"/>
        <v>0</v>
      </c>
    </row>
    <row r="444" spans="1:32" ht="26.25" hidden="1" x14ac:dyDescent="0.25">
      <c r="A444" s="322" t="s">
        <v>1327</v>
      </c>
      <c r="B444" s="93" t="str">
        <f t="shared" si="116"/>
        <v>NO</v>
      </c>
      <c r="C444" s="93" t="s">
        <v>5503</v>
      </c>
      <c r="D444" s="4">
        <v>39281</v>
      </c>
      <c r="E444" s="2">
        <v>39326</v>
      </c>
      <c r="F444" s="2">
        <f t="shared" si="110"/>
        <v>42979</v>
      </c>
      <c r="G444" s="6">
        <v>520</v>
      </c>
      <c r="H444" s="7" t="s">
        <v>1329</v>
      </c>
      <c r="I444" s="7" t="s">
        <v>512</v>
      </c>
      <c r="J444" s="186"/>
      <c r="K444" s="266">
        <f t="shared" si="117"/>
        <v>2017</v>
      </c>
      <c r="L444" s="386"/>
      <c r="M444" s="386"/>
      <c r="N444" s="32"/>
      <c r="O444" s="32" t="s">
        <v>1330</v>
      </c>
      <c r="P444" s="278" t="s">
        <v>1331</v>
      </c>
      <c r="Q444" s="233" t="s">
        <v>1328</v>
      </c>
      <c r="R444" s="75">
        <v>1950</v>
      </c>
      <c r="S444" s="75">
        <v>4160</v>
      </c>
      <c r="T444" s="75">
        <v>6110</v>
      </c>
      <c r="U444" s="200">
        <v>1040</v>
      </c>
      <c r="V444" s="287">
        <f t="shared" ca="1" si="118"/>
        <v>10</v>
      </c>
      <c r="W444" s="75">
        <f t="shared" ca="1" si="119"/>
        <v>9100</v>
      </c>
      <c r="X444" s="200">
        <f t="shared" ca="1" si="120"/>
        <v>14430</v>
      </c>
      <c r="Y444" s="1">
        <v>0.5</v>
      </c>
      <c r="Z444" s="1"/>
      <c r="AA444" s="219"/>
      <c r="AB444" s="302" t="s">
        <v>6531</v>
      </c>
      <c r="AC444" s="302"/>
      <c r="AD444" s="302"/>
      <c r="AE444" s="302"/>
      <c r="AF444">
        <f t="shared" si="109"/>
        <v>0</v>
      </c>
    </row>
    <row r="445" spans="1:32" hidden="1" x14ac:dyDescent="0.25">
      <c r="A445" s="322" t="s">
        <v>1332</v>
      </c>
      <c r="B445" s="93" t="str">
        <f t="shared" si="116"/>
        <v>NO</v>
      </c>
      <c r="C445" s="93" t="s">
        <v>5503</v>
      </c>
      <c r="D445" s="4">
        <v>39281</v>
      </c>
      <c r="E445" s="2">
        <v>39326</v>
      </c>
      <c r="F445" s="2">
        <f t="shared" si="110"/>
        <v>42979</v>
      </c>
      <c r="G445" s="6">
        <v>320</v>
      </c>
      <c r="H445" s="7" t="s">
        <v>892</v>
      </c>
      <c r="I445" s="7" t="s">
        <v>512</v>
      </c>
      <c r="J445" s="186"/>
      <c r="K445" s="266">
        <f t="shared" si="117"/>
        <v>2017</v>
      </c>
      <c r="L445" s="386"/>
      <c r="M445" s="386"/>
      <c r="N445" s="32"/>
      <c r="O445" s="32" t="s">
        <v>1334</v>
      </c>
      <c r="P445" s="278" t="s">
        <v>1335</v>
      </c>
      <c r="Q445" s="233" t="s">
        <v>1333</v>
      </c>
      <c r="R445" s="75">
        <v>1250</v>
      </c>
      <c r="S445" s="75">
        <v>12160</v>
      </c>
      <c r="T445" s="75">
        <v>13410</v>
      </c>
      <c r="U445" s="200">
        <v>640</v>
      </c>
      <c r="V445" s="287">
        <f t="shared" ca="1" si="118"/>
        <v>10</v>
      </c>
      <c r="W445" s="75">
        <f t="shared" ca="1" si="119"/>
        <v>5600</v>
      </c>
      <c r="X445" s="200">
        <f t="shared" ca="1" si="120"/>
        <v>18530</v>
      </c>
      <c r="Y445" s="1">
        <v>0.5</v>
      </c>
      <c r="Z445" s="1"/>
      <c r="AA445" s="219"/>
      <c r="AB445" s="302" t="s">
        <v>6532</v>
      </c>
      <c r="AC445" s="302"/>
      <c r="AD445" s="302"/>
      <c r="AE445" s="302"/>
      <c r="AF445">
        <f t="shared" si="109"/>
        <v>0</v>
      </c>
    </row>
    <row r="446" spans="1:32" ht="26.25" hidden="1" x14ac:dyDescent="0.25">
      <c r="A446" s="322" t="s">
        <v>1336</v>
      </c>
      <c r="B446" s="93" t="str">
        <f t="shared" si="116"/>
        <v>NO</v>
      </c>
      <c r="C446" s="93" t="s">
        <v>5503</v>
      </c>
      <c r="D446" s="4">
        <v>39281</v>
      </c>
      <c r="E446" s="2">
        <v>39326</v>
      </c>
      <c r="F446" s="2">
        <f t="shared" si="110"/>
        <v>42979</v>
      </c>
      <c r="G446" s="6">
        <v>160.55000000000001</v>
      </c>
      <c r="H446" s="7" t="s">
        <v>511</v>
      </c>
      <c r="I446" s="7" t="s">
        <v>512</v>
      </c>
      <c r="J446" s="105" t="s">
        <v>5182</v>
      </c>
      <c r="K446" s="266">
        <f t="shared" si="117"/>
        <v>2017</v>
      </c>
      <c r="L446" s="381"/>
      <c r="M446" s="381"/>
      <c r="N446" s="32"/>
      <c r="O446" s="32" t="s">
        <v>1338</v>
      </c>
      <c r="P446" s="278" t="s">
        <v>1339</v>
      </c>
      <c r="Q446" s="233" t="s">
        <v>1337</v>
      </c>
      <c r="R446" s="75">
        <v>693.5</v>
      </c>
      <c r="S446" s="75">
        <v>108353</v>
      </c>
      <c r="T446" s="75">
        <v>109046.5</v>
      </c>
      <c r="U446" s="200">
        <v>322</v>
      </c>
      <c r="V446" s="287">
        <f t="shared" ca="1" si="118"/>
        <v>10</v>
      </c>
      <c r="W446" s="75">
        <f t="shared" ca="1" si="119"/>
        <v>2817.5</v>
      </c>
      <c r="X446" s="200">
        <f t="shared" ca="1" si="120"/>
        <v>111622.5</v>
      </c>
      <c r="Y446" s="1">
        <v>0.5</v>
      </c>
      <c r="Z446" s="1"/>
      <c r="AA446" s="219"/>
      <c r="AB446" s="301" t="s">
        <v>6533</v>
      </c>
      <c r="AC446" s="310">
        <v>42312</v>
      </c>
      <c r="AD446" s="311">
        <v>0.25</v>
      </c>
      <c r="AE446" s="312" t="s">
        <v>6245</v>
      </c>
      <c r="AF446">
        <f t="shared" si="109"/>
        <v>0</v>
      </c>
    </row>
    <row r="447" spans="1:32" hidden="1" x14ac:dyDescent="0.25">
      <c r="A447" s="322" t="s">
        <v>1340</v>
      </c>
      <c r="B447" s="93" t="str">
        <f t="shared" si="116"/>
        <v>NO</v>
      </c>
      <c r="C447" s="93" t="s">
        <v>5503</v>
      </c>
      <c r="D447" s="4">
        <v>39281</v>
      </c>
      <c r="E447" s="2">
        <v>39326</v>
      </c>
      <c r="F447" s="2">
        <f t="shared" si="110"/>
        <v>42979</v>
      </c>
      <c r="G447" s="6">
        <v>40</v>
      </c>
      <c r="H447" s="7" t="s">
        <v>899</v>
      </c>
      <c r="I447" s="7" t="s">
        <v>512</v>
      </c>
      <c r="J447" s="186"/>
      <c r="K447" s="266">
        <f t="shared" si="117"/>
        <v>2017</v>
      </c>
      <c r="L447" s="386"/>
      <c r="M447" s="386"/>
      <c r="N447" s="32"/>
      <c r="O447" s="32" t="s">
        <v>1342</v>
      </c>
      <c r="P447" s="278" t="s">
        <v>1343</v>
      </c>
      <c r="Q447" s="233" t="s">
        <v>1341</v>
      </c>
      <c r="R447" s="75">
        <v>270</v>
      </c>
      <c r="S447" s="75">
        <v>19920</v>
      </c>
      <c r="T447" s="75">
        <v>20190</v>
      </c>
      <c r="U447" s="200">
        <v>80</v>
      </c>
      <c r="V447" s="287">
        <f t="shared" ca="1" si="118"/>
        <v>10</v>
      </c>
      <c r="W447" s="75">
        <f t="shared" ca="1" si="119"/>
        <v>700</v>
      </c>
      <c r="X447" s="200">
        <f t="shared" ca="1" si="120"/>
        <v>20830</v>
      </c>
      <c r="Y447" s="1">
        <v>0.5</v>
      </c>
      <c r="Z447" s="1"/>
      <c r="AA447" s="219"/>
      <c r="AB447" s="302" t="s">
        <v>6534</v>
      </c>
      <c r="AC447" s="310">
        <v>42793</v>
      </c>
      <c r="AD447" s="311">
        <v>0.25</v>
      </c>
      <c r="AE447" s="312" t="s">
        <v>6240</v>
      </c>
      <c r="AF447">
        <f t="shared" si="109"/>
        <v>0</v>
      </c>
    </row>
    <row r="448" spans="1:32" ht="26.25" hidden="1" x14ac:dyDescent="0.25">
      <c r="A448" s="322" t="s">
        <v>1344</v>
      </c>
      <c r="B448" s="93" t="str">
        <f t="shared" si="116"/>
        <v>NO</v>
      </c>
      <c r="C448" s="93" t="s">
        <v>5503</v>
      </c>
      <c r="D448" s="4">
        <v>39281</v>
      </c>
      <c r="E448" s="2">
        <v>39326</v>
      </c>
      <c r="F448" s="2">
        <f t="shared" si="110"/>
        <v>42979</v>
      </c>
      <c r="G448" s="6">
        <v>1319.75</v>
      </c>
      <c r="H448" s="7" t="s">
        <v>899</v>
      </c>
      <c r="I448" s="7" t="s">
        <v>512</v>
      </c>
      <c r="J448" s="109" t="s">
        <v>4831</v>
      </c>
      <c r="K448" s="266">
        <f t="shared" si="117"/>
        <v>2017</v>
      </c>
      <c r="L448" s="385"/>
      <c r="M448" s="385"/>
      <c r="N448" s="32"/>
      <c r="O448" s="32" t="s">
        <v>1346</v>
      </c>
      <c r="P448" s="278" t="s">
        <v>1347</v>
      </c>
      <c r="Q448" s="233" t="s">
        <v>1345</v>
      </c>
      <c r="R448" s="75">
        <v>4750</v>
      </c>
      <c r="S448" s="75">
        <v>327360</v>
      </c>
      <c r="T448" s="75">
        <v>332110</v>
      </c>
      <c r="U448" s="200">
        <v>2640</v>
      </c>
      <c r="V448" s="287">
        <f t="shared" ca="1" si="118"/>
        <v>10</v>
      </c>
      <c r="W448" s="75">
        <f t="shared" ca="1" si="119"/>
        <v>23100</v>
      </c>
      <c r="X448" s="200">
        <f t="shared" ca="1" si="120"/>
        <v>353230</v>
      </c>
      <c r="Y448" s="1">
        <v>0.5</v>
      </c>
      <c r="Z448" s="1"/>
      <c r="AA448" s="219"/>
      <c r="AB448" s="302" t="s">
        <v>6535</v>
      </c>
      <c r="AC448" s="308">
        <v>41708</v>
      </c>
      <c r="AD448" s="309">
        <v>0.25</v>
      </c>
      <c r="AE448" s="312" t="s">
        <v>6242</v>
      </c>
      <c r="AF448">
        <f t="shared" si="109"/>
        <v>0</v>
      </c>
    </row>
    <row r="449" spans="1:32" ht="26.25" hidden="1" x14ac:dyDescent="0.25">
      <c r="A449" s="322" t="s">
        <v>1348</v>
      </c>
      <c r="B449" s="93" t="str">
        <f t="shared" si="116"/>
        <v>NO</v>
      </c>
      <c r="C449" s="93" t="s">
        <v>5503</v>
      </c>
      <c r="D449" s="4">
        <v>39281</v>
      </c>
      <c r="E449" s="2">
        <v>39326</v>
      </c>
      <c r="F449" s="2">
        <f t="shared" si="110"/>
        <v>42979</v>
      </c>
      <c r="G449" s="6">
        <v>640</v>
      </c>
      <c r="H449" s="7" t="s">
        <v>899</v>
      </c>
      <c r="I449" s="7" t="s">
        <v>512</v>
      </c>
      <c r="J449" s="109" t="s">
        <v>4831</v>
      </c>
      <c r="K449" s="266">
        <f t="shared" si="117"/>
        <v>2017</v>
      </c>
      <c r="L449" s="385"/>
      <c r="M449" s="385"/>
      <c r="N449" s="32"/>
      <c r="O449" s="32" t="s">
        <v>1350</v>
      </c>
      <c r="P449" s="278" t="s">
        <v>1351</v>
      </c>
      <c r="Q449" s="233" t="s">
        <v>1349</v>
      </c>
      <c r="R449" s="75">
        <v>2370</v>
      </c>
      <c r="S449" s="75">
        <v>94720</v>
      </c>
      <c r="T449" s="75">
        <v>97090</v>
      </c>
      <c r="U449" s="200">
        <v>1280</v>
      </c>
      <c r="V449" s="287">
        <f t="shared" ca="1" si="118"/>
        <v>10</v>
      </c>
      <c r="W449" s="75">
        <f t="shared" ca="1" si="119"/>
        <v>11200</v>
      </c>
      <c r="X449" s="200">
        <f t="shared" ca="1" si="120"/>
        <v>107330</v>
      </c>
      <c r="Y449" s="1">
        <v>0.5</v>
      </c>
      <c r="Z449" s="1"/>
      <c r="AA449" s="219"/>
      <c r="AB449" s="302" t="s">
        <v>6536</v>
      </c>
      <c r="AC449" s="308">
        <v>41708</v>
      </c>
      <c r="AD449" s="309">
        <v>0.25</v>
      </c>
      <c r="AE449" s="312" t="s">
        <v>6242</v>
      </c>
      <c r="AF449">
        <f t="shared" si="109"/>
        <v>0</v>
      </c>
    </row>
    <row r="450" spans="1:32" ht="26.25" hidden="1" x14ac:dyDescent="0.25">
      <c r="A450" s="322" t="s">
        <v>1352</v>
      </c>
      <c r="B450" s="93" t="str">
        <f t="shared" si="116"/>
        <v>NO</v>
      </c>
      <c r="C450" s="93" t="s">
        <v>5503</v>
      </c>
      <c r="D450" s="4">
        <v>39281</v>
      </c>
      <c r="E450" s="2">
        <v>39326</v>
      </c>
      <c r="F450" s="2">
        <f t="shared" si="110"/>
        <v>42979</v>
      </c>
      <c r="G450" s="6">
        <v>519.1</v>
      </c>
      <c r="H450" s="7" t="s">
        <v>1354</v>
      </c>
      <c r="I450" s="7" t="s">
        <v>198</v>
      </c>
      <c r="J450" s="189"/>
      <c r="K450" s="266">
        <f t="shared" si="117"/>
        <v>2017</v>
      </c>
      <c r="L450" s="389"/>
      <c r="M450" s="389"/>
      <c r="N450" s="32"/>
      <c r="O450" s="32" t="s">
        <v>1355</v>
      </c>
      <c r="P450" s="278" t="s">
        <v>1356</v>
      </c>
      <c r="Q450" s="233" t="s">
        <v>1353</v>
      </c>
      <c r="R450" s="75">
        <v>1950</v>
      </c>
      <c r="S450" s="75">
        <v>0</v>
      </c>
      <c r="T450" s="75">
        <v>1950</v>
      </c>
      <c r="U450" s="200">
        <v>1040</v>
      </c>
      <c r="V450" s="287">
        <f t="shared" ca="1" si="118"/>
        <v>10</v>
      </c>
      <c r="W450" s="75">
        <f t="shared" ca="1" si="119"/>
        <v>9100</v>
      </c>
      <c r="X450" s="200">
        <f t="shared" ca="1" si="120"/>
        <v>10270</v>
      </c>
      <c r="Y450" s="1">
        <v>0.5</v>
      </c>
      <c r="Z450" s="1"/>
      <c r="AA450" s="219"/>
      <c r="AB450" s="302" t="s">
        <v>6537</v>
      </c>
      <c r="AC450" s="302"/>
      <c r="AD450" s="302"/>
      <c r="AE450" s="302"/>
      <c r="AF450">
        <f t="shared" si="109"/>
        <v>0</v>
      </c>
    </row>
    <row r="451" spans="1:32" hidden="1" x14ac:dyDescent="0.25">
      <c r="A451" s="322" t="s">
        <v>1357</v>
      </c>
      <c r="B451" s="93" t="str">
        <f t="shared" si="116"/>
        <v>NO</v>
      </c>
      <c r="C451" s="93" t="s">
        <v>5503</v>
      </c>
      <c r="D451" s="4">
        <v>39281</v>
      </c>
      <c r="E451" s="2">
        <v>39326</v>
      </c>
      <c r="F451" s="2">
        <f t="shared" si="110"/>
        <v>42979</v>
      </c>
      <c r="G451" s="6">
        <v>278</v>
      </c>
      <c r="H451" s="7" t="s">
        <v>1359</v>
      </c>
      <c r="I451" s="7" t="s">
        <v>15</v>
      </c>
      <c r="J451" s="189"/>
      <c r="K451" s="266">
        <f t="shared" si="117"/>
        <v>2017</v>
      </c>
      <c r="L451" s="389"/>
      <c r="M451" s="389"/>
      <c r="N451" s="32"/>
      <c r="O451" s="32" t="s">
        <v>1360</v>
      </c>
      <c r="P451" s="278" t="s">
        <v>1361</v>
      </c>
      <c r="Q451" s="233" t="s">
        <v>1358</v>
      </c>
      <c r="R451" s="75">
        <v>1103</v>
      </c>
      <c r="S451" s="75">
        <v>35584</v>
      </c>
      <c r="T451" s="75">
        <v>36687</v>
      </c>
      <c r="U451" s="200">
        <v>556</v>
      </c>
      <c r="V451" s="287">
        <f t="shared" ca="1" si="118"/>
        <v>10</v>
      </c>
      <c r="W451" s="75">
        <f t="shared" ca="1" si="119"/>
        <v>4865</v>
      </c>
      <c r="X451" s="200">
        <f t="shared" ca="1" si="120"/>
        <v>41135</v>
      </c>
      <c r="Y451" s="1">
        <v>0.5</v>
      </c>
      <c r="Z451" s="1"/>
      <c r="AA451" s="219"/>
      <c r="AB451" s="302" t="s">
        <v>6538</v>
      </c>
      <c r="AC451" s="302"/>
      <c r="AD451" s="302"/>
      <c r="AE451" s="302"/>
      <c r="AF451">
        <f t="shared" si="109"/>
        <v>0</v>
      </c>
    </row>
    <row r="452" spans="1:32" hidden="1" x14ac:dyDescent="0.25">
      <c r="A452" s="322" t="s">
        <v>1362</v>
      </c>
      <c r="B452" s="93" t="str">
        <f t="shared" si="116"/>
        <v>NO</v>
      </c>
      <c r="C452" s="93" t="s">
        <v>5503</v>
      </c>
      <c r="D452" s="4">
        <v>39281</v>
      </c>
      <c r="E452" s="2">
        <v>39326</v>
      </c>
      <c r="F452" s="2">
        <f t="shared" si="110"/>
        <v>42979</v>
      </c>
      <c r="G452" s="6">
        <v>368.86</v>
      </c>
      <c r="H452" s="7" t="s">
        <v>1359</v>
      </c>
      <c r="I452" s="7" t="s">
        <v>15</v>
      </c>
      <c r="J452" s="189"/>
      <c r="K452" s="266">
        <f t="shared" si="117"/>
        <v>2017</v>
      </c>
      <c r="L452" s="389"/>
      <c r="M452" s="389"/>
      <c r="N452" s="32"/>
      <c r="O452" s="32" t="s">
        <v>1360</v>
      </c>
      <c r="P452" s="278" t="s">
        <v>1364</v>
      </c>
      <c r="Q452" s="233" t="s">
        <v>1363</v>
      </c>
      <c r="R452" s="75">
        <v>1421.5</v>
      </c>
      <c r="S452" s="75">
        <v>36162</v>
      </c>
      <c r="T452" s="75">
        <v>37583.5</v>
      </c>
      <c r="U452" s="200">
        <v>738</v>
      </c>
      <c r="V452" s="287">
        <f t="shared" ca="1" si="118"/>
        <v>10</v>
      </c>
      <c r="W452" s="75">
        <f t="shared" ca="1" si="119"/>
        <v>6457.5</v>
      </c>
      <c r="X452" s="200">
        <f t="shared" ca="1" si="120"/>
        <v>43487.5</v>
      </c>
      <c r="Y452" s="1">
        <v>0.5</v>
      </c>
      <c r="Z452" s="1"/>
      <c r="AA452" s="219"/>
      <c r="AB452" s="302" t="s">
        <v>6539</v>
      </c>
      <c r="AC452" s="302"/>
      <c r="AD452" s="302"/>
      <c r="AE452" s="302"/>
      <c r="AF452">
        <f t="shared" si="109"/>
        <v>0</v>
      </c>
    </row>
    <row r="453" spans="1:32" hidden="1" x14ac:dyDescent="0.25">
      <c r="A453" s="322" t="s">
        <v>1365</v>
      </c>
      <c r="B453" s="93" t="str">
        <f t="shared" si="116"/>
        <v>NO</v>
      </c>
      <c r="C453" s="93" t="s">
        <v>5503</v>
      </c>
      <c r="D453" s="4">
        <v>39281</v>
      </c>
      <c r="E453" s="2">
        <v>39326</v>
      </c>
      <c r="F453" s="2">
        <f t="shared" si="110"/>
        <v>42979</v>
      </c>
      <c r="G453" s="6">
        <v>41.8</v>
      </c>
      <c r="H453" s="7" t="s">
        <v>1367</v>
      </c>
      <c r="I453" s="7" t="s">
        <v>15</v>
      </c>
      <c r="J453" s="189"/>
      <c r="K453" s="266">
        <f t="shared" si="117"/>
        <v>2017</v>
      </c>
      <c r="L453" s="389"/>
      <c r="M453" s="389"/>
      <c r="N453" s="32"/>
      <c r="O453" s="32" t="s">
        <v>1368</v>
      </c>
      <c r="P453" s="278" t="s">
        <v>1369</v>
      </c>
      <c r="Q453" s="233" t="s">
        <v>1366</v>
      </c>
      <c r="R453" s="75">
        <v>277</v>
      </c>
      <c r="S453" s="75">
        <v>25116</v>
      </c>
      <c r="T453" s="75">
        <v>25393</v>
      </c>
      <c r="U453" s="200">
        <v>84</v>
      </c>
      <c r="V453" s="287">
        <f t="shared" ca="1" si="118"/>
        <v>10</v>
      </c>
      <c r="W453" s="75">
        <f t="shared" ca="1" si="119"/>
        <v>735</v>
      </c>
      <c r="X453" s="200">
        <f t="shared" ca="1" si="120"/>
        <v>26065</v>
      </c>
      <c r="Y453" s="1">
        <v>0.5</v>
      </c>
      <c r="Z453" s="1"/>
      <c r="AA453" s="219"/>
      <c r="AB453" s="302" t="s">
        <v>6540</v>
      </c>
      <c r="AC453" s="302"/>
      <c r="AD453" s="302"/>
      <c r="AE453" s="302"/>
      <c r="AF453">
        <f t="shared" si="109"/>
        <v>0</v>
      </c>
    </row>
    <row r="454" spans="1:32" hidden="1" x14ac:dyDescent="0.25">
      <c r="A454" s="322" t="s">
        <v>1370</v>
      </c>
      <c r="B454" s="93" t="str">
        <f t="shared" si="116"/>
        <v>NO</v>
      </c>
      <c r="C454" s="93" t="s">
        <v>5503</v>
      </c>
      <c r="D454" s="4">
        <v>39281</v>
      </c>
      <c r="E454" s="2">
        <v>39326</v>
      </c>
      <c r="F454" s="2">
        <f t="shared" si="110"/>
        <v>42979</v>
      </c>
      <c r="G454" s="6">
        <v>43</v>
      </c>
      <c r="H454" s="7" t="s">
        <v>1359</v>
      </c>
      <c r="I454" s="7" t="s">
        <v>15</v>
      </c>
      <c r="J454" s="189"/>
      <c r="K454" s="266">
        <f t="shared" si="117"/>
        <v>2017</v>
      </c>
      <c r="L454" s="389"/>
      <c r="M454" s="389"/>
      <c r="N454" s="32"/>
      <c r="O454" s="32" t="s">
        <v>1360</v>
      </c>
      <c r="P454" s="278" t="s">
        <v>1372</v>
      </c>
      <c r="Q454" s="233" t="s">
        <v>1371</v>
      </c>
      <c r="R454" s="75">
        <v>280.5</v>
      </c>
      <c r="S454" s="75">
        <v>42914</v>
      </c>
      <c r="T454" s="75">
        <v>43194.5</v>
      </c>
      <c r="U454" s="200">
        <v>86</v>
      </c>
      <c r="V454" s="287">
        <f t="shared" ca="1" si="118"/>
        <v>10</v>
      </c>
      <c r="W454" s="75">
        <f t="shared" ca="1" si="119"/>
        <v>752.5</v>
      </c>
      <c r="X454" s="200">
        <f t="shared" ca="1" si="120"/>
        <v>43882.5</v>
      </c>
      <c r="Y454" s="1">
        <v>0.5</v>
      </c>
      <c r="Z454" s="1"/>
      <c r="AA454" s="219"/>
      <c r="AB454" s="302" t="s">
        <v>6541</v>
      </c>
      <c r="AC454" s="302"/>
      <c r="AD454" s="302"/>
      <c r="AE454" s="302"/>
      <c r="AF454">
        <f t="shared" si="109"/>
        <v>0</v>
      </c>
    </row>
    <row r="455" spans="1:32" ht="26.25" hidden="1" x14ac:dyDescent="0.25">
      <c r="A455" s="322" t="s">
        <v>1373</v>
      </c>
      <c r="B455" s="93" t="str">
        <f t="shared" si="116"/>
        <v>NO</v>
      </c>
      <c r="C455" s="93" t="s">
        <v>5503</v>
      </c>
      <c r="D455" s="4">
        <v>39281</v>
      </c>
      <c r="E455" s="2">
        <v>39326</v>
      </c>
      <c r="F455" s="2">
        <f t="shared" si="110"/>
        <v>42979</v>
      </c>
      <c r="G455" s="6">
        <v>63.395000000000003</v>
      </c>
      <c r="H455" s="7" t="s">
        <v>609</v>
      </c>
      <c r="I455" s="7" t="s">
        <v>15</v>
      </c>
      <c r="J455" s="109" t="s">
        <v>4868</v>
      </c>
      <c r="K455" s="266">
        <f t="shared" si="117"/>
        <v>2017</v>
      </c>
      <c r="L455" s="385"/>
      <c r="M455" s="385"/>
      <c r="N455" s="32"/>
      <c r="O455" s="32" t="s">
        <v>610</v>
      </c>
      <c r="P455" s="278" t="s">
        <v>1375</v>
      </c>
      <c r="Q455" s="233" t="s">
        <v>1374</v>
      </c>
      <c r="R455" s="75">
        <v>354</v>
      </c>
      <c r="S455" s="75">
        <v>7872</v>
      </c>
      <c r="T455" s="75">
        <v>8226</v>
      </c>
      <c r="U455" s="200">
        <v>128</v>
      </c>
      <c r="V455" s="287">
        <f t="shared" ca="1" si="118"/>
        <v>10</v>
      </c>
      <c r="W455" s="75">
        <f t="shared" ca="1" si="119"/>
        <v>1120</v>
      </c>
      <c r="X455" s="200">
        <f t="shared" ca="1" si="120"/>
        <v>9250</v>
      </c>
      <c r="Y455" s="1">
        <v>0.5</v>
      </c>
      <c r="Z455" s="1"/>
      <c r="AA455" s="219"/>
      <c r="AB455" s="302" t="s">
        <v>6542</v>
      </c>
      <c r="AC455" s="302"/>
      <c r="AD455" s="302"/>
      <c r="AE455" s="302"/>
      <c r="AF455">
        <f t="shared" si="109"/>
        <v>0</v>
      </c>
    </row>
    <row r="456" spans="1:32" hidden="1" x14ac:dyDescent="0.25">
      <c r="A456" s="322" t="s">
        <v>1376</v>
      </c>
      <c r="B456" s="93" t="str">
        <f t="shared" si="116"/>
        <v>NO</v>
      </c>
      <c r="C456" s="93" t="s">
        <v>5503</v>
      </c>
      <c r="D456" s="4">
        <v>39281</v>
      </c>
      <c r="E456" s="2">
        <v>39326</v>
      </c>
      <c r="F456" s="2">
        <f t="shared" si="110"/>
        <v>42979</v>
      </c>
      <c r="G456" s="6">
        <v>67.400000000000006</v>
      </c>
      <c r="H456" s="7" t="s">
        <v>609</v>
      </c>
      <c r="I456" s="7" t="s">
        <v>15</v>
      </c>
      <c r="J456" s="189"/>
      <c r="K456" s="266">
        <f t="shared" si="117"/>
        <v>2017</v>
      </c>
      <c r="L456" s="389"/>
      <c r="M456" s="389"/>
      <c r="N456" s="32"/>
      <c r="O456" s="32" t="s">
        <v>610</v>
      </c>
      <c r="P456" s="278" t="s">
        <v>1378</v>
      </c>
      <c r="Q456" s="233" t="s">
        <v>1377</v>
      </c>
      <c r="R456" s="75">
        <v>368</v>
      </c>
      <c r="S456" s="75">
        <v>6664</v>
      </c>
      <c r="T456" s="75">
        <v>7032</v>
      </c>
      <c r="U456" s="200">
        <v>136</v>
      </c>
      <c r="V456" s="287">
        <f t="shared" ca="1" si="118"/>
        <v>10</v>
      </c>
      <c r="W456" s="75">
        <f t="shared" ca="1" si="119"/>
        <v>1190</v>
      </c>
      <c r="X456" s="200">
        <f t="shared" ca="1" si="120"/>
        <v>8120</v>
      </c>
      <c r="Y456" s="1">
        <v>0.5</v>
      </c>
      <c r="Z456" s="1"/>
      <c r="AA456" s="219"/>
      <c r="AB456" s="302" t="s">
        <v>6543</v>
      </c>
      <c r="AC456" s="302"/>
      <c r="AD456" s="302"/>
      <c r="AE456" s="302"/>
      <c r="AF456">
        <f t="shared" si="109"/>
        <v>0</v>
      </c>
    </row>
    <row r="457" spans="1:32" hidden="1" x14ac:dyDescent="0.25">
      <c r="A457" s="322" t="s">
        <v>1379</v>
      </c>
      <c r="B457" s="93" t="str">
        <f t="shared" si="116"/>
        <v>NO</v>
      </c>
      <c r="C457" s="93" t="s">
        <v>5503</v>
      </c>
      <c r="D457" s="4">
        <v>39281</v>
      </c>
      <c r="E457" s="2">
        <v>39326</v>
      </c>
      <c r="F457" s="2">
        <f t="shared" si="110"/>
        <v>42979</v>
      </c>
      <c r="G457" s="6">
        <v>17.016999999999999</v>
      </c>
      <c r="H457" s="7" t="s">
        <v>609</v>
      </c>
      <c r="I457" s="7" t="s">
        <v>15</v>
      </c>
      <c r="J457" s="189"/>
      <c r="K457" s="266">
        <f t="shared" si="117"/>
        <v>2017</v>
      </c>
      <c r="L457" s="389"/>
      <c r="M457" s="389"/>
      <c r="N457" s="32"/>
      <c r="O457" s="32" t="s">
        <v>610</v>
      </c>
      <c r="P457" s="278" t="s">
        <v>1381</v>
      </c>
      <c r="Q457" s="233" t="s">
        <v>1380</v>
      </c>
      <c r="R457" s="75">
        <v>193</v>
      </c>
      <c r="S457" s="75">
        <v>1764</v>
      </c>
      <c r="T457" s="75">
        <v>1957</v>
      </c>
      <c r="U457" s="200">
        <v>36</v>
      </c>
      <c r="V457" s="287">
        <f t="shared" ca="1" si="118"/>
        <v>10</v>
      </c>
      <c r="W457" s="75">
        <f t="shared" ca="1" si="119"/>
        <v>315</v>
      </c>
      <c r="X457" s="200">
        <f t="shared" ca="1" si="120"/>
        <v>2245</v>
      </c>
      <c r="Y457" s="1">
        <v>0.5</v>
      </c>
      <c r="Z457" s="1"/>
      <c r="AA457" s="219"/>
      <c r="AB457" s="302" t="s">
        <v>6544</v>
      </c>
      <c r="AC457" s="302"/>
      <c r="AD457" s="302"/>
      <c r="AE457" s="302"/>
      <c r="AF457">
        <f t="shared" si="109"/>
        <v>0</v>
      </c>
    </row>
    <row r="458" spans="1:32" hidden="1" x14ac:dyDescent="0.25">
      <c r="A458" s="322" t="s">
        <v>1382</v>
      </c>
      <c r="B458" s="93" t="str">
        <f t="shared" si="116"/>
        <v>NO</v>
      </c>
      <c r="C458" s="93" t="s">
        <v>5503</v>
      </c>
      <c r="D458" s="4">
        <v>39281</v>
      </c>
      <c r="E458" s="2">
        <v>39326</v>
      </c>
      <c r="F458" s="2">
        <f t="shared" si="110"/>
        <v>42979</v>
      </c>
      <c r="G458" s="6">
        <v>85</v>
      </c>
      <c r="H458" s="7" t="s">
        <v>609</v>
      </c>
      <c r="I458" s="7" t="s">
        <v>15</v>
      </c>
      <c r="J458" s="189"/>
      <c r="K458" s="266">
        <f t="shared" si="117"/>
        <v>2017</v>
      </c>
      <c r="L458" s="389"/>
      <c r="M458" s="389"/>
      <c r="N458" s="32"/>
      <c r="O458" s="32" t="s">
        <v>610</v>
      </c>
      <c r="P458" s="278" t="s">
        <v>1384</v>
      </c>
      <c r="Q458" s="233" t="s">
        <v>1383</v>
      </c>
      <c r="R458" s="75">
        <v>427.5</v>
      </c>
      <c r="S458" s="75">
        <v>59330</v>
      </c>
      <c r="T458" s="75">
        <v>59757.5</v>
      </c>
      <c r="U458" s="200">
        <v>170</v>
      </c>
      <c r="V458" s="287">
        <f t="shared" ca="1" si="118"/>
        <v>10</v>
      </c>
      <c r="W458" s="75">
        <f t="shared" ca="1" si="119"/>
        <v>1487.5</v>
      </c>
      <c r="X458" s="200">
        <f t="shared" ca="1" si="120"/>
        <v>61117.5</v>
      </c>
      <c r="Y458" s="1">
        <v>0.5</v>
      </c>
      <c r="Z458" s="1"/>
      <c r="AA458" s="219"/>
      <c r="AB458" s="302" t="s">
        <v>6545</v>
      </c>
      <c r="AC458" s="302"/>
      <c r="AD458" s="302"/>
      <c r="AE458" s="302"/>
      <c r="AF458">
        <f t="shared" si="109"/>
        <v>0</v>
      </c>
    </row>
    <row r="459" spans="1:32" hidden="1" x14ac:dyDescent="0.25">
      <c r="A459" s="322" t="s">
        <v>1385</v>
      </c>
      <c r="B459" s="93" t="str">
        <f t="shared" si="116"/>
        <v>NO</v>
      </c>
      <c r="C459" s="93" t="s">
        <v>5503</v>
      </c>
      <c r="D459" s="4">
        <v>39281</v>
      </c>
      <c r="E459" s="2">
        <v>39326</v>
      </c>
      <c r="F459" s="2">
        <f t="shared" si="110"/>
        <v>42979</v>
      </c>
      <c r="G459" s="6">
        <v>134.23500000000001</v>
      </c>
      <c r="H459" s="7" t="s">
        <v>609</v>
      </c>
      <c r="I459" s="7" t="s">
        <v>15</v>
      </c>
      <c r="J459" s="189"/>
      <c r="K459" s="266">
        <f t="shared" si="117"/>
        <v>2017</v>
      </c>
      <c r="L459" s="389"/>
      <c r="M459" s="389"/>
      <c r="N459" s="32"/>
      <c r="O459" s="32" t="s">
        <v>610</v>
      </c>
      <c r="P459" s="278" t="s">
        <v>1387</v>
      </c>
      <c r="Q459" s="233" t="s">
        <v>1386</v>
      </c>
      <c r="R459" s="75">
        <v>602.5</v>
      </c>
      <c r="S459" s="75">
        <v>94230</v>
      </c>
      <c r="T459" s="75">
        <v>94832.5</v>
      </c>
      <c r="U459" s="200">
        <v>270</v>
      </c>
      <c r="V459" s="287">
        <f t="shared" ca="1" si="118"/>
        <v>10</v>
      </c>
      <c r="W459" s="75">
        <f t="shared" ca="1" si="119"/>
        <v>2362.5</v>
      </c>
      <c r="X459" s="200">
        <f t="shared" ca="1" si="120"/>
        <v>96992.5</v>
      </c>
      <c r="Y459" s="1">
        <v>0.5</v>
      </c>
      <c r="Z459" s="1"/>
      <c r="AA459" s="219"/>
      <c r="AB459" s="302" t="s">
        <v>6546</v>
      </c>
      <c r="AC459" s="302"/>
      <c r="AD459" s="302"/>
      <c r="AE459" s="302"/>
      <c r="AF459">
        <f t="shared" ref="AF459:AF522" si="121">COUNTIF(FilterList,A459)</f>
        <v>0</v>
      </c>
    </row>
    <row r="460" spans="1:32" hidden="1" x14ac:dyDescent="0.25">
      <c r="A460" s="322" t="s">
        <v>1388</v>
      </c>
      <c r="B460" s="93" t="str">
        <f t="shared" si="116"/>
        <v>NO</v>
      </c>
      <c r="C460" s="93" t="s">
        <v>5503</v>
      </c>
      <c r="D460" s="4">
        <v>39281</v>
      </c>
      <c r="E460" s="2">
        <v>39326</v>
      </c>
      <c r="F460" s="2">
        <f t="shared" ref="F460:F519" si="122">DATE(YEAR(E460)+10,MONTH(E460),DAY(E460))</f>
        <v>42979</v>
      </c>
      <c r="G460" s="6">
        <v>110</v>
      </c>
      <c r="H460" s="7" t="s">
        <v>609</v>
      </c>
      <c r="I460" s="7" t="s">
        <v>15</v>
      </c>
      <c r="J460" s="189"/>
      <c r="K460" s="266">
        <f t="shared" si="117"/>
        <v>2017</v>
      </c>
      <c r="L460" s="389"/>
      <c r="M460" s="389"/>
      <c r="N460" s="32"/>
      <c r="O460" s="32" t="s">
        <v>610</v>
      </c>
      <c r="P460" s="278" t="s">
        <v>1390</v>
      </c>
      <c r="Q460" s="233" t="s">
        <v>1389</v>
      </c>
      <c r="R460" s="75">
        <v>515</v>
      </c>
      <c r="S460" s="75">
        <v>76780</v>
      </c>
      <c r="T460" s="75">
        <v>77295</v>
      </c>
      <c r="U460" s="200">
        <v>220</v>
      </c>
      <c r="V460" s="287">
        <f t="shared" ca="1" si="118"/>
        <v>10</v>
      </c>
      <c r="W460" s="75">
        <f t="shared" ca="1" si="119"/>
        <v>1925</v>
      </c>
      <c r="X460" s="200">
        <f t="shared" ca="1" si="120"/>
        <v>79055</v>
      </c>
      <c r="Y460" s="1">
        <v>0.5</v>
      </c>
      <c r="Z460" s="1"/>
      <c r="AA460" s="219"/>
      <c r="AB460" s="302" t="s">
        <v>6547</v>
      </c>
      <c r="AC460" s="302"/>
      <c r="AD460" s="302"/>
      <c r="AE460" s="302"/>
      <c r="AF460">
        <f t="shared" si="121"/>
        <v>0</v>
      </c>
    </row>
    <row r="461" spans="1:32" ht="26.25" hidden="1" x14ac:dyDescent="0.25">
      <c r="A461" s="322" t="s">
        <v>1391</v>
      </c>
      <c r="B461" s="93" t="str">
        <f t="shared" si="116"/>
        <v>NO</v>
      </c>
      <c r="C461" s="93" t="s">
        <v>5503</v>
      </c>
      <c r="D461" s="4">
        <v>39281</v>
      </c>
      <c r="E461" s="2">
        <v>39326</v>
      </c>
      <c r="F461" s="2">
        <f t="shared" si="122"/>
        <v>42979</v>
      </c>
      <c r="G461" s="6">
        <v>200</v>
      </c>
      <c r="H461" s="7" t="s">
        <v>1393</v>
      </c>
      <c r="I461" s="7" t="s">
        <v>15</v>
      </c>
      <c r="J461" s="105" t="s">
        <v>5183</v>
      </c>
      <c r="K461" s="266">
        <f t="shared" si="117"/>
        <v>2017</v>
      </c>
      <c r="L461" s="381"/>
      <c r="M461" s="381"/>
      <c r="N461" s="32"/>
      <c r="O461" s="32" t="s">
        <v>1394</v>
      </c>
      <c r="P461" s="278" t="s">
        <v>1395</v>
      </c>
      <c r="Q461" s="233" t="s">
        <v>1392</v>
      </c>
      <c r="R461" s="75">
        <v>830</v>
      </c>
      <c r="S461" s="75">
        <v>5600</v>
      </c>
      <c r="T461" s="75">
        <v>6430</v>
      </c>
      <c r="U461" s="200">
        <v>400</v>
      </c>
      <c r="V461" s="287">
        <f t="shared" ca="1" si="118"/>
        <v>10</v>
      </c>
      <c r="W461" s="75">
        <f t="shared" ca="1" si="119"/>
        <v>3500</v>
      </c>
      <c r="X461" s="200">
        <f t="shared" ca="1" si="120"/>
        <v>9630</v>
      </c>
      <c r="Y461" s="1">
        <v>0.5</v>
      </c>
      <c r="Z461" s="1"/>
      <c r="AA461" s="219"/>
      <c r="AB461" s="302" t="s">
        <v>6548</v>
      </c>
      <c r="AC461" s="302"/>
      <c r="AD461" s="302"/>
      <c r="AE461" s="302"/>
      <c r="AF461">
        <f t="shared" si="121"/>
        <v>0</v>
      </c>
    </row>
    <row r="462" spans="1:32" ht="26.25" hidden="1" x14ac:dyDescent="0.25">
      <c r="A462" s="322" t="s">
        <v>1396</v>
      </c>
      <c r="B462" s="93" t="str">
        <f t="shared" si="116"/>
        <v>NO</v>
      </c>
      <c r="C462" s="93" t="s">
        <v>5503</v>
      </c>
      <c r="D462" s="4">
        <v>39281</v>
      </c>
      <c r="E462" s="2">
        <v>39326</v>
      </c>
      <c r="F462" s="2">
        <f t="shared" si="122"/>
        <v>42979</v>
      </c>
      <c r="G462" s="6">
        <v>488.58</v>
      </c>
      <c r="H462" s="7" t="s">
        <v>1398</v>
      </c>
      <c r="I462" s="7" t="s">
        <v>15</v>
      </c>
      <c r="J462" s="105" t="s">
        <v>5183</v>
      </c>
      <c r="K462" s="266">
        <f t="shared" si="117"/>
        <v>2017</v>
      </c>
      <c r="L462" s="381"/>
      <c r="M462" s="381"/>
      <c r="N462" s="32"/>
      <c r="O462" s="32" t="s">
        <v>1394</v>
      </c>
      <c r="P462" s="278" t="s">
        <v>1399</v>
      </c>
      <c r="Q462" s="233" t="s">
        <v>1397</v>
      </c>
      <c r="R462" s="75">
        <v>1841.5</v>
      </c>
      <c r="S462" s="75">
        <v>23472</v>
      </c>
      <c r="T462" s="75">
        <v>25313.5</v>
      </c>
      <c r="U462" s="200">
        <v>978</v>
      </c>
      <c r="V462" s="287">
        <f t="shared" ca="1" si="118"/>
        <v>10</v>
      </c>
      <c r="W462" s="75">
        <f t="shared" ca="1" si="119"/>
        <v>8557.5</v>
      </c>
      <c r="X462" s="200">
        <f t="shared" ca="1" si="120"/>
        <v>33137.5</v>
      </c>
      <c r="Y462" s="1">
        <v>0.5</v>
      </c>
      <c r="Z462" s="1"/>
      <c r="AA462" s="219"/>
      <c r="AB462" s="302" t="s">
        <v>6549</v>
      </c>
      <c r="AC462" s="302"/>
      <c r="AD462" s="302"/>
      <c r="AE462" s="302"/>
      <c r="AF462">
        <f t="shared" si="121"/>
        <v>0</v>
      </c>
    </row>
    <row r="463" spans="1:32" ht="26.25" hidden="1" x14ac:dyDescent="0.25">
      <c r="A463" s="322" t="s">
        <v>1400</v>
      </c>
      <c r="B463" s="93" t="str">
        <f t="shared" si="116"/>
        <v>NO</v>
      </c>
      <c r="C463" s="93" t="s">
        <v>5503</v>
      </c>
      <c r="D463" s="4">
        <v>39281</v>
      </c>
      <c r="E463" s="2">
        <v>39326</v>
      </c>
      <c r="F463" s="2">
        <f t="shared" si="122"/>
        <v>42979</v>
      </c>
      <c r="G463" s="6">
        <v>341</v>
      </c>
      <c r="H463" s="7" t="s">
        <v>1398</v>
      </c>
      <c r="I463" s="7" t="s">
        <v>15</v>
      </c>
      <c r="J463" s="105" t="s">
        <v>5183</v>
      </c>
      <c r="K463" s="266">
        <f t="shared" si="117"/>
        <v>2017</v>
      </c>
      <c r="L463" s="381"/>
      <c r="M463" s="381"/>
      <c r="N463" s="32"/>
      <c r="O463" s="32" t="s">
        <v>1394</v>
      </c>
      <c r="P463" s="278" t="s">
        <v>1402</v>
      </c>
      <c r="Q463" s="233" t="s">
        <v>1401</v>
      </c>
      <c r="R463" s="75">
        <v>1323.5</v>
      </c>
      <c r="S463" s="75">
        <v>16368</v>
      </c>
      <c r="T463" s="75">
        <v>17691.5</v>
      </c>
      <c r="U463" s="200">
        <v>682</v>
      </c>
      <c r="V463" s="287">
        <f t="shared" ca="1" si="118"/>
        <v>10</v>
      </c>
      <c r="W463" s="75">
        <f t="shared" ca="1" si="119"/>
        <v>5967.5</v>
      </c>
      <c r="X463" s="200">
        <f t="shared" ca="1" si="120"/>
        <v>23147.5</v>
      </c>
      <c r="Y463" s="1">
        <v>0.5</v>
      </c>
      <c r="Z463" s="1"/>
      <c r="AA463" s="219"/>
      <c r="AB463" s="302" t="s">
        <v>6550</v>
      </c>
      <c r="AC463" s="302"/>
      <c r="AD463" s="302"/>
      <c r="AE463" s="302"/>
      <c r="AF463">
        <f t="shared" si="121"/>
        <v>0</v>
      </c>
    </row>
    <row r="464" spans="1:32" hidden="1" x14ac:dyDescent="0.25">
      <c r="A464" s="322" t="s">
        <v>1403</v>
      </c>
      <c r="B464" s="93" t="str">
        <f t="shared" si="116"/>
        <v>NO</v>
      </c>
      <c r="C464" s="93" t="s">
        <v>5503</v>
      </c>
      <c r="D464" s="4">
        <v>39281</v>
      </c>
      <c r="E464" s="2">
        <v>39326</v>
      </c>
      <c r="F464" s="2">
        <f t="shared" si="122"/>
        <v>42979</v>
      </c>
      <c r="G464" s="6">
        <v>17.399999999999999</v>
      </c>
      <c r="H464" s="7" t="s">
        <v>1359</v>
      </c>
      <c r="I464" s="7" t="s">
        <v>15</v>
      </c>
      <c r="J464" s="186"/>
      <c r="K464" s="266">
        <f t="shared" si="117"/>
        <v>2017</v>
      </c>
      <c r="L464" s="386"/>
      <c r="M464" s="386"/>
      <c r="N464" s="32"/>
      <c r="O464" s="32" t="s">
        <v>1368</v>
      </c>
      <c r="P464" s="278" t="s">
        <v>1405</v>
      </c>
      <c r="Q464" s="233" t="s">
        <v>1404</v>
      </c>
      <c r="R464" s="75">
        <v>193</v>
      </c>
      <c r="S464" s="75">
        <v>0</v>
      </c>
      <c r="T464" s="75">
        <v>193</v>
      </c>
      <c r="U464" s="200">
        <v>36</v>
      </c>
      <c r="V464" s="287">
        <f t="shared" ca="1" si="118"/>
        <v>10</v>
      </c>
      <c r="W464" s="75">
        <f t="shared" ca="1" si="119"/>
        <v>315</v>
      </c>
      <c r="X464" s="200">
        <f t="shared" ca="1" si="120"/>
        <v>481</v>
      </c>
      <c r="Y464" s="1">
        <v>0.5</v>
      </c>
      <c r="Z464" s="1"/>
      <c r="AA464" s="219"/>
      <c r="AB464" s="302" t="s">
        <v>6551</v>
      </c>
      <c r="AC464" s="302"/>
      <c r="AD464" s="302"/>
      <c r="AE464" s="302"/>
      <c r="AF464">
        <f t="shared" si="121"/>
        <v>0</v>
      </c>
    </row>
    <row r="465" spans="1:32" ht="15.75" hidden="1" thickBot="1" x14ac:dyDescent="0.3">
      <c r="A465" s="323"/>
      <c r="D465" s="4"/>
      <c r="E465" s="2"/>
      <c r="F465" s="2"/>
      <c r="G465" s="6"/>
      <c r="H465" s="7"/>
      <c r="I465" s="7"/>
      <c r="J465" s="186"/>
      <c r="K465" s="186"/>
      <c r="L465" s="386"/>
      <c r="M465" s="386"/>
      <c r="N465" s="32"/>
      <c r="O465" s="32"/>
      <c r="P465" s="278"/>
      <c r="Q465" s="233" t="s">
        <v>508</v>
      </c>
      <c r="R465" s="76">
        <v>89133.5</v>
      </c>
      <c r="S465" s="76">
        <v>1198860</v>
      </c>
      <c r="T465" s="76">
        <v>1287993.5</v>
      </c>
      <c r="U465" s="200"/>
      <c r="V465" s="75"/>
      <c r="W465" s="75"/>
      <c r="X465" s="200"/>
      <c r="Y465" s="1"/>
      <c r="Z465" s="1"/>
      <c r="AA465" s="219"/>
      <c r="AB465" s="302"/>
      <c r="AC465" s="302"/>
      <c r="AD465" s="302"/>
      <c r="AE465" s="302"/>
      <c r="AF465">
        <f t="shared" si="121"/>
        <v>0</v>
      </c>
    </row>
    <row r="466" spans="1:32" hidden="1" x14ac:dyDescent="0.25">
      <c r="A466" s="323"/>
      <c r="D466" s="4"/>
      <c r="E466" s="2"/>
      <c r="F466" s="2"/>
      <c r="G466" s="6"/>
      <c r="H466" s="7"/>
      <c r="I466" s="7"/>
      <c r="J466" s="186"/>
      <c r="K466" s="186"/>
      <c r="L466" s="386"/>
      <c r="M466" s="386"/>
      <c r="N466" s="32"/>
      <c r="O466" s="32"/>
      <c r="P466" s="278"/>
      <c r="Q466" s="233"/>
      <c r="R466" s="75"/>
      <c r="S466" s="75"/>
      <c r="T466" s="75"/>
      <c r="U466" s="200"/>
      <c r="V466" s="75"/>
      <c r="W466" s="75"/>
      <c r="X466" s="200"/>
      <c r="Y466" s="1"/>
      <c r="Z466" s="1"/>
      <c r="AA466" s="219"/>
      <c r="AB466" s="302"/>
      <c r="AC466" s="302"/>
      <c r="AD466" s="302"/>
      <c r="AE466" s="302"/>
      <c r="AF466">
        <f t="shared" si="121"/>
        <v>0</v>
      </c>
    </row>
    <row r="467" spans="1:32" hidden="1" x14ac:dyDescent="0.25">
      <c r="A467" s="322" t="s">
        <v>1406</v>
      </c>
      <c r="B467" s="93" t="str">
        <f t="shared" ref="B467:B498" si="123">IF(COUNTIF(GIS,A469),"YES","NO")</f>
        <v>NO</v>
      </c>
      <c r="C467" s="93" t="s">
        <v>5503</v>
      </c>
      <c r="D467" s="4">
        <v>39338</v>
      </c>
      <c r="E467" s="2">
        <v>39417</v>
      </c>
      <c r="F467" s="2">
        <f t="shared" si="122"/>
        <v>43070</v>
      </c>
      <c r="G467" s="6">
        <v>280</v>
      </c>
      <c r="H467" s="7" t="s">
        <v>1408</v>
      </c>
      <c r="I467" s="7" t="s">
        <v>72</v>
      </c>
      <c r="J467" s="186"/>
      <c r="K467" s="266">
        <f t="shared" ref="K467:K498" si="124">YEAR(F467)</f>
        <v>2017</v>
      </c>
      <c r="L467" s="386"/>
      <c r="M467" s="386"/>
      <c r="N467" s="32" t="s">
        <v>619</v>
      </c>
      <c r="O467" s="32" t="s">
        <v>1409</v>
      </c>
      <c r="P467" s="278" t="s">
        <v>1410</v>
      </c>
      <c r="Q467" s="233" t="s">
        <v>1407</v>
      </c>
      <c r="R467" s="75">
        <v>1110</v>
      </c>
      <c r="S467" s="75">
        <v>0</v>
      </c>
      <c r="T467" s="75">
        <v>1110</v>
      </c>
      <c r="U467" s="200">
        <v>560</v>
      </c>
      <c r="V467" s="287">
        <f t="shared" ref="V467:V498" ca="1" si="125">IF(YEAR($W$3)-YEAR(E467)&gt;9,10,IF(MONTH($W$3)&lt;MONTH(E467),YEAR($W$3)-YEAR(E467),YEAR($W$3)-YEAR(E467)+1))</f>
        <v>10</v>
      </c>
      <c r="W467" s="75">
        <f t="shared" ref="W467:W498" ca="1" si="126">IF(V467&lt;6, ROUNDUP(G467,0)*$W$6*V467, ROUNDUP(G467,0)*($W$6*5 + (V467-5)*$W$7))</f>
        <v>4900</v>
      </c>
      <c r="X467" s="200">
        <f t="shared" ref="X467:X498" ca="1" si="127">IF(V467=0,T467,((T467-ROUNDUP(G467,0)*1.5)+W467))</f>
        <v>5590</v>
      </c>
      <c r="Y467" s="1">
        <v>0.5</v>
      </c>
      <c r="Z467" s="1"/>
      <c r="AA467" s="219"/>
      <c r="AB467" s="302" t="s">
        <v>6552</v>
      </c>
      <c r="AC467" s="302"/>
      <c r="AD467" s="302"/>
      <c r="AE467" s="302"/>
      <c r="AF467">
        <f t="shared" si="121"/>
        <v>0</v>
      </c>
    </row>
    <row r="468" spans="1:32" hidden="1" x14ac:dyDescent="0.25">
      <c r="A468" s="322" t="s">
        <v>1411</v>
      </c>
      <c r="B468" s="93" t="str">
        <f t="shared" si="123"/>
        <v>NO</v>
      </c>
      <c r="C468" s="93" t="s">
        <v>5503</v>
      </c>
      <c r="D468" s="4">
        <v>39338</v>
      </c>
      <c r="E468" s="2">
        <v>39417</v>
      </c>
      <c r="F468" s="2">
        <f t="shared" si="122"/>
        <v>43070</v>
      </c>
      <c r="G468" s="6">
        <v>640</v>
      </c>
      <c r="H468" s="7" t="s">
        <v>266</v>
      </c>
      <c r="I468" s="7" t="s">
        <v>72</v>
      </c>
      <c r="J468" s="186"/>
      <c r="K468" s="266">
        <f t="shared" si="124"/>
        <v>2017</v>
      </c>
      <c r="L468" s="386"/>
      <c r="M468" s="386"/>
      <c r="N468" s="32" t="s">
        <v>619</v>
      </c>
      <c r="O468" s="32" t="s">
        <v>1413</v>
      </c>
      <c r="P468" s="278" t="s">
        <v>1414</v>
      </c>
      <c r="Q468" s="233" t="s">
        <v>1412</v>
      </c>
      <c r="R468" s="75">
        <v>2370</v>
      </c>
      <c r="S468" s="75">
        <v>37120</v>
      </c>
      <c r="T468" s="75">
        <v>39490</v>
      </c>
      <c r="U468" s="200">
        <v>1280</v>
      </c>
      <c r="V468" s="287">
        <f t="shared" ca="1" si="125"/>
        <v>10</v>
      </c>
      <c r="W468" s="75">
        <f t="shared" ca="1" si="126"/>
        <v>11200</v>
      </c>
      <c r="X468" s="200">
        <f t="shared" ca="1" si="127"/>
        <v>49730</v>
      </c>
      <c r="Y468" s="1">
        <v>0.5</v>
      </c>
      <c r="Z468" s="1"/>
      <c r="AA468" s="219"/>
      <c r="AB468" s="302" t="s">
        <v>6388</v>
      </c>
      <c r="AC468" s="302"/>
      <c r="AD468" s="302"/>
      <c r="AE468" s="302"/>
      <c r="AF468">
        <f t="shared" si="121"/>
        <v>0</v>
      </c>
    </row>
    <row r="469" spans="1:32" hidden="1" x14ac:dyDescent="0.25">
      <c r="A469" s="322" t="s">
        <v>1415</v>
      </c>
      <c r="B469" s="93" t="str">
        <f t="shared" si="123"/>
        <v>NO</v>
      </c>
      <c r="C469" s="93" t="s">
        <v>5503</v>
      </c>
      <c r="D469" s="4">
        <v>39338</v>
      </c>
      <c r="E469" s="2">
        <v>39417</v>
      </c>
      <c r="F469" s="2">
        <f t="shared" si="122"/>
        <v>43070</v>
      </c>
      <c r="G469" s="6">
        <v>640</v>
      </c>
      <c r="H469" s="7" t="s">
        <v>266</v>
      </c>
      <c r="I469" s="7" t="s">
        <v>72</v>
      </c>
      <c r="J469" s="186"/>
      <c r="K469" s="266">
        <f t="shared" si="124"/>
        <v>2017</v>
      </c>
      <c r="L469" s="386"/>
      <c r="M469" s="386"/>
      <c r="N469" s="32" t="s">
        <v>619</v>
      </c>
      <c r="O469" s="32" t="s">
        <v>1413</v>
      </c>
      <c r="P469" s="278" t="s">
        <v>1417</v>
      </c>
      <c r="Q469" s="233" t="s">
        <v>1416</v>
      </c>
      <c r="R469" s="75">
        <v>2370</v>
      </c>
      <c r="S469" s="75">
        <v>33920</v>
      </c>
      <c r="T469" s="75">
        <v>36290</v>
      </c>
      <c r="U469" s="200">
        <v>1280</v>
      </c>
      <c r="V469" s="287">
        <f t="shared" ca="1" si="125"/>
        <v>10</v>
      </c>
      <c r="W469" s="75">
        <f t="shared" ca="1" si="126"/>
        <v>11200</v>
      </c>
      <c r="X469" s="200">
        <f t="shared" ca="1" si="127"/>
        <v>46530</v>
      </c>
      <c r="Y469" s="1">
        <v>0.5</v>
      </c>
      <c r="Z469" s="1"/>
      <c r="AA469" s="219"/>
      <c r="AB469" s="302"/>
      <c r="AC469" s="302"/>
      <c r="AD469" s="302"/>
      <c r="AE469" s="302"/>
      <c r="AF469">
        <f t="shared" si="121"/>
        <v>0</v>
      </c>
    </row>
    <row r="470" spans="1:32" hidden="1" x14ac:dyDescent="0.25">
      <c r="A470" s="322" t="s">
        <v>1418</v>
      </c>
      <c r="B470" s="93" t="str">
        <f t="shared" si="123"/>
        <v>NO</v>
      </c>
      <c r="C470" s="93" t="s">
        <v>5503</v>
      </c>
      <c r="D470" s="4">
        <v>39338</v>
      </c>
      <c r="E470" s="2">
        <v>39417</v>
      </c>
      <c r="F470" s="2">
        <f t="shared" si="122"/>
        <v>43070</v>
      </c>
      <c r="G470" s="6">
        <v>40</v>
      </c>
      <c r="H470" s="7" t="s">
        <v>632</v>
      </c>
      <c r="I470" s="7" t="s">
        <v>72</v>
      </c>
      <c r="J470" s="186"/>
      <c r="K470" s="266">
        <f t="shared" si="124"/>
        <v>2017</v>
      </c>
      <c r="L470" s="386"/>
      <c r="M470" s="386"/>
      <c r="N470" s="32" t="s">
        <v>633</v>
      </c>
      <c r="O470" s="32" t="s">
        <v>1420</v>
      </c>
      <c r="P470" s="278" t="s">
        <v>1421</v>
      </c>
      <c r="Q470" s="233" t="s">
        <v>1419</v>
      </c>
      <c r="R470" s="75">
        <v>270</v>
      </c>
      <c r="S470" s="75">
        <v>720</v>
      </c>
      <c r="T470" s="75">
        <v>990</v>
      </c>
      <c r="U470" s="200">
        <v>80</v>
      </c>
      <c r="V470" s="287">
        <f t="shared" ca="1" si="125"/>
        <v>10</v>
      </c>
      <c r="W470" s="75">
        <f t="shared" ca="1" si="126"/>
        <v>700</v>
      </c>
      <c r="X470" s="200">
        <f t="shared" ca="1" si="127"/>
        <v>1630</v>
      </c>
      <c r="Y470" s="1">
        <v>0.5</v>
      </c>
      <c r="Z470" s="1"/>
      <c r="AA470" s="219"/>
      <c r="AB470" s="302"/>
      <c r="AC470" s="302"/>
      <c r="AD470" s="302"/>
      <c r="AE470" s="302"/>
      <c r="AF470">
        <f t="shared" si="121"/>
        <v>0</v>
      </c>
    </row>
    <row r="471" spans="1:32" hidden="1" x14ac:dyDescent="0.25">
      <c r="A471" s="322" t="s">
        <v>1422</v>
      </c>
      <c r="B471" s="93" t="str">
        <f t="shared" si="123"/>
        <v>NO</v>
      </c>
      <c r="C471" s="93" t="s">
        <v>5503</v>
      </c>
      <c r="D471" s="4">
        <v>39338</v>
      </c>
      <c r="E471" s="2">
        <v>39417</v>
      </c>
      <c r="F471" s="2">
        <f t="shared" si="122"/>
        <v>43070</v>
      </c>
      <c r="G471" s="6">
        <v>40</v>
      </c>
      <c r="H471" s="7" t="s">
        <v>632</v>
      </c>
      <c r="I471" s="7" t="s">
        <v>72</v>
      </c>
      <c r="J471" s="186"/>
      <c r="K471" s="266">
        <f t="shared" si="124"/>
        <v>2017</v>
      </c>
      <c r="L471" s="386"/>
      <c r="M471" s="386"/>
      <c r="N471" s="32" t="s">
        <v>633</v>
      </c>
      <c r="O471" s="32" t="s">
        <v>1420</v>
      </c>
      <c r="P471" s="278" t="s">
        <v>1424</v>
      </c>
      <c r="Q471" s="233" t="s">
        <v>1423</v>
      </c>
      <c r="R471" s="75">
        <v>270</v>
      </c>
      <c r="S471" s="75">
        <v>720</v>
      </c>
      <c r="T471" s="75">
        <v>990</v>
      </c>
      <c r="U471" s="200">
        <v>80</v>
      </c>
      <c r="V471" s="287">
        <f t="shared" ca="1" si="125"/>
        <v>10</v>
      </c>
      <c r="W471" s="75">
        <f t="shared" ca="1" si="126"/>
        <v>700</v>
      </c>
      <c r="X471" s="200">
        <f t="shared" ca="1" si="127"/>
        <v>1630</v>
      </c>
      <c r="Y471" s="1">
        <v>0.5</v>
      </c>
      <c r="Z471" s="1"/>
      <c r="AA471" s="219"/>
      <c r="AB471" s="302"/>
      <c r="AC471" s="302"/>
      <c r="AD471" s="302"/>
      <c r="AE471" s="302"/>
      <c r="AF471">
        <f t="shared" si="121"/>
        <v>0</v>
      </c>
    </row>
    <row r="472" spans="1:32" ht="26.25" hidden="1" x14ac:dyDescent="0.25">
      <c r="A472" s="322" t="s">
        <v>1425</v>
      </c>
      <c r="B472" s="93" t="str">
        <f t="shared" si="123"/>
        <v>NO</v>
      </c>
      <c r="C472" s="93" t="s">
        <v>5503</v>
      </c>
      <c r="D472" s="4">
        <v>39338</v>
      </c>
      <c r="E472" s="2">
        <v>39417</v>
      </c>
      <c r="F472" s="2">
        <f t="shared" si="122"/>
        <v>43070</v>
      </c>
      <c r="G472" s="6">
        <v>79.849999999999994</v>
      </c>
      <c r="H472" s="7" t="s">
        <v>632</v>
      </c>
      <c r="I472" s="7" t="s">
        <v>72</v>
      </c>
      <c r="J472" s="186"/>
      <c r="K472" s="266">
        <f t="shared" si="124"/>
        <v>2017</v>
      </c>
      <c r="L472" s="386"/>
      <c r="M472" s="386"/>
      <c r="N472" s="32" t="s">
        <v>633</v>
      </c>
      <c r="O472" s="32" t="s">
        <v>1427</v>
      </c>
      <c r="P472" s="278" t="s">
        <v>1428</v>
      </c>
      <c r="Q472" s="233" t="s">
        <v>1426</v>
      </c>
      <c r="R472" s="75">
        <v>410</v>
      </c>
      <c r="S472" s="75">
        <v>2240</v>
      </c>
      <c r="T472" s="75">
        <v>2650</v>
      </c>
      <c r="U472" s="200">
        <v>160</v>
      </c>
      <c r="V472" s="287">
        <f t="shared" ca="1" si="125"/>
        <v>10</v>
      </c>
      <c r="W472" s="75">
        <f t="shared" ca="1" si="126"/>
        <v>1400</v>
      </c>
      <c r="X472" s="200">
        <f t="shared" ca="1" si="127"/>
        <v>3930</v>
      </c>
      <c r="Y472" s="1">
        <v>0.5</v>
      </c>
      <c r="Z472" s="1"/>
      <c r="AA472" s="219"/>
      <c r="AB472" s="302"/>
      <c r="AC472" s="302"/>
      <c r="AD472" s="302"/>
      <c r="AE472" s="302"/>
      <c r="AF472">
        <f t="shared" si="121"/>
        <v>0</v>
      </c>
    </row>
    <row r="473" spans="1:32" hidden="1" x14ac:dyDescent="0.25">
      <c r="A473" s="322" t="s">
        <v>1429</v>
      </c>
      <c r="B473" s="93" t="str">
        <f t="shared" si="123"/>
        <v>NO</v>
      </c>
      <c r="C473" s="93" t="s">
        <v>5503</v>
      </c>
      <c r="D473" s="4">
        <v>39338</v>
      </c>
      <c r="E473" s="2">
        <v>39417</v>
      </c>
      <c r="F473" s="2">
        <f t="shared" si="122"/>
        <v>43070</v>
      </c>
      <c r="G473" s="6">
        <v>39.85</v>
      </c>
      <c r="H473" s="93" t="s">
        <v>5788</v>
      </c>
      <c r="I473" s="7" t="s">
        <v>79</v>
      </c>
      <c r="J473" s="109" t="s">
        <v>1431</v>
      </c>
      <c r="K473" s="266">
        <f t="shared" si="124"/>
        <v>2017</v>
      </c>
      <c r="L473" s="385"/>
      <c r="M473" s="385"/>
      <c r="N473" s="32"/>
      <c r="O473" s="32" t="s">
        <v>1432</v>
      </c>
      <c r="P473" s="278" t="s">
        <v>1433</v>
      </c>
      <c r="Q473" s="233" t="s">
        <v>1430</v>
      </c>
      <c r="R473" s="75">
        <v>270</v>
      </c>
      <c r="S473" s="75">
        <v>10120</v>
      </c>
      <c r="T473" s="75">
        <v>10390</v>
      </c>
      <c r="U473" s="200">
        <v>60</v>
      </c>
      <c r="V473" s="287">
        <f t="shared" ca="1" si="125"/>
        <v>10</v>
      </c>
      <c r="W473" s="75">
        <f t="shared" ca="1" si="126"/>
        <v>700</v>
      </c>
      <c r="X473" s="200">
        <f t="shared" ca="1" si="127"/>
        <v>11030</v>
      </c>
      <c r="Y473" s="1">
        <v>0.5</v>
      </c>
      <c r="Z473" s="1"/>
      <c r="AA473" s="219"/>
      <c r="AB473" s="302" t="s">
        <v>6553</v>
      </c>
      <c r="AC473" s="302"/>
      <c r="AD473" s="302"/>
      <c r="AE473" s="302"/>
      <c r="AF473">
        <f t="shared" si="121"/>
        <v>0</v>
      </c>
    </row>
    <row r="474" spans="1:32" ht="26.25" hidden="1" x14ac:dyDescent="0.25">
      <c r="A474" s="322" t="s">
        <v>1434</v>
      </c>
      <c r="B474" s="93" t="str">
        <f t="shared" si="123"/>
        <v>NO</v>
      </c>
      <c r="C474" s="93" t="s">
        <v>5503</v>
      </c>
      <c r="D474" s="4">
        <v>39338</v>
      </c>
      <c r="E474" s="2">
        <v>39417</v>
      </c>
      <c r="F474" s="2">
        <f t="shared" si="122"/>
        <v>43070</v>
      </c>
      <c r="G474" s="6">
        <v>41</v>
      </c>
      <c r="H474" s="7" t="s">
        <v>1437</v>
      </c>
      <c r="I474" s="7" t="s">
        <v>79</v>
      </c>
      <c r="J474" s="109" t="s">
        <v>1436</v>
      </c>
      <c r="K474" s="266">
        <f t="shared" si="124"/>
        <v>2017</v>
      </c>
      <c r="L474" s="385"/>
      <c r="M474" s="385"/>
      <c r="N474" s="32"/>
      <c r="O474" s="32" t="s">
        <v>1438</v>
      </c>
      <c r="P474" s="278" t="s">
        <v>1439</v>
      </c>
      <c r="Q474" s="233" t="s">
        <v>1435</v>
      </c>
      <c r="R474" s="75">
        <v>273.5</v>
      </c>
      <c r="S474" s="75">
        <v>65518</v>
      </c>
      <c r="T474" s="75">
        <v>65791.5</v>
      </c>
      <c r="U474" s="200">
        <v>61.5</v>
      </c>
      <c r="V474" s="287">
        <f t="shared" ca="1" si="125"/>
        <v>10</v>
      </c>
      <c r="W474" s="75">
        <f t="shared" ca="1" si="126"/>
        <v>717.5</v>
      </c>
      <c r="X474" s="200">
        <f t="shared" ca="1" si="127"/>
        <v>66447.5</v>
      </c>
      <c r="Y474" s="1">
        <v>0.5</v>
      </c>
      <c r="Z474" s="1"/>
      <c r="AA474" s="219"/>
      <c r="AB474" s="302" t="s">
        <v>6554</v>
      </c>
      <c r="AC474" s="302"/>
      <c r="AD474" s="302"/>
      <c r="AE474" s="302"/>
      <c r="AF474">
        <f t="shared" si="121"/>
        <v>0</v>
      </c>
    </row>
    <row r="475" spans="1:32" hidden="1" x14ac:dyDescent="0.25">
      <c r="A475" s="322" t="s">
        <v>1440</v>
      </c>
      <c r="B475" s="93" t="str">
        <f t="shared" si="123"/>
        <v>NO</v>
      </c>
      <c r="C475" s="93" t="s">
        <v>5503</v>
      </c>
      <c r="D475" s="4">
        <v>39338</v>
      </c>
      <c r="E475" s="2">
        <v>39417</v>
      </c>
      <c r="F475" s="2">
        <f t="shared" si="122"/>
        <v>43070</v>
      </c>
      <c r="G475" s="6">
        <v>40</v>
      </c>
      <c r="H475" s="7" t="s">
        <v>1442</v>
      </c>
      <c r="I475" s="7" t="s">
        <v>79</v>
      </c>
      <c r="J475" s="189"/>
      <c r="K475" s="266">
        <f t="shared" si="124"/>
        <v>2017</v>
      </c>
      <c r="L475" s="389"/>
      <c r="M475" s="389"/>
      <c r="N475" s="32"/>
      <c r="O475" s="32" t="s">
        <v>1443</v>
      </c>
      <c r="P475" s="278" t="s">
        <v>1444</v>
      </c>
      <c r="Q475" s="233" t="s">
        <v>1441</v>
      </c>
      <c r="R475" s="75">
        <v>270</v>
      </c>
      <c r="S475" s="75">
        <v>1920</v>
      </c>
      <c r="T475" s="75">
        <v>2190</v>
      </c>
      <c r="U475" s="200">
        <v>80</v>
      </c>
      <c r="V475" s="287">
        <f t="shared" ca="1" si="125"/>
        <v>10</v>
      </c>
      <c r="W475" s="75">
        <f t="shared" ca="1" si="126"/>
        <v>700</v>
      </c>
      <c r="X475" s="200">
        <f t="shared" ca="1" si="127"/>
        <v>2830</v>
      </c>
      <c r="Y475" s="1">
        <v>0.5</v>
      </c>
      <c r="Z475" s="1"/>
      <c r="AA475" s="219"/>
      <c r="AB475" s="302" t="s">
        <v>6555</v>
      </c>
      <c r="AC475" s="302"/>
      <c r="AD475" s="302"/>
      <c r="AE475" s="302"/>
      <c r="AF475">
        <f t="shared" si="121"/>
        <v>0</v>
      </c>
    </row>
    <row r="476" spans="1:32" hidden="1" x14ac:dyDescent="0.25">
      <c r="A476" s="322" t="s">
        <v>1445</v>
      </c>
      <c r="B476" s="93" t="str">
        <f t="shared" si="123"/>
        <v>NO</v>
      </c>
      <c r="C476" s="93" t="s">
        <v>5503</v>
      </c>
      <c r="D476" s="4">
        <v>39338</v>
      </c>
      <c r="E476" s="2">
        <v>39417</v>
      </c>
      <c r="F476" s="2">
        <f t="shared" si="122"/>
        <v>43070</v>
      </c>
      <c r="G476" s="6">
        <v>39.880000000000003</v>
      </c>
      <c r="H476" s="7" t="s">
        <v>1447</v>
      </c>
      <c r="I476" s="7" t="s">
        <v>79</v>
      </c>
      <c r="J476" s="189"/>
      <c r="K476" s="266">
        <f t="shared" si="124"/>
        <v>2017</v>
      </c>
      <c r="L476" s="389"/>
      <c r="M476" s="389"/>
      <c r="N476" s="32"/>
      <c r="O476" s="32" t="s">
        <v>1448</v>
      </c>
      <c r="P476" s="278" t="s">
        <v>1449</v>
      </c>
      <c r="Q476" s="233" t="s">
        <v>1446</v>
      </c>
      <c r="R476" s="75">
        <v>270</v>
      </c>
      <c r="S476" s="75">
        <v>0</v>
      </c>
      <c r="T476" s="75">
        <v>270</v>
      </c>
      <c r="U476" s="200">
        <v>80</v>
      </c>
      <c r="V476" s="287">
        <f t="shared" ca="1" si="125"/>
        <v>10</v>
      </c>
      <c r="W476" s="75">
        <f t="shared" ca="1" si="126"/>
        <v>700</v>
      </c>
      <c r="X476" s="200">
        <f t="shared" ca="1" si="127"/>
        <v>910</v>
      </c>
      <c r="Y476" s="1">
        <v>0.5</v>
      </c>
      <c r="Z476" s="1"/>
      <c r="AA476" s="219"/>
      <c r="AB476" s="302" t="s">
        <v>6556</v>
      </c>
      <c r="AC476" s="302"/>
      <c r="AD476" s="302"/>
      <c r="AE476" s="302"/>
      <c r="AF476">
        <f t="shared" si="121"/>
        <v>0</v>
      </c>
    </row>
    <row r="477" spans="1:32" ht="26.25" hidden="1" x14ac:dyDescent="0.25">
      <c r="A477" s="322" t="s">
        <v>1450</v>
      </c>
      <c r="B477" s="93" t="str">
        <f t="shared" si="123"/>
        <v>NO</v>
      </c>
      <c r="C477" s="93" t="s">
        <v>5503</v>
      </c>
      <c r="D477" s="4">
        <v>39338</v>
      </c>
      <c r="E477" s="2">
        <v>39417</v>
      </c>
      <c r="F477" s="2">
        <f t="shared" si="122"/>
        <v>43070</v>
      </c>
      <c r="G477" s="6">
        <v>40</v>
      </c>
      <c r="H477" s="7" t="s">
        <v>1442</v>
      </c>
      <c r="I477" s="7" t="s">
        <v>79</v>
      </c>
      <c r="J477" s="109" t="s">
        <v>4815</v>
      </c>
      <c r="K477" s="266">
        <f t="shared" si="124"/>
        <v>2017</v>
      </c>
      <c r="L477" s="385"/>
      <c r="M477" s="385"/>
      <c r="N477" s="32"/>
      <c r="O477" s="32" t="s">
        <v>1452</v>
      </c>
      <c r="P477" s="278" t="s">
        <v>1453</v>
      </c>
      <c r="Q477" s="233" t="s">
        <v>1451</v>
      </c>
      <c r="R477" s="75">
        <v>270</v>
      </c>
      <c r="S477" s="75">
        <v>1520</v>
      </c>
      <c r="T477" s="75">
        <v>1790</v>
      </c>
      <c r="U477" s="200">
        <v>80</v>
      </c>
      <c r="V477" s="287">
        <f t="shared" ca="1" si="125"/>
        <v>10</v>
      </c>
      <c r="W477" s="75">
        <f t="shared" ca="1" si="126"/>
        <v>700</v>
      </c>
      <c r="X477" s="200">
        <f t="shared" ca="1" si="127"/>
        <v>2430</v>
      </c>
      <c r="Y477" s="1">
        <v>0.5</v>
      </c>
      <c r="Z477" s="17"/>
      <c r="AA477" s="220"/>
      <c r="AB477" s="302" t="s">
        <v>6557</v>
      </c>
      <c r="AC477" s="302"/>
      <c r="AD477" s="302"/>
      <c r="AE477" s="302"/>
      <c r="AF477">
        <f t="shared" si="121"/>
        <v>0</v>
      </c>
    </row>
    <row r="478" spans="1:32" hidden="1" x14ac:dyDescent="0.25">
      <c r="A478" s="322" t="s">
        <v>1454</v>
      </c>
      <c r="B478" s="93" t="str">
        <f t="shared" si="123"/>
        <v>NO</v>
      </c>
      <c r="C478" s="93" t="s">
        <v>5503</v>
      </c>
      <c r="D478" s="4">
        <v>39338</v>
      </c>
      <c r="E478" s="2">
        <v>39417</v>
      </c>
      <c r="F478" s="2">
        <f t="shared" si="122"/>
        <v>43070</v>
      </c>
      <c r="G478" s="6">
        <v>40</v>
      </c>
      <c r="H478" s="7" t="s">
        <v>1442</v>
      </c>
      <c r="I478" s="7" t="s">
        <v>79</v>
      </c>
      <c r="J478" s="189"/>
      <c r="K478" s="266">
        <f t="shared" si="124"/>
        <v>2017</v>
      </c>
      <c r="L478" s="389"/>
      <c r="M478" s="389"/>
      <c r="N478" s="32"/>
      <c r="O478" s="32" t="s">
        <v>1456</v>
      </c>
      <c r="P478" s="278" t="s">
        <v>1457</v>
      </c>
      <c r="Q478" s="233" t="s">
        <v>1455</v>
      </c>
      <c r="R478" s="75">
        <v>270</v>
      </c>
      <c r="S478" s="75">
        <v>8120</v>
      </c>
      <c r="T478" s="75">
        <v>8390</v>
      </c>
      <c r="U478" s="200">
        <v>80</v>
      </c>
      <c r="V478" s="287">
        <f t="shared" ca="1" si="125"/>
        <v>10</v>
      </c>
      <c r="W478" s="75">
        <f t="shared" ca="1" si="126"/>
        <v>700</v>
      </c>
      <c r="X478" s="200">
        <f t="shared" ca="1" si="127"/>
        <v>9030</v>
      </c>
      <c r="Y478" s="1">
        <v>0.5</v>
      </c>
      <c r="Z478" s="1"/>
      <c r="AA478" s="219"/>
      <c r="AB478" s="340" t="s">
        <v>6558</v>
      </c>
      <c r="AC478" s="302"/>
      <c r="AD478" s="302"/>
      <c r="AE478" s="302"/>
      <c r="AF478">
        <f t="shared" si="121"/>
        <v>0</v>
      </c>
    </row>
    <row r="479" spans="1:32" hidden="1" x14ac:dyDescent="0.25">
      <c r="A479" s="322" t="s">
        <v>1458</v>
      </c>
      <c r="B479" s="93" t="str">
        <f t="shared" si="123"/>
        <v>NO</v>
      </c>
      <c r="C479" s="93" t="s">
        <v>5503</v>
      </c>
      <c r="D479" s="4">
        <v>39338</v>
      </c>
      <c r="E479" s="2">
        <v>39417</v>
      </c>
      <c r="F479" s="2">
        <f t="shared" si="122"/>
        <v>43070</v>
      </c>
      <c r="G479" s="6">
        <v>40.130000000000003</v>
      </c>
      <c r="H479" s="7" t="s">
        <v>1460</v>
      </c>
      <c r="I479" s="7" t="s">
        <v>79</v>
      </c>
      <c r="J479" s="189"/>
      <c r="K479" s="266">
        <f t="shared" si="124"/>
        <v>2017</v>
      </c>
      <c r="L479" s="389"/>
      <c r="M479" s="389"/>
      <c r="N479" s="32"/>
      <c r="O479" s="32" t="s">
        <v>1461</v>
      </c>
      <c r="P479" s="278" t="s">
        <v>1421</v>
      </c>
      <c r="Q479" s="233" t="s">
        <v>1459</v>
      </c>
      <c r="R479" s="75">
        <v>273.5</v>
      </c>
      <c r="S479" s="75">
        <v>0</v>
      </c>
      <c r="T479" s="75">
        <v>273.5</v>
      </c>
      <c r="U479" s="200">
        <v>82</v>
      </c>
      <c r="V479" s="287">
        <f t="shared" ca="1" si="125"/>
        <v>10</v>
      </c>
      <c r="W479" s="75">
        <f t="shared" ca="1" si="126"/>
        <v>717.5</v>
      </c>
      <c r="X479" s="200">
        <f t="shared" ca="1" si="127"/>
        <v>929.5</v>
      </c>
      <c r="Y479" s="1">
        <v>0.5</v>
      </c>
      <c r="Z479" s="1"/>
      <c r="AA479" s="219"/>
      <c r="AB479" s="302" t="s">
        <v>6559</v>
      </c>
      <c r="AC479" s="302"/>
      <c r="AD479" s="302"/>
      <c r="AE479" s="302"/>
      <c r="AF479">
        <f t="shared" si="121"/>
        <v>0</v>
      </c>
    </row>
    <row r="480" spans="1:32" ht="26.25" hidden="1" x14ac:dyDescent="0.25">
      <c r="A480" s="322" t="s">
        <v>1462</v>
      </c>
      <c r="B480" s="93" t="str">
        <f t="shared" si="123"/>
        <v>NO</v>
      </c>
      <c r="C480" s="93" t="s">
        <v>5503</v>
      </c>
      <c r="D480" s="4">
        <v>39338</v>
      </c>
      <c r="E480" s="2">
        <v>39417</v>
      </c>
      <c r="F480" s="2">
        <f t="shared" si="122"/>
        <v>43070</v>
      </c>
      <c r="G480" s="6">
        <v>406.36</v>
      </c>
      <c r="H480" s="7" t="s">
        <v>1437</v>
      </c>
      <c r="I480" s="7" t="s">
        <v>79</v>
      </c>
      <c r="J480" s="109" t="s">
        <v>1464</v>
      </c>
      <c r="K480" s="266">
        <f t="shared" si="124"/>
        <v>2017</v>
      </c>
      <c r="L480" s="385"/>
      <c r="M480" s="385"/>
      <c r="N480" s="32"/>
      <c r="O480" s="32" t="s">
        <v>1465</v>
      </c>
      <c r="P480" s="278" t="s">
        <v>1466</v>
      </c>
      <c r="Q480" s="233" t="s">
        <v>1463</v>
      </c>
      <c r="R480" s="75">
        <v>1554.5</v>
      </c>
      <c r="S480" s="75">
        <v>223036</v>
      </c>
      <c r="T480" s="75">
        <v>224590.5</v>
      </c>
      <c r="U480" s="200">
        <v>814</v>
      </c>
      <c r="V480" s="287">
        <f t="shared" ca="1" si="125"/>
        <v>10</v>
      </c>
      <c r="W480" s="75">
        <f t="shared" ca="1" si="126"/>
        <v>7122.5</v>
      </c>
      <c r="X480" s="200">
        <f t="shared" ca="1" si="127"/>
        <v>231102.5</v>
      </c>
      <c r="Y480" s="1">
        <v>0.5</v>
      </c>
      <c r="Z480" s="1"/>
      <c r="AA480" s="219"/>
      <c r="AB480" s="302" t="s">
        <v>6560</v>
      </c>
      <c r="AC480" s="302"/>
      <c r="AD480" s="302"/>
      <c r="AE480" s="302"/>
      <c r="AF480">
        <f t="shared" si="121"/>
        <v>0</v>
      </c>
    </row>
    <row r="481" spans="1:32" hidden="1" x14ac:dyDescent="0.25">
      <c r="A481" s="322" t="s">
        <v>1467</v>
      </c>
      <c r="B481" s="93" t="str">
        <f t="shared" si="123"/>
        <v>NO</v>
      </c>
      <c r="C481" s="93" t="s">
        <v>5503</v>
      </c>
      <c r="D481" s="4">
        <v>39338</v>
      </c>
      <c r="E481" s="2">
        <v>39417</v>
      </c>
      <c r="F481" s="2">
        <f t="shared" si="122"/>
        <v>43070</v>
      </c>
      <c r="G481" s="6">
        <v>79.900000000000006</v>
      </c>
      <c r="H481" s="7" t="s">
        <v>1469</v>
      </c>
      <c r="I481" s="7" t="s">
        <v>79</v>
      </c>
      <c r="J481" s="189"/>
      <c r="K481" s="266">
        <f t="shared" si="124"/>
        <v>2017</v>
      </c>
      <c r="L481" s="389"/>
      <c r="M481" s="389"/>
      <c r="N481" s="32"/>
      <c r="O481" s="32" t="s">
        <v>1470</v>
      </c>
      <c r="P481" s="278" t="s">
        <v>1471</v>
      </c>
      <c r="Q481" s="233" t="s">
        <v>1468</v>
      </c>
      <c r="R481" s="75">
        <v>410</v>
      </c>
      <c r="S481" s="75">
        <v>25840</v>
      </c>
      <c r="T481" s="75">
        <v>26250</v>
      </c>
      <c r="U481" s="200">
        <v>160</v>
      </c>
      <c r="V481" s="287">
        <f t="shared" ca="1" si="125"/>
        <v>10</v>
      </c>
      <c r="W481" s="75">
        <f t="shared" ca="1" si="126"/>
        <v>1400</v>
      </c>
      <c r="X481" s="200">
        <f t="shared" ca="1" si="127"/>
        <v>27530</v>
      </c>
      <c r="Y481" s="1">
        <v>0.5</v>
      </c>
      <c r="Z481" s="1"/>
      <c r="AA481" s="219"/>
      <c r="AB481" s="302" t="s">
        <v>6561</v>
      </c>
      <c r="AC481" s="302"/>
      <c r="AD481" s="302"/>
      <c r="AE481" s="302"/>
      <c r="AF481">
        <f t="shared" si="121"/>
        <v>0</v>
      </c>
    </row>
    <row r="482" spans="1:32" hidden="1" x14ac:dyDescent="0.25">
      <c r="A482" s="322" t="s">
        <v>1472</v>
      </c>
      <c r="B482" s="93" t="str">
        <f t="shared" si="123"/>
        <v>NO</v>
      </c>
      <c r="C482" s="93" t="s">
        <v>5503</v>
      </c>
      <c r="D482" s="4">
        <v>39338</v>
      </c>
      <c r="E482" s="2">
        <v>39417</v>
      </c>
      <c r="F482" s="2">
        <f t="shared" si="122"/>
        <v>43070</v>
      </c>
      <c r="G482" s="6">
        <v>80.44</v>
      </c>
      <c r="H482" s="7" t="s">
        <v>1474</v>
      </c>
      <c r="I482" s="7" t="s">
        <v>79</v>
      </c>
      <c r="J482" s="186"/>
      <c r="K482" s="266">
        <f t="shared" si="124"/>
        <v>2017</v>
      </c>
      <c r="L482" s="386"/>
      <c r="M482" s="386"/>
      <c r="N482" s="32"/>
      <c r="O482" s="32" t="s">
        <v>1475</v>
      </c>
      <c r="P482" s="278" t="s">
        <v>1476</v>
      </c>
      <c r="Q482" s="233" t="s">
        <v>1473</v>
      </c>
      <c r="R482" s="75">
        <v>413.5</v>
      </c>
      <c r="S482" s="75">
        <v>3483</v>
      </c>
      <c r="T482" s="75">
        <v>3896.5</v>
      </c>
      <c r="U482" s="200">
        <v>162</v>
      </c>
      <c r="V482" s="287">
        <f t="shared" ca="1" si="125"/>
        <v>10</v>
      </c>
      <c r="W482" s="75">
        <f t="shared" ca="1" si="126"/>
        <v>1417.5</v>
      </c>
      <c r="X482" s="200">
        <f t="shared" ca="1" si="127"/>
        <v>5192.5</v>
      </c>
      <c r="Y482" s="1">
        <v>0.5</v>
      </c>
      <c r="Z482" s="1"/>
      <c r="AA482" s="219"/>
      <c r="AB482" s="302" t="s">
        <v>6562</v>
      </c>
      <c r="AC482" s="302"/>
      <c r="AD482" s="302"/>
      <c r="AE482" s="302"/>
      <c r="AF482">
        <f t="shared" si="121"/>
        <v>0</v>
      </c>
    </row>
    <row r="483" spans="1:32" hidden="1" x14ac:dyDescent="0.25">
      <c r="A483" s="322" t="s">
        <v>1477</v>
      </c>
      <c r="B483" s="93" t="str">
        <f t="shared" si="123"/>
        <v>NO</v>
      </c>
      <c r="C483" s="93" t="s">
        <v>5503</v>
      </c>
      <c r="D483" s="4">
        <v>39338</v>
      </c>
      <c r="E483" s="2">
        <v>39417</v>
      </c>
      <c r="F483" s="2">
        <f t="shared" si="122"/>
        <v>43070</v>
      </c>
      <c r="G483" s="6">
        <v>40.119999999999997</v>
      </c>
      <c r="H483" s="7" t="s">
        <v>1474</v>
      </c>
      <c r="I483" s="7" t="s">
        <v>79</v>
      </c>
      <c r="J483" s="186"/>
      <c r="K483" s="266">
        <f t="shared" si="124"/>
        <v>2017</v>
      </c>
      <c r="L483" s="386"/>
      <c r="M483" s="386"/>
      <c r="N483" s="32"/>
      <c r="O483" s="32" t="s">
        <v>1475</v>
      </c>
      <c r="P483" s="278" t="s">
        <v>1479</v>
      </c>
      <c r="Q483" s="233" t="s">
        <v>1478</v>
      </c>
      <c r="R483" s="75">
        <v>273.5</v>
      </c>
      <c r="S483" s="75">
        <v>1763</v>
      </c>
      <c r="T483" s="75">
        <v>2036.5</v>
      </c>
      <c r="U483" s="200">
        <v>82</v>
      </c>
      <c r="V483" s="287">
        <f t="shared" ca="1" si="125"/>
        <v>10</v>
      </c>
      <c r="W483" s="75">
        <f t="shared" ca="1" si="126"/>
        <v>717.5</v>
      </c>
      <c r="X483" s="200">
        <f t="shared" ca="1" si="127"/>
        <v>2692.5</v>
      </c>
      <c r="Y483" s="1">
        <v>0.5</v>
      </c>
      <c r="Z483" s="1"/>
      <c r="AA483" s="219"/>
      <c r="AB483" s="302" t="s">
        <v>6563</v>
      </c>
      <c r="AC483" s="302"/>
      <c r="AD483" s="302"/>
      <c r="AE483" s="302"/>
      <c r="AF483">
        <f t="shared" si="121"/>
        <v>0</v>
      </c>
    </row>
    <row r="484" spans="1:32" hidden="1" x14ac:dyDescent="0.25">
      <c r="A484" s="322" t="s">
        <v>1480</v>
      </c>
      <c r="B484" s="93" t="str">
        <f t="shared" si="123"/>
        <v>NO</v>
      </c>
      <c r="C484" s="93" t="s">
        <v>5503</v>
      </c>
      <c r="D484" s="4">
        <v>39338</v>
      </c>
      <c r="E484" s="2">
        <v>39417</v>
      </c>
      <c r="F484" s="2">
        <f t="shared" si="122"/>
        <v>43070</v>
      </c>
      <c r="G484" s="6">
        <v>39.909999999999997</v>
      </c>
      <c r="H484" s="7" t="s">
        <v>1474</v>
      </c>
      <c r="I484" s="7" t="s">
        <v>79</v>
      </c>
      <c r="J484" s="186"/>
      <c r="K484" s="266">
        <f t="shared" si="124"/>
        <v>2017</v>
      </c>
      <c r="L484" s="386"/>
      <c r="M484" s="386"/>
      <c r="N484" s="32"/>
      <c r="O484" s="32" t="s">
        <v>1475</v>
      </c>
      <c r="P484" s="278" t="s">
        <v>1482</v>
      </c>
      <c r="Q484" s="233" t="s">
        <v>1481</v>
      </c>
      <c r="R484" s="75">
        <v>270</v>
      </c>
      <c r="S484" s="75">
        <v>1640</v>
      </c>
      <c r="T484" s="75">
        <v>1910</v>
      </c>
      <c r="U484" s="200">
        <v>80</v>
      </c>
      <c r="V484" s="287">
        <f t="shared" ca="1" si="125"/>
        <v>10</v>
      </c>
      <c r="W484" s="75">
        <f t="shared" ca="1" si="126"/>
        <v>700</v>
      </c>
      <c r="X484" s="200">
        <f t="shared" ca="1" si="127"/>
        <v>2550</v>
      </c>
      <c r="Y484" s="1">
        <v>0.5</v>
      </c>
      <c r="Z484" s="1"/>
      <c r="AA484" s="219"/>
      <c r="AB484" s="302" t="s">
        <v>6564</v>
      </c>
      <c r="AC484" s="302"/>
      <c r="AD484" s="302"/>
      <c r="AE484" s="302"/>
      <c r="AF484">
        <f t="shared" si="121"/>
        <v>0</v>
      </c>
    </row>
    <row r="485" spans="1:32" hidden="1" x14ac:dyDescent="0.25">
      <c r="A485" s="322" t="s">
        <v>1483</v>
      </c>
      <c r="B485" s="93" t="str">
        <f t="shared" si="123"/>
        <v>NO</v>
      </c>
      <c r="C485" s="93" t="s">
        <v>5503</v>
      </c>
      <c r="D485" s="4">
        <v>39338</v>
      </c>
      <c r="E485" s="2">
        <v>39417</v>
      </c>
      <c r="F485" s="2">
        <f t="shared" si="122"/>
        <v>43070</v>
      </c>
      <c r="G485" s="6">
        <v>80.290000000000006</v>
      </c>
      <c r="H485" s="7" t="s">
        <v>1485</v>
      </c>
      <c r="I485" s="7" t="s">
        <v>79</v>
      </c>
      <c r="J485" s="186"/>
      <c r="K485" s="266">
        <f t="shared" si="124"/>
        <v>2017</v>
      </c>
      <c r="L485" s="386"/>
      <c r="M485" s="386"/>
      <c r="N485" s="32"/>
      <c r="O485" s="32" t="s">
        <v>1486</v>
      </c>
      <c r="P485" s="278" t="s">
        <v>1487</v>
      </c>
      <c r="Q485" s="233" t="s">
        <v>1484</v>
      </c>
      <c r="R485" s="75">
        <v>413.5</v>
      </c>
      <c r="S485" s="75">
        <v>0</v>
      </c>
      <c r="T485" s="75">
        <v>413.5</v>
      </c>
      <c r="U485" s="200">
        <v>162</v>
      </c>
      <c r="V485" s="287">
        <f t="shared" ca="1" si="125"/>
        <v>10</v>
      </c>
      <c r="W485" s="75">
        <f t="shared" ca="1" si="126"/>
        <v>1417.5</v>
      </c>
      <c r="X485" s="200">
        <f t="shared" ca="1" si="127"/>
        <v>1709.5</v>
      </c>
      <c r="Y485" s="1">
        <v>0.5</v>
      </c>
      <c r="Z485" s="1"/>
      <c r="AA485" s="219"/>
      <c r="AB485" s="302" t="s">
        <v>6565</v>
      </c>
      <c r="AC485" s="302"/>
      <c r="AD485" s="302"/>
      <c r="AE485" s="302"/>
      <c r="AF485">
        <f t="shared" si="121"/>
        <v>0</v>
      </c>
    </row>
    <row r="486" spans="1:32" hidden="1" x14ac:dyDescent="0.25">
      <c r="A486" s="322" t="s">
        <v>1488</v>
      </c>
      <c r="B486" s="93" t="str">
        <f t="shared" si="123"/>
        <v>NO</v>
      </c>
      <c r="C486" s="93" t="s">
        <v>5503</v>
      </c>
      <c r="D486" s="4">
        <v>39338</v>
      </c>
      <c r="E486" s="2">
        <v>39417</v>
      </c>
      <c r="F486" s="2">
        <f t="shared" si="122"/>
        <v>43070</v>
      </c>
      <c r="G486" s="6">
        <v>40.409999999999997</v>
      </c>
      <c r="H486" s="7" t="s">
        <v>1485</v>
      </c>
      <c r="I486" s="7" t="s">
        <v>79</v>
      </c>
      <c r="J486" s="186"/>
      <c r="K486" s="266">
        <f t="shared" si="124"/>
        <v>2017</v>
      </c>
      <c r="L486" s="386"/>
      <c r="M486" s="386"/>
      <c r="N486" s="32"/>
      <c r="O486" s="32" t="s">
        <v>1490</v>
      </c>
      <c r="P486" s="278" t="s">
        <v>1491</v>
      </c>
      <c r="Q486" s="233" t="s">
        <v>1489</v>
      </c>
      <c r="R486" s="75">
        <v>273.5</v>
      </c>
      <c r="S486" s="75">
        <v>0</v>
      </c>
      <c r="T486" s="75">
        <v>273.5</v>
      </c>
      <c r="U486" s="200">
        <v>82</v>
      </c>
      <c r="V486" s="287">
        <f t="shared" ca="1" si="125"/>
        <v>10</v>
      </c>
      <c r="W486" s="75">
        <f t="shared" ca="1" si="126"/>
        <v>717.5</v>
      </c>
      <c r="X486" s="200">
        <f t="shared" ca="1" si="127"/>
        <v>929.5</v>
      </c>
      <c r="Y486" s="1">
        <v>0.5</v>
      </c>
      <c r="Z486" s="1"/>
      <c r="AA486" s="219"/>
      <c r="AB486" s="302" t="s">
        <v>6566</v>
      </c>
      <c r="AC486" s="302"/>
      <c r="AD486" s="302"/>
      <c r="AE486" s="302"/>
      <c r="AF486">
        <f t="shared" si="121"/>
        <v>0</v>
      </c>
    </row>
    <row r="487" spans="1:32" hidden="1" x14ac:dyDescent="0.25">
      <c r="A487" s="322" t="s">
        <v>1492</v>
      </c>
      <c r="B487" s="93" t="str">
        <f t="shared" si="123"/>
        <v>NO</v>
      </c>
      <c r="C487" s="93" t="s">
        <v>5503</v>
      </c>
      <c r="D487" s="4">
        <v>39338</v>
      </c>
      <c r="E487" s="2">
        <v>39417</v>
      </c>
      <c r="F487" s="2">
        <f t="shared" si="122"/>
        <v>43070</v>
      </c>
      <c r="G487" s="6">
        <v>17.3</v>
      </c>
      <c r="H487" s="7" t="s">
        <v>1485</v>
      </c>
      <c r="I487" s="7" t="s">
        <v>79</v>
      </c>
      <c r="J487" s="186"/>
      <c r="K487" s="266">
        <f t="shared" si="124"/>
        <v>2017</v>
      </c>
      <c r="L487" s="386"/>
      <c r="M487" s="386"/>
      <c r="N487" s="32"/>
      <c r="O487" s="32" t="s">
        <v>1494</v>
      </c>
      <c r="P487" s="278" t="s">
        <v>1495</v>
      </c>
      <c r="Q487" s="233" t="s">
        <v>1493</v>
      </c>
      <c r="R487" s="75">
        <v>193</v>
      </c>
      <c r="S487" s="75">
        <v>0</v>
      </c>
      <c r="T487" s="75">
        <v>193</v>
      </c>
      <c r="U487" s="200">
        <v>36</v>
      </c>
      <c r="V487" s="287">
        <f t="shared" ca="1" si="125"/>
        <v>10</v>
      </c>
      <c r="W487" s="75">
        <f t="shared" ca="1" si="126"/>
        <v>315</v>
      </c>
      <c r="X487" s="200">
        <f t="shared" ca="1" si="127"/>
        <v>481</v>
      </c>
      <c r="Y487" s="1">
        <v>0.5</v>
      </c>
      <c r="Z487" s="1"/>
      <c r="AA487" s="219"/>
      <c r="AB487" s="302" t="s">
        <v>6567</v>
      </c>
      <c r="AC487" s="302"/>
      <c r="AD487" s="302"/>
      <c r="AE487" s="302"/>
      <c r="AF487">
        <f t="shared" si="121"/>
        <v>0</v>
      </c>
    </row>
    <row r="488" spans="1:32" hidden="1" x14ac:dyDescent="0.25">
      <c r="A488" s="322" t="s">
        <v>1496</v>
      </c>
      <c r="B488" s="93" t="str">
        <f t="shared" si="123"/>
        <v>NO</v>
      </c>
      <c r="C488" s="93" t="s">
        <v>5503</v>
      </c>
      <c r="D488" s="4">
        <v>39338</v>
      </c>
      <c r="E488" s="2">
        <v>39417</v>
      </c>
      <c r="F488" s="2">
        <f t="shared" si="122"/>
        <v>43070</v>
      </c>
      <c r="G488" s="6">
        <v>240</v>
      </c>
      <c r="H488" s="7" t="s">
        <v>1498</v>
      </c>
      <c r="I488" s="7" t="s">
        <v>79</v>
      </c>
      <c r="J488" s="186"/>
      <c r="K488" s="266">
        <f t="shared" si="124"/>
        <v>2017</v>
      </c>
      <c r="L488" s="386"/>
      <c r="M488" s="386"/>
      <c r="N488" s="32"/>
      <c r="O488" s="32" t="s">
        <v>1499</v>
      </c>
      <c r="P488" s="278" t="s">
        <v>1500</v>
      </c>
      <c r="Q488" s="233" t="s">
        <v>1497</v>
      </c>
      <c r="R488" s="75">
        <v>970</v>
      </c>
      <c r="S488" s="75">
        <v>121920</v>
      </c>
      <c r="T488" s="75">
        <v>122890</v>
      </c>
      <c r="U488" s="200">
        <v>480</v>
      </c>
      <c r="V488" s="287">
        <f t="shared" ca="1" si="125"/>
        <v>10</v>
      </c>
      <c r="W488" s="75">
        <f t="shared" ca="1" si="126"/>
        <v>4200</v>
      </c>
      <c r="X488" s="200">
        <f t="shared" ca="1" si="127"/>
        <v>126730</v>
      </c>
      <c r="Y488" s="1">
        <v>0.5</v>
      </c>
      <c r="Z488" s="1"/>
      <c r="AA488" s="219"/>
      <c r="AB488" s="302" t="s">
        <v>6568</v>
      </c>
      <c r="AC488" s="302"/>
      <c r="AD488" s="302"/>
      <c r="AE488" s="302"/>
      <c r="AF488">
        <f t="shared" si="121"/>
        <v>0</v>
      </c>
    </row>
    <row r="489" spans="1:32" hidden="1" x14ac:dyDescent="0.25">
      <c r="A489" s="322" t="s">
        <v>1501</v>
      </c>
      <c r="B489" s="93" t="str">
        <f t="shared" si="123"/>
        <v>NO</v>
      </c>
      <c r="C489" s="93" t="s">
        <v>5503</v>
      </c>
      <c r="D489" s="4">
        <v>39338</v>
      </c>
      <c r="E489" s="2">
        <v>39417</v>
      </c>
      <c r="F489" s="2">
        <f t="shared" si="122"/>
        <v>43070</v>
      </c>
      <c r="G489" s="6">
        <v>29.96</v>
      </c>
      <c r="H489" s="7" t="s">
        <v>1503</v>
      </c>
      <c r="I489" s="7" t="s">
        <v>79</v>
      </c>
      <c r="J489" s="186"/>
      <c r="K489" s="266">
        <f t="shared" si="124"/>
        <v>2017</v>
      </c>
      <c r="L489" s="386"/>
      <c r="M489" s="386"/>
      <c r="N489" s="32"/>
      <c r="O489" s="32" t="s">
        <v>1504</v>
      </c>
      <c r="P489" s="278" t="s">
        <v>1505</v>
      </c>
      <c r="Q489" s="233" t="s">
        <v>1502</v>
      </c>
      <c r="R489" s="75">
        <v>235</v>
      </c>
      <c r="S489" s="75">
        <v>3090</v>
      </c>
      <c r="T489" s="75">
        <v>3325</v>
      </c>
      <c r="U489" s="200">
        <v>60</v>
      </c>
      <c r="V489" s="287">
        <f t="shared" ca="1" si="125"/>
        <v>10</v>
      </c>
      <c r="W489" s="75">
        <f t="shared" ca="1" si="126"/>
        <v>525</v>
      </c>
      <c r="X489" s="200">
        <f t="shared" ca="1" si="127"/>
        <v>3805</v>
      </c>
      <c r="Y489" s="1">
        <v>0.5</v>
      </c>
      <c r="Z489" s="1"/>
      <c r="AA489" s="219"/>
      <c r="AB489" s="302" t="s">
        <v>6569</v>
      </c>
      <c r="AC489" s="302"/>
      <c r="AD489" s="302"/>
      <c r="AE489" s="302"/>
      <c r="AF489">
        <f t="shared" si="121"/>
        <v>0</v>
      </c>
    </row>
    <row r="490" spans="1:32" hidden="1" x14ac:dyDescent="0.25">
      <c r="A490" s="322" t="s">
        <v>1506</v>
      </c>
      <c r="B490" s="93" t="str">
        <f t="shared" si="123"/>
        <v>NO</v>
      </c>
      <c r="C490" s="93" t="s">
        <v>5503</v>
      </c>
      <c r="D490" s="4">
        <v>39338</v>
      </c>
      <c r="E490" s="2">
        <v>39417</v>
      </c>
      <c r="F490" s="2">
        <f t="shared" si="122"/>
        <v>43070</v>
      </c>
      <c r="G490" s="6">
        <v>160.16</v>
      </c>
      <c r="H490" s="7" t="s">
        <v>1503</v>
      </c>
      <c r="I490" s="7" t="s">
        <v>79</v>
      </c>
      <c r="J490" s="186"/>
      <c r="K490" s="266">
        <f t="shared" si="124"/>
        <v>2017</v>
      </c>
      <c r="L490" s="386"/>
      <c r="M490" s="386"/>
      <c r="N490" s="32"/>
      <c r="O490" s="32" t="s">
        <v>1508</v>
      </c>
      <c r="P490" s="278" t="s">
        <v>1509</v>
      </c>
      <c r="Q490" s="233" t="s">
        <v>1507</v>
      </c>
      <c r="R490" s="75">
        <v>693.5</v>
      </c>
      <c r="S490" s="75">
        <v>72128</v>
      </c>
      <c r="T490" s="75">
        <v>72821.5</v>
      </c>
      <c r="U490" s="200">
        <v>322</v>
      </c>
      <c r="V490" s="287">
        <f t="shared" ca="1" si="125"/>
        <v>10</v>
      </c>
      <c r="W490" s="75">
        <f t="shared" ca="1" si="126"/>
        <v>2817.5</v>
      </c>
      <c r="X490" s="200">
        <f t="shared" ca="1" si="127"/>
        <v>75397.5</v>
      </c>
      <c r="Y490" s="1">
        <v>0.5</v>
      </c>
      <c r="Z490" s="1"/>
      <c r="AA490" s="219"/>
      <c r="AB490" s="302" t="s">
        <v>6570</v>
      </c>
      <c r="AC490" s="302"/>
      <c r="AD490" s="302"/>
      <c r="AE490" s="302"/>
      <c r="AF490">
        <f t="shared" si="121"/>
        <v>0</v>
      </c>
    </row>
    <row r="491" spans="1:32" hidden="1" x14ac:dyDescent="0.25">
      <c r="A491" s="322" t="s">
        <v>1510</v>
      </c>
      <c r="B491" s="93" t="str">
        <f t="shared" si="123"/>
        <v>NO</v>
      </c>
      <c r="C491" s="93" t="s">
        <v>5503</v>
      </c>
      <c r="D491" s="4">
        <v>39338</v>
      </c>
      <c r="E491" s="2">
        <v>39417</v>
      </c>
      <c r="F491" s="2">
        <f t="shared" si="122"/>
        <v>43070</v>
      </c>
      <c r="G491" s="6">
        <v>40</v>
      </c>
      <c r="H491" s="7" t="s">
        <v>1512</v>
      </c>
      <c r="I491" s="7" t="s">
        <v>79</v>
      </c>
      <c r="J491" s="186"/>
      <c r="K491" s="266">
        <f t="shared" si="124"/>
        <v>2017</v>
      </c>
      <c r="L491" s="386"/>
      <c r="M491" s="386"/>
      <c r="N491" s="32"/>
      <c r="O491" s="32" t="s">
        <v>1513</v>
      </c>
      <c r="P491" s="278" t="s">
        <v>1514</v>
      </c>
      <c r="Q491" s="233" t="s">
        <v>1511</v>
      </c>
      <c r="R491" s="75">
        <v>270</v>
      </c>
      <c r="S491" s="75">
        <v>0</v>
      </c>
      <c r="T491" s="75">
        <v>270</v>
      </c>
      <c r="U491" s="200">
        <v>80</v>
      </c>
      <c r="V491" s="287">
        <f t="shared" ca="1" si="125"/>
        <v>10</v>
      </c>
      <c r="W491" s="75">
        <f t="shared" ca="1" si="126"/>
        <v>700</v>
      </c>
      <c r="X491" s="200">
        <f t="shared" ca="1" si="127"/>
        <v>910</v>
      </c>
      <c r="Y491" s="1">
        <v>0.5</v>
      </c>
      <c r="Z491" s="1"/>
      <c r="AA491" s="219"/>
      <c r="AB491" s="302" t="s">
        <v>6571</v>
      </c>
      <c r="AC491" s="302"/>
      <c r="AD491" s="302"/>
      <c r="AE491" s="302"/>
      <c r="AF491">
        <f t="shared" si="121"/>
        <v>0</v>
      </c>
    </row>
    <row r="492" spans="1:32" ht="39" hidden="1" x14ac:dyDescent="0.25">
      <c r="A492" s="322" t="s">
        <v>1515</v>
      </c>
      <c r="B492" s="93" t="str">
        <f t="shared" si="123"/>
        <v>NO</v>
      </c>
      <c r="C492" s="93" t="s">
        <v>5503</v>
      </c>
      <c r="D492" s="4">
        <v>39338</v>
      </c>
      <c r="E492" s="2">
        <v>39417</v>
      </c>
      <c r="F492" s="2">
        <f t="shared" si="122"/>
        <v>43070</v>
      </c>
      <c r="G492" s="6">
        <v>1220.03</v>
      </c>
      <c r="H492" s="7" t="s">
        <v>1517</v>
      </c>
      <c r="I492" s="7" t="s">
        <v>79</v>
      </c>
      <c r="J492" s="186"/>
      <c r="K492" s="266">
        <f t="shared" si="124"/>
        <v>2017</v>
      </c>
      <c r="L492" s="386"/>
      <c r="M492" s="386"/>
      <c r="N492" s="32"/>
      <c r="O492" s="32" t="s">
        <v>1518</v>
      </c>
      <c r="P492" s="278" t="s">
        <v>1519</v>
      </c>
      <c r="Q492" s="233" t="s">
        <v>1516</v>
      </c>
      <c r="R492" s="75">
        <v>4403.5</v>
      </c>
      <c r="S492" s="75">
        <v>547008</v>
      </c>
      <c r="T492" s="75">
        <v>551411.5</v>
      </c>
      <c r="U492" s="200">
        <v>2442</v>
      </c>
      <c r="V492" s="287">
        <f t="shared" ca="1" si="125"/>
        <v>10</v>
      </c>
      <c r="W492" s="75">
        <f t="shared" ca="1" si="126"/>
        <v>21367.5</v>
      </c>
      <c r="X492" s="200">
        <f t="shared" ca="1" si="127"/>
        <v>570947.5</v>
      </c>
      <c r="Y492" s="1">
        <v>0.5</v>
      </c>
      <c r="Z492" s="1"/>
      <c r="AA492" s="219"/>
      <c r="AB492" s="302" t="s">
        <v>6572</v>
      </c>
      <c r="AC492" s="302"/>
      <c r="AD492" s="302"/>
      <c r="AE492" s="302"/>
      <c r="AF492">
        <f t="shared" si="121"/>
        <v>0</v>
      </c>
    </row>
    <row r="493" spans="1:32" ht="39" hidden="1" x14ac:dyDescent="0.25">
      <c r="A493" s="322" t="s">
        <v>1520</v>
      </c>
      <c r="B493" s="93" t="str">
        <f t="shared" si="123"/>
        <v>NO</v>
      </c>
      <c r="C493" s="93" t="s">
        <v>5503</v>
      </c>
      <c r="D493" s="4">
        <v>39338</v>
      </c>
      <c r="E493" s="2">
        <v>39417</v>
      </c>
      <c r="F493" s="2">
        <f t="shared" si="122"/>
        <v>43070</v>
      </c>
      <c r="G493" s="6">
        <v>1413.34</v>
      </c>
      <c r="H493" s="7" t="s">
        <v>1517</v>
      </c>
      <c r="I493" s="7" t="s">
        <v>79</v>
      </c>
      <c r="J493" s="186"/>
      <c r="K493" s="266">
        <f t="shared" si="124"/>
        <v>2017</v>
      </c>
      <c r="L493" s="386"/>
      <c r="M493" s="386"/>
      <c r="N493" s="32"/>
      <c r="O493" s="32" t="s">
        <v>1518</v>
      </c>
      <c r="P493" s="278" t="s">
        <v>1522</v>
      </c>
      <c r="Q493" s="233" t="s">
        <v>1521</v>
      </c>
      <c r="R493" s="75">
        <v>5079</v>
      </c>
      <c r="S493" s="75">
        <v>315322</v>
      </c>
      <c r="T493" s="75">
        <v>320401</v>
      </c>
      <c r="U493" s="200">
        <v>2828</v>
      </c>
      <c r="V493" s="287">
        <f t="shared" ca="1" si="125"/>
        <v>10</v>
      </c>
      <c r="W493" s="75">
        <f t="shared" ca="1" si="126"/>
        <v>24745</v>
      </c>
      <c r="X493" s="200">
        <f t="shared" ca="1" si="127"/>
        <v>343025</v>
      </c>
      <c r="Y493" s="1">
        <v>0.5</v>
      </c>
      <c r="Z493" s="1"/>
      <c r="AA493" s="219"/>
      <c r="AB493" s="302" t="s">
        <v>6573</v>
      </c>
      <c r="AC493" s="302"/>
      <c r="AD493" s="302"/>
      <c r="AE493" s="302"/>
      <c r="AF493">
        <f t="shared" si="121"/>
        <v>0</v>
      </c>
    </row>
    <row r="494" spans="1:32" hidden="1" x14ac:dyDescent="0.25">
      <c r="A494" s="322" t="s">
        <v>1523</v>
      </c>
      <c r="B494" s="93" t="str">
        <f t="shared" si="123"/>
        <v>NO</v>
      </c>
      <c r="C494" s="93" t="s">
        <v>5503</v>
      </c>
      <c r="D494" s="4">
        <v>39338</v>
      </c>
      <c r="E494" s="2">
        <v>39417</v>
      </c>
      <c r="F494" s="2">
        <f t="shared" si="122"/>
        <v>43070</v>
      </c>
      <c r="G494" s="6">
        <v>781.36</v>
      </c>
      <c r="H494" s="7" t="s">
        <v>1517</v>
      </c>
      <c r="I494" s="7" t="s">
        <v>79</v>
      </c>
      <c r="J494" s="186"/>
      <c r="K494" s="266">
        <f t="shared" si="124"/>
        <v>2017</v>
      </c>
      <c r="L494" s="386"/>
      <c r="M494" s="386"/>
      <c r="N494" s="32"/>
      <c r="O494" s="32" t="s">
        <v>1518</v>
      </c>
      <c r="P494" s="278" t="s">
        <v>1525</v>
      </c>
      <c r="Q494" s="233" t="s">
        <v>1524</v>
      </c>
      <c r="R494" s="75">
        <v>2867</v>
      </c>
      <c r="S494" s="75">
        <v>201756</v>
      </c>
      <c r="T494" s="75">
        <v>204623</v>
      </c>
      <c r="U494" s="200">
        <v>1564</v>
      </c>
      <c r="V494" s="287">
        <f t="shared" ca="1" si="125"/>
        <v>10</v>
      </c>
      <c r="W494" s="75">
        <f t="shared" ca="1" si="126"/>
        <v>13685</v>
      </c>
      <c r="X494" s="200">
        <f t="shared" ca="1" si="127"/>
        <v>217135</v>
      </c>
      <c r="Y494" s="1">
        <v>0.5</v>
      </c>
      <c r="Z494" s="1"/>
      <c r="AA494" s="219"/>
      <c r="AB494" s="302" t="s">
        <v>6574</v>
      </c>
      <c r="AC494" s="302"/>
      <c r="AD494" s="302"/>
      <c r="AE494" s="302"/>
      <c r="AF494">
        <f t="shared" si="121"/>
        <v>0</v>
      </c>
    </row>
    <row r="495" spans="1:32" ht="26.25" hidden="1" x14ac:dyDescent="0.25">
      <c r="A495" s="322" t="s">
        <v>1526</v>
      </c>
      <c r="B495" s="93" t="str">
        <f t="shared" si="123"/>
        <v>NO</v>
      </c>
      <c r="C495" s="93" t="s">
        <v>5503</v>
      </c>
      <c r="D495" s="4">
        <v>39338</v>
      </c>
      <c r="E495" s="2">
        <v>39417</v>
      </c>
      <c r="F495" s="2">
        <f t="shared" si="122"/>
        <v>43070</v>
      </c>
      <c r="G495" s="6">
        <v>411.81</v>
      </c>
      <c r="H495" s="7" t="s">
        <v>1517</v>
      </c>
      <c r="I495" s="7" t="s">
        <v>79</v>
      </c>
      <c r="J495" s="186"/>
      <c r="K495" s="266">
        <f t="shared" si="124"/>
        <v>2017</v>
      </c>
      <c r="L495" s="386"/>
      <c r="M495" s="386"/>
      <c r="N495" s="32"/>
      <c r="O495" s="32" t="s">
        <v>1528</v>
      </c>
      <c r="P495" s="278" t="s">
        <v>1529</v>
      </c>
      <c r="Q495" s="233" t="s">
        <v>1527</v>
      </c>
      <c r="R495" s="75">
        <v>1572</v>
      </c>
      <c r="S495" s="75">
        <v>93936</v>
      </c>
      <c r="T495" s="75">
        <v>95508</v>
      </c>
      <c r="U495" s="200">
        <v>824</v>
      </c>
      <c r="V495" s="287">
        <f t="shared" ca="1" si="125"/>
        <v>10</v>
      </c>
      <c r="W495" s="75">
        <f t="shared" ca="1" si="126"/>
        <v>7210</v>
      </c>
      <c r="X495" s="200">
        <f t="shared" ca="1" si="127"/>
        <v>102100</v>
      </c>
      <c r="Y495" s="1">
        <v>0.5</v>
      </c>
      <c r="Z495" s="1"/>
      <c r="AA495" s="219"/>
      <c r="AB495" s="302" t="s">
        <v>6575</v>
      </c>
      <c r="AC495" s="302"/>
      <c r="AD495" s="302"/>
      <c r="AE495" s="302"/>
      <c r="AF495">
        <f t="shared" si="121"/>
        <v>0</v>
      </c>
    </row>
    <row r="496" spans="1:32" ht="39" hidden="1" x14ac:dyDescent="0.25">
      <c r="A496" s="322" t="s">
        <v>1530</v>
      </c>
      <c r="B496" s="93" t="str">
        <f t="shared" si="123"/>
        <v>NO</v>
      </c>
      <c r="C496" s="93" t="s">
        <v>5503</v>
      </c>
      <c r="D496" s="4">
        <v>39338</v>
      </c>
      <c r="E496" s="2">
        <v>39417</v>
      </c>
      <c r="F496" s="2">
        <f t="shared" si="122"/>
        <v>43070</v>
      </c>
      <c r="G496" s="6">
        <v>1245.07</v>
      </c>
      <c r="H496" s="7" t="s">
        <v>1517</v>
      </c>
      <c r="I496" s="7" t="s">
        <v>79</v>
      </c>
      <c r="J496" s="186"/>
      <c r="K496" s="266">
        <f t="shared" si="124"/>
        <v>2017</v>
      </c>
      <c r="L496" s="386"/>
      <c r="M496" s="386"/>
      <c r="N496" s="32"/>
      <c r="O496" s="32" t="s">
        <v>1532</v>
      </c>
      <c r="P496" s="278" t="s">
        <v>1533</v>
      </c>
      <c r="Q496" s="233" t="s">
        <v>1531</v>
      </c>
      <c r="R496" s="75">
        <v>4491</v>
      </c>
      <c r="S496" s="75">
        <v>309008</v>
      </c>
      <c r="T496" s="75">
        <v>313499</v>
      </c>
      <c r="U496" s="200">
        <v>2492</v>
      </c>
      <c r="V496" s="287">
        <f t="shared" ca="1" si="125"/>
        <v>10</v>
      </c>
      <c r="W496" s="75">
        <f t="shared" ca="1" si="126"/>
        <v>21805</v>
      </c>
      <c r="X496" s="200">
        <f t="shared" ca="1" si="127"/>
        <v>333435</v>
      </c>
      <c r="Y496" s="1">
        <v>0.5</v>
      </c>
      <c r="Z496" s="1"/>
      <c r="AA496" s="219"/>
      <c r="AB496" s="302" t="s">
        <v>6576</v>
      </c>
      <c r="AC496" s="302"/>
      <c r="AD496" s="302"/>
      <c r="AE496" s="302"/>
      <c r="AF496">
        <f t="shared" si="121"/>
        <v>0</v>
      </c>
    </row>
    <row r="497" spans="1:32" hidden="1" x14ac:dyDescent="0.25">
      <c r="A497" s="322" t="s">
        <v>1534</v>
      </c>
      <c r="B497" s="93" t="str">
        <f t="shared" si="123"/>
        <v>NO</v>
      </c>
      <c r="C497" s="93" t="s">
        <v>5503</v>
      </c>
      <c r="D497" s="4">
        <v>39338</v>
      </c>
      <c r="E497" s="2">
        <v>39417</v>
      </c>
      <c r="F497" s="2">
        <f t="shared" si="122"/>
        <v>43070</v>
      </c>
      <c r="G497" s="6">
        <v>1175.8</v>
      </c>
      <c r="H497" s="7" t="s">
        <v>1517</v>
      </c>
      <c r="I497" s="7" t="s">
        <v>79</v>
      </c>
      <c r="J497" s="186"/>
      <c r="K497" s="266">
        <f t="shared" si="124"/>
        <v>2017</v>
      </c>
      <c r="L497" s="386"/>
      <c r="M497" s="386"/>
      <c r="N497" s="32"/>
      <c r="O497" s="32" t="s">
        <v>1532</v>
      </c>
      <c r="P497" s="278" t="s">
        <v>1536</v>
      </c>
      <c r="Q497" s="233" t="s">
        <v>1535</v>
      </c>
      <c r="R497" s="75">
        <v>4246</v>
      </c>
      <c r="S497" s="75">
        <v>538608</v>
      </c>
      <c r="T497" s="75">
        <v>542854</v>
      </c>
      <c r="U497" s="200">
        <v>2352</v>
      </c>
      <c r="V497" s="287">
        <f t="shared" ca="1" si="125"/>
        <v>10</v>
      </c>
      <c r="W497" s="75">
        <f t="shared" ca="1" si="126"/>
        <v>20580</v>
      </c>
      <c r="X497" s="200">
        <f t="shared" ca="1" si="127"/>
        <v>561670</v>
      </c>
      <c r="Y497" s="1">
        <v>0.5</v>
      </c>
      <c r="Z497" s="1"/>
      <c r="AA497" s="219"/>
      <c r="AB497" s="302" t="s">
        <v>6577</v>
      </c>
      <c r="AC497" s="302"/>
      <c r="AD497" s="302"/>
      <c r="AE497" s="302"/>
      <c r="AF497">
        <f t="shared" si="121"/>
        <v>0</v>
      </c>
    </row>
    <row r="498" spans="1:32" ht="39" hidden="1" x14ac:dyDescent="0.25">
      <c r="A498" s="322" t="s">
        <v>1537</v>
      </c>
      <c r="B498" s="93" t="str">
        <f t="shared" si="123"/>
        <v>NO</v>
      </c>
      <c r="C498" s="93" t="s">
        <v>5503</v>
      </c>
      <c r="D498" s="4">
        <v>39338</v>
      </c>
      <c r="E498" s="2">
        <v>39417</v>
      </c>
      <c r="F498" s="2">
        <f t="shared" si="122"/>
        <v>43070</v>
      </c>
      <c r="G498" s="6">
        <v>826.84</v>
      </c>
      <c r="H498" s="7" t="s">
        <v>1517</v>
      </c>
      <c r="I498" s="7" t="s">
        <v>79</v>
      </c>
      <c r="J498" s="186"/>
      <c r="K498" s="266">
        <f t="shared" si="124"/>
        <v>2017</v>
      </c>
      <c r="L498" s="386"/>
      <c r="M498" s="386"/>
      <c r="N498" s="32"/>
      <c r="O498" s="32" t="s">
        <v>1532</v>
      </c>
      <c r="P498" s="278" t="s">
        <v>1539</v>
      </c>
      <c r="Q498" s="233" t="s">
        <v>1538</v>
      </c>
      <c r="R498" s="75">
        <v>3024.5</v>
      </c>
      <c r="S498" s="75">
        <v>221636</v>
      </c>
      <c r="T498" s="75">
        <v>224660.5</v>
      </c>
      <c r="U498" s="200">
        <v>1654</v>
      </c>
      <c r="V498" s="287">
        <f t="shared" ca="1" si="125"/>
        <v>10</v>
      </c>
      <c r="W498" s="75">
        <f t="shared" ca="1" si="126"/>
        <v>14472.5</v>
      </c>
      <c r="X498" s="200">
        <f t="shared" ca="1" si="127"/>
        <v>237892.5</v>
      </c>
      <c r="Y498" s="1">
        <v>0.5</v>
      </c>
      <c r="Z498" s="1"/>
      <c r="AA498" s="219"/>
      <c r="AB498" s="302" t="s">
        <v>6578</v>
      </c>
      <c r="AC498" s="302"/>
      <c r="AD498" s="302"/>
      <c r="AE498" s="302"/>
      <c r="AF498">
        <f t="shared" si="121"/>
        <v>0</v>
      </c>
    </row>
    <row r="499" spans="1:32" ht="15.75" hidden="1" thickBot="1" x14ac:dyDescent="0.3">
      <c r="A499" s="323"/>
      <c r="D499" s="4"/>
      <c r="E499" s="2"/>
      <c r="F499" s="2"/>
      <c r="G499" s="6"/>
      <c r="H499" s="7"/>
      <c r="I499" s="7"/>
      <c r="J499" s="186"/>
      <c r="K499" s="186"/>
      <c r="L499" s="386"/>
      <c r="M499" s="386"/>
      <c r="N499" s="32"/>
      <c r="O499" s="32"/>
      <c r="P499" s="278"/>
      <c r="Q499" s="233" t="s">
        <v>508</v>
      </c>
      <c r="R499" s="76">
        <v>40350</v>
      </c>
      <c r="S499" s="76">
        <v>2842092</v>
      </c>
      <c r="T499" s="76">
        <v>2882442</v>
      </c>
      <c r="U499" s="200"/>
      <c r="V499" s="75"/>
      <c r="W499" s="75"/>
      <c r="X499" s="200"/>
      <c r="Y499" s="1"/>
      <c r="Z499" s="1"/>
      <c r="AA499" s="219"/>
      <c r="AB499" s="302"/>
      <c r="AC499" s="302"/>
      <c r="AD499" s="302"/>
      <c r="AE499" s="302"/>
      <c r="AF499">
        <f t="shared" si="121"/>
        <v>0</v>
      </c>
    </row>
    <row r="500" spans="1:32" hidden="1" x14ac:dyDescent="0.25">
      <c r="A500" s="323"/>
      <c r="D500" s="4"/>
      <c r="E500" s="2"/>
      <c r="F500" s="2"/>
      <c r="G500" s="6"/>
      <c r="H500" s="7"/>
      <c r="I500" s="7"/>
      <c r="J500" s="186"/>
      <c r="K500" s="186"/>
      <c r="L500" s="386"/>
      <c r="M500" s="386"/>
      <c r="N500" s="32"/>
      <c r="O500" s="32"/>
      <c r="P500" s="278"/>
      <c r="Q500" s="233"/>
      <c r="R500" s="75"/>
      <c r="S500" s="75"/>
      <c r="T500" s="75"/>
      <c r="U500" s="200"/>
      <c r="V500" s="75"/>
      <c r="W500" s="75"/>
      <c r="X500" s="200"/>
      <c r="Y500" s="1"/>
      <c r="Z500" s="1"/>
      <c r="AA500" s="219"/>
      <c r="AB500" s="302"/>
      <c r="AC500" s="302"/>
      <c r="AD500" s="302"/>
      <c r="AE500" s="302"/>
      <c r="AF500">
        <f t="shared" si="121"/>
        <v>0</v>
      </c>
    </row>
    <row r="501" spans="1:32" ht="39" hidden="1" x14ac:dyDescent="0.25">
      <c r="A501" s="323"/>
      <c r="D501" s="4"/>
      <c r="E501" s="2"/>
      <c r="F501" s="2"/>
      <c r="G501" s="6"/>
      <c r="H501" s="7"/>
      <c r="I501" s="7"/>
      <c r="J501" s="186" t="s">
        <v>1540</v>
      </c>
      <c r="K501" s="186"/>
      <c r="L501" s="386"/>
      <c r="M501" s="386"/>
      <c r="N501" s="32"/>
      <c r="O501" s="32"/>
      <c r="P501" s="278"/>
      <c r="Q501" s="233"/>
      <c r="R501" s="75"/>
      <c r="S501" s="75"/>
      <c r="T501" s="75"/>
      <c r="U501" s="200"/>
      <c r="V501" s="75"/>
      <c r="W501" s="75"/>
      <c r="X501" s="200"/>
      <c r="Y501" s="17"/>
      <c r="Z501" s="17"/>
      <c r="AA501" s="220"/>
      <c r="AB501" s="302"/>
      <c r="AC501" s="302"/>
      <c r="AD501" s="302"/>
      <c r="AE501" s="302"/>
      <c r="AF501">
        <f t="shared" si="121"/>
        <v>0</v>
      </c>
    </row>
    <row r="502" spans="1:32" hidden="1" x14ac:dyDescent="0.25">
      <c r="A502" s="323"/>
      <c r="D502" s="4"/>
      <c r="E502" s="2"/>
      <c r="F502" s="2"/>
      <c r="G502" s="6"/>
      <c r="H502" s="7"/>
      <c r="I502" s="7"/>
      <c r="J502" s="186"/>
      <c r="K502" s="186"/>
      <c r="L502" s="386"/>
      <c r="M502" s="386"/>
      <c r="N502" s="32"/>
      <c r="O502" s="32"/>
      <c r="P502" s="278"/>
      <c r="Q502" s="233"/>
      <c r="R502" s="75"/>
      <c r="S502" s="75"/>
      <c r="T502" s="75"/>
      <c r="U502" s="200"/>
      <c r="V502" s="75"/>
      <c r="W502" s="75"/>
      <c r="X502" s="200"/>
      <c r="Y502" s="1"/>
      <c r="Z502" s="1"/>
      <c r="AA502" s="219"/>
      <c r="AB502" s="302"/>
      <c r="AC502" s="302"/>
      <c r="AD502" s="302"/>
      <c r="AE502" s="302"/>
      <c r="AF502">
        <f t="shared" si="121"/>
        <v>0</v>
      </c>
    </row>
    <row r="503" spans="1:32" hidden="1" x14ac:dyDescent="0.25">
      <c r="A503" s="322" t="s">
        <v>1541</v>
      </c>
      <c r="B503" s="93" t="str">
        <f t="shared" ref="B503:B519" si="128">IF(COUNTIF(GIS,A503),"YES","NO")</f>
        <v>NO</v>
      </c>
      <c r="C503" s="93" t="s">
        <v>5503</v>
      </c>
      <c r="D503" s="4">
        <v>39372</v>
      </c>
      <c r="E503" s="2">
        <v>39417</v>
      </c>
      <c r="F503" s="2">
        <f t="shared" si="122"/>
        <v>43070</v>
      </c>
      <c r="G503" s="6">
        <v>720.38</v>
      </c>
      <c r="H503" s="7" t="s">
        <v>1543</v>
      </c>
      <c r="I503" s="7" t="s">
        <v>548</v>
      </c>
      <c r="J503" s="186"/>
      <c r="K503" s="266">
        <f t="shared" ref="K503:K519" si="129">YEAR(F503)</f>
        <v>2017</v>
      </c>
      <c r="L503" s="386"/>
      <c r="M503" s="386"/>
      <c r="N503" s="32"/>
      <c r="O503" s="32" t="s">
        <v>1544</v>
      </c>
      <c r="P503" s="278" t="s">
        <v>1545</v>
      </c>
      <c r="Q503" s="233" t="s">
        <v>1542</v>
      </c>
      <c r="R503" s="75">
        <v>2663.5</v>
      </c>
      <c r="S503" s="75">
        <v>5768</v>
      </c>
      <c r="T503" s="75">
        <v>8431.5</v>
      </c>
      <c r="U503" s="200">
        <v>1442</v>
      </c>
      <c r="V503" s="287">
        <f t="shared" ref="V503:V519" ca="1" si="130">IF(YEAR($W$3)-YEAR(E503)&gt;9,10,IF(MONTH($W$3)&lt;MONTH(E503),YEAR($W$3)-YEAR(E503),YEAR($W$3)-YEAR(E503)+1))</f>
        <v>10</v>
      </c>
      <c r="W503" s="75">
        <f t="shared" ref="W503:W519" ca="1" si="131">IF(V503&lt;6, ROUNDUP(G503,0)*$W$6*V503, ROUNDUP(G503,0)*($W$6*5 + (V503-5)*$W$7))</f>
        <v>12617.5</v>
      </c>
      <c r="X503" s="200">
        <f t="shared" ref="X503:X519" ca="1" si="132">IF(V503=0,T503,((T503-ROUNDUP(G503,0)*1.5)+W503))</f>
        <v>19967.5</v>
      </c>
      <c r="Y503" s="1">
        <v>0.25</v>
      </c>
      <c r="Z503" s="1"/>
      <c r="AA503" s="219"/>
      <c r="AB503" s="302"/>
      <c r="AC503" s="302"/>
      <c r="AD503" s="302"/>
      <c r="AE503" s="302"/>
      <c r="AF503">
        <f t="shared" si="121"/>
        <v>0</v>
      </c>
    </row>
    <row r="504" spans="1:32" hidden="1" x14ac:dyDescent="0.25">
      <c r="A504" s="322" t="s">
        <v>1546</v>
      </c>
      <c r="B504" s="93" t="str">
        <f t="shared" si="128"/>
        <v>NO</v>
      </c>
      <c r="C504" s="93" t="s">
        <v>5503</v>
      </c>
      <c r="D504" s="4">
        <v>39372</v>
      </c>
      <c r="E504" s="2">
        <v>39417</v>
      </c>
      <c r="F504" s="2">
        <f t="shared" si="122"/>
        <v>43070</v>
      </c>
      <c r="G504" s="6">
        <v>1888.94</v>
      </c>
      <c r="H504" s="7" t="s">
        <v>1548</v>
      </c>
      <c r="I504" s="7" t="s">
        <v>548</v>
      </c>
      <c r="J504" s="186"/>
      <c r="K504" s="266">
        <f t="shared" si="129"/>
        <v>2017</v>
      </c>
      <c r="L504" s="386"/>
      <c r="M504" s="386"/>
      <c r="N504" s="32"/>
      <c r="O504" s="32" t="s">
        <v>1549</v>
      </c>
      <c r="P504" s="278" t="s">
        <v>1545</v>
      </c>
      <c r="Q504" s="233" t="s">
        <v>1547</v>
      </c>
      <c r="R504" s="75">
        <v>6751.5</v>
      </c>
      <c r="S504" s="75">
        <v>7556</v>
      </c>
      <c r="T504" s="75">
        <v>14307.5</v>
      </c>
      <c r="U504" s="200">
        <v>3778</v>
      </c>
      <c r="V504" s="287">
        <f t="shared" ca="1" si="130"/>
        <v>10</v>
      </c>
      <c r="W504" s="75">
        <f t="shared" ca="1" si="131"/>
        <v>33057.5</v>
      </c>
      <c r="X504" s="200">
        <f t="shared" ca="1" si="132"/>
        <v>44531.5</v>
      </c>
      <c r="Y504" s="1">
        <v>0.25</v>
      </c>
      <c r="Z504" s="1"/>
      <c r="AA504" s="219"/>
      <c r="AB504" s="302" t="s">
        <v>6579</v>
      </c>
      <c r="AC504" s="302"/>
      <c r="AD504" s="302"/>
      <c r="AE504" s="302"/>
      <c r="AF504">
        <f t="shared" si="121"/>
        <v>0</v>
      </c>
    </row>
    <row r="505" spans="1:32" ht="26.25" hidden="1" x14ac:dyDescent="0.25">
      <c r="A505" s="322" t="s">
        <v>1550</v>
      </c>
      <c r="B505" s="93" t="str">
        <f t="shared" si="128"/>
        <v>NO</v>
      </c>
      <c r="C505" s="93" t="s">
        <v>5503</v>
      </c>
      <c r="D505" s="4">
        <v>39372</v>
      </c>
      <c r="E505" s="2">
        <v>39417</v>
      </c>
      <c r="F505" s="2">
        <f t="shared" si="122"/>
        <v>43070</v>
      </c>
      <c r="G505" s="6">
        <v>480</v>
      </c>
      <c r="H505" s="7" t="s">
        <v>511</v>
      </c>
      <c r="I505" s="7" t="s">
        <v>512</v>
      </c>
      <c r="J505" s="105" t="s">
        <v>5182</v>
      </c>
      <c r="K505" s="266">
        <f t="shared" si="129"/>
        <v>2017</v>
      </c>
      <c r="L505" s="381"/>
      <c r="M505" s="381"/>
      <c r="N505" s="32"/>
      <c r="O505" s="32" t="s">
        <v>1552</v>
      </c>
      <c r="P505" s="278" t="s">
        <v>1553</v>
      </c>
      <c r="Q505" s="233" t="s">
        <v>1551</v>
      </c>
      <c r="R505" s="75">
        <v>1820</v>
      </c>
      <c r="S505" s="75">
        <v>296640</v>
      </c>
      <c r="T505" s="75">
        <v>298460</v>
      </c>
      <c r="U505" s="200">
        <v>960</v>
      </c>
      <c r="V505" s="287">
        <f t="shared" ca="1" si="130"/>
        <v>10</v>
      </c>
      <c r="W505" s="75">
        <f t="shared" ca="1" si="131"/>
        <v>8400</v>
      </c>
      <c r="X505" s="200">
        <f t="shared" ca="1" si="132"/>
        <v>306140</v>
      </c>
      <c r="Y505" s="1">
        <v>0.25</v>
      </c>
      <c r="Z505" s="1"/>
      <c r="AA505" s="219"/>
      <c r="AB505" s="301" t="s">
        <v>6580</v>
      </c>
      <c r="AC505" s="310">
        <v>42312</v>
      </c>
      <c r="AD505" s="311">
        <v>0.25</v>
      </c>
      <c r="AE505" s="312" t="s">
        <v>6244</v>
      </c>
      <c r="AF505">
        <f t="shared" si="121"/>
        <v>0</v>
      </c>
    </row>
    <row r="506" spans="1:32" ht="26.25" hidden="1" x14ac:dyDescent="0.25">
      <c r="A506" s="322" t="s">
        <v>1554</v>
      </c>
      <c r="B506" s="93" t="str">
        <f t="shared" si="128"/>
        <v>NO</v>
      </c>
      <c r="C506" s="93" t="s">
        <v>5503</v>
      </c>
      <c r="D506" s="4">
        <v>39372</v>
      </c>
      <c r="E506" s="2">
        <v>39417</v>
      </c>
      <c r="F506" s="2">
        <f t="shared" si="122"/>
        <v>43070</v>
      </c>
      <c r="G506" s="6">
        <v>320</v>
      </c>
      <c r="H506" s="7" t="s">
        <v>899</v>
      </c>
      <c r="I506" s="7" t="s">
        <v>512</v>
      </c>
      <c r="J506" s="105" t="s">
        <v>1556</v>
      </c>
      <c r="K506" s="266">
        <f t="shared" si="129"/>
        <v>2017</v>
      </c>
      <c r="L506" s="381"/>
      <c r="M506" s="381"/>
      <c r="N506" s="32"/>
      <c r="O506" s="32" t="s">
        <v>1557</v>
      </c>
      <c r="P506" s="278" t="s">
        <v>1558</v>
      </c>
      <c r="Q506" s="233" t="s">
        <v>1555</v>
      </c>
      <c r="R506" s="75">
        <v>1260</v>
      </c>
      <c r="S506" s="75">
        <v>197760</v>
      </c>
      <c r="T506" s="75">
        <v>199020</v>
      </c>
      <c r="U506" s="200">
        <v>640</v>
      </c>
      <c r="V506" s="287">
        <f t="shared" ca="1" si="130"/>
        <v>10</v>
      </c>
      <c r="W506" s="75">
        <f t="shared" ca="1" si="131"/>
        <v>5600</v>
      </c>
      <c r="X506" s="200">
        <f t="shared" ca="1" si="132"/>
        <v>204140</v>
      </c>
      <c r="Y506" s="1">
        <v>0.25</v>
      </c>
      <c r="Z506" s="1"/>
      <c r="AA506" s="219"/>
      <c r="AB506" s="302" t="s">
        <v>6581</v>
      </c>
      <c r="AC506" s="302"/>
      <c r="AD506" s="302"/>
      <c r="AE506" s="302"/>
      <c r="AF506">
        <f t="shared" si="121"/>
        <v>0</v>
      </c>
    </row>
    <row r="507" spans="1:32" ht="26.25" hidden="1" x14ac:dyDescent="0.25">
      <c r="A507" s="322" t="s">
        <v>1559</v>
      </c>
      <c r="B507" s="93" t="str">
        <f t="shared" si="128"/>
        <v>NO</v>
      </c>
      <c r="C507" s="93" t="s">
        <v>5503</v>
      </c>
      <c r="D507" s="4">
        <v>39372</v>
      </c>
      <c r="E507" s="2">
        <v>39417</v>
      </c>
      <c r="F507" s="2">
        <f t="shared" si="122"/>
        <v>43070</v>
      </c>
      <c r="G507" s="6">
        <v>1125.94</v>
      </c>
      <c r="H507" s="7" t="s">
        <v>522</v>
      </c>
      <c r="I507" s="7" t="s">
        <v>512</v>
      </c>
      <c r="J507" s="109" t="s">
        <v>5187</v>
      </c>
      <c r="K507" s="266">
        <f t="shared" si="129"/>
        <v>2017</v>
      </c>
      <c r="L507" s="385"/>
      <c r="M507" s="385"/>
      <c r="N507" s="32"/>
      <c r="O507" s="32" t="s">
        <v>1561</v>
      </c>
      <c r="P507" s="278" t="s">
        <v>1562</v>
      </c>
      <c r="Q507" s="233" t="s">
        <v>1560</v>
      </c>
      <c r="R507" s="75">
        <v>4081</v>
      </c>
      <c r="S507" s="75">
        <v>138498</v>
      </c>
      <c r="T507" s="75">
        <v>142579</v>
      </c>
      <c r="U507" s="200">
        <v>2252</v>
      </c>
      <c r="V507" s="287">
        <f t="shared" ca="1" si="130"/>
        <v>10</v>
      </c>
      <c r="W507" s="75">
        <f t="shared" ca="1" si="131"/>
        <v>19705</v>
      </c>
      <c r="X507" s="200">
        <f t="shared" ca="1" si="132"/>
        <v>160595</v>
      </c>
      <c r="Y507" s="1">
        <v>0.25</v>
      </c>
      <c r="Z507" s="1"/>
      <c r="AA507" s="219"/>
      <c r="AB507" s="302" t="s">
        <v>6253</v>
      </c>
      <c r="AC507" s="308">
        <v>41723</v>
      </c>
      <c r="AD507" s="309">
        <v>0.25</v>
      </c>
      <c r="AE507" s="302" t="s">
        <v>6229</v>
      </c>
      <c r="AF507">
        <f t="shared" si="121"/>
        <v>0</v>
      </c>
    </row>
    <row r="508" spans="1:32" ht="38.25" hidden="1" x14ac:dyDescent="0.25">
      <c r="A508" s="322" t="s">
        <v>1563</v>
      </c>
      <c r="B508" s="93" t="str">
        <f t="shared" si="128"/>
        <v>NO</v>
      </c>
      <c r="C508" s="93" t="s">
        <v>5503</v>
      </c>
      <c r="D508" s="4">
        <v>39372</v>
      </c>
      <c r="E508" s="2">
        <v>39417</v>
      </c>
      <c r="F508" s="2">
        <f t="shared" si="122"/>
        <v>43070</v>
      </c>
      <c r="G508" s="6">
        <v>235.3</v>
      </c>
      <c r="H508" s="7" t="s">
        <v>1565</v>
      </c>
      <c r="I508" s="7" t="s">
        <v>198</v>
      </c>
      <c r="J508" s="189"/>
      <c r="K508" s="266">
        <f t="shared" si="129"/>
        <v>2017</v>
      </c>
      <c r="L508" s="389"/>
      <c r="M508" s="389"/>
      <c r="N508" s="32"/>
      <c r="O508" s="32" t="s">
        <v>1566</v>
      </c>
      <c r="P508" s="278" t="s">
        <v>1567</v>
      </c>
      <c r="Q508" s="233" t="s">
        <v>1564</v>
      </c>
      <c r="R508" s="75">
        <v>966</v>
      </c>
      <c r="S508" s="75">
        <v>2360</v>
      </c>
      <c r="T508" s="75">
        <v>3326</v>
      </c>
      <c r="U508" s="200">
        <v>472</v>
      </c>
      <c r="V508" s="287">
        <f t="shared" ca="1" si="130"/>
        <v>10</v>
      </c>
      <c r="W508" s="75">
        <f t="shared" ca="1" si="131"/>
        <v>4130</v>
      </c>
      <c r="X508" s="200">
        <f t="shared" ca="1" si="132"/>
        <v>7102</v>
      </c>
      <c r="Y508" s="1">
        <v>0.25</v>
      </c>
      <c r="Z508" s="1"/>
      <c r="AA508" s="219"/>
      <c r="AB508" s="341" t="s">
        <v>6582</v>
      </c>
      <c r="AC508" s="302"/>
      <c r="AD508" s="302"/>
      <c r="AE508" s="302"/>
      <c r="AF508">
        <f t="shared" si="121"/>
        <v>0</v>
      </c>
    </row>
    <row r="509" spans="1:32" ht="39" hidden="1" x14ac:dyDescent="0.25">
      <c r="A509" s="322" t="s">
        <v>1568</v>
      </c>
      <c r="B509" s="93" t="str">
        <f t="shared" si="128"/>
        <v>NO</v>
      </c>
      <c r="C509" s="93" t="s">
        <v>5503</v>
      </c>
      <c r="D509" s="4">
        <v>39372</v>
      </c>
      <c r="E509" s="2">
        <v>39417</v>
      </c>
      <c r="F509" s="2">
        <f t="shared" si="122"/>
        <v>43070</v>
      </c>
      <c r="G509" s="6">
        <v>1929.18</v>
      </c>
      <c r="H509" s="7" t="s">
        <v>1570</v>
      </c>
      <c r="I509" s="7" t="s">
        <v>198</v>
      </c>
      <c r="J509" s="189"/>
      <c r="K509" s="266">
        <f t="shared" si="129"/>
        <v>2017</v>
      </c>
      <c r="L509" s="389"/>
      <c r="M509" s="389"/>
      <c r="N509" s="32"/>
      <c r="O509" s="32" t="s">
        <v>1571</v>
      </c>
      <c r="P509" s="278" t="s">
        <v>1572</v>
      </c>
      <c r="Q509" s="233" t="s">
        <v>1569</v>
      </c>
      <c r="R509" s="75">
        <v>6895</v>
      </c>
      <c r="S509" s="75">
        <v>92640</v>
      </c>
      <c r="T509" s="75">
        <v>99535</v>
      </c>
      <c r="U509" s="200">
        <v>3860</v>
      </c>
      <c r="V509" s="287">
        <f t="shared" ca="1" si="130"/>
        <v>10</v>
      </c>
      <c r="W509" s="75">
        <f t="shared" ca="1" si="131"/>
        <v>33775</v>
      </c>
      <c r="X509" s="200">
        <f t="shared" ca="1" si="132"/>
        <v>130415</v>
      </c>
      <c r="Y509" s="1">
        <v>0.25</v>
      </c>
      <c r="Z509" s="1"/>
      <c r="AA509" s="219"/>
      <c r="AB509" s="302" t="s">
        <v>6583</v>
      </c>
      <c r="AC509" s="302"/>
      <c r="AD509" s="302"/>
      <c r="AE509" s="302"/>
      <c r="AF509">
        <f t="shared" si="121"/>
        <v>0</v>
      </c>
    </row>
    <row r="510" spans="1:32" ht="26.25" hidden="1" x14ac:dyDescent="0.25">
      <c r="A510" s="322" t="s">
        <v>1573</v>
      </c>
      <c r="B510" s="93" t="str">
        <f t="shared" si="128"/>
        <v>NO</v>
      </c>
      <c r="C510" s="93" t="s">
        <v>5503</v>
      </c>
      <c r="D510" s="4">
        <v>39372</v>
      </c>
      <c r="E510" s="2">
        <v>39417</v>
      </c>
      <c r="F510" s="2">
        <f t="shared" si="122"/>
        <v>43070</v>
      </c>
      <c r="G510" s="6">
        <v>1927.72</v>
      </c>
      <c r="H510" s="7" t="s">
        <v>1575</v>
      </c>
      <c r="I510" s="7" t="s">
        <v>198</v>
      </c>
      <c r="J510" s="189"/>
      <c r="K510" s="266">
        <f t="shared" si="129"/>
        <v>2017</v>
      </c>
      <c r="L510" s="389"/>
      <c r="M510" s="389"/>
      <c r="N510" s="32"/>
      <c r="O510" s="32" t="s">
        <v>1576</v>
      </c>
      <c r="P510" s="278" t="s">
        <v>1577</v>
      </c>
      <c r="Q510" s="233" t="s">
        <v>1574</v>
      </c>
      <c r="R510" s="75">
        <v>6888</v>
      </c>
      <c r="S510" s="75">
        <v>73264</v>
      </c>
      <c r="T510" s="75">
        <v>80152</v>
      </c>
      <c r="U510" s="200">
        <v>3856</v>
      </c>
      <c r="V510" s="287">
        <f t="shared" ca="1" si="130"/>
        <v>10</v>
      </c>
      <c r="W510" s="75">
        <f t="shared" ca="1" si="131"/>
        <v>33740</v>
      </c>
      <c r="X510" s="200">
        <f t="shared" ca="1" si="132"/>
        <v>111000</v>
      </c>
      <c r="Y510" s="1">
        <v>0.25</v>
      </c>
      <c r="Z510" s="1"/>
      <c r="AA510" s="219"/>
      <c r="AB510" s="302" t="s">
        <v>6584</v>
      </c>
      <c r="AC510" s="302"/>
      <c r="AD510" s="302"/>
      <c r="AE510" s="302"/>
      <c r="AF510">
        <f t="shared" si="121"/>
        <v>0</v>
      </c>
    </row>
    <row r="511" spans="1:32" ht="26.25" hidden="1" x14ac:dyDescent="0.25">
      <c r="A511" s="322" t="s">
        <v>1578</v>
      </c>
      <c r="B511" s="93" t="str">
        <f t="shared" si="128"/>
        <v>NO</v>
      </c>
      <c r="C511" s="93" t="s">
        <v>5503</v>
      </c>
      <c r="D511" s="4">
        <v>39372</v>
      </c>
      <c r="E511" s="2">
        <v>39417</v>
      </c>
      <c r="F511" s="2">
        <f t="shared" si="122"/>
        <v>43070</v>
      </c>
      <c r="G511" s="6">
        <v>2384.37</v>
      </c>
      <c r="H511" s="7" t="s">
        <v>1575</v>
      </c>
      <c r="I511" s="7" t="s">
        <v>198</v>
      </c>
      <c r="J511" s="189"/>
      <c r="K511" s="266">
        <f t="shared" si="129"/>
        <v>2017</v>
      </c>
      <c r="L511" s="389"/>
      <c r="M511" s="389"/>
      <c r="N511" s="32"/>
      <c r="O511" s="32" t="s">
        <v>1576</v>
      </c>
      <c r="P511" s="278" t="s">
        <v>1580</v>
      </c>
      <c r="Q511" s="233" t="s">
        <v>1579</v>
      </c>
      <c r="R511" s="75">
        <v>8487.5</v>
      </c>
      <c r="S511" s="75">
        <v>66780</v>
      </c>
      <c r="T511" s="75">
        <v>75267.5</v>
      </c>
      <c r="U511" s="200">
        <v>4770</v>
      </c>
      <c r="V511" s="287">
        <f t="shared" ca="1" si="130"/>
        <v>10</v>
      </c>
      <c r="W511" s="75">
        <f t="shared" ca="1" si="131"/>
        <v>41737.5</v>
      </c>
      <c r="X511" s="200">
        <f t="shared" ca="1" si="132"/>
        <v>113427.5</v>
      </c>
      <c r="Y511" s="1">
        <v>0.25</v>
      </c>
      <c r="Z511" s="1"/>
      <c r="AA511" s="219"/>
      <c r="AB511" s="302" t="s">
        <v>6585</v>
      </c>
      <c r="AC511" s="302"/>
      <c r="AD511" s="302"/>
      <c r="AE511" s="302"/>
      <c r="AF511">
        <f t="shared" si="121"/>
        <v>0</v>
      </c>
    </row>
    <row r="512" spans="1:32" ht="26.25" hidden="1" x14ac:dyDescent="0.25">
      <c r="A512" s="322" t="s">
        <v>1581</v>
      </c>
      <c r="B512" s="93" t="str">
        <f t="shared" si="128"/>
        <v>NO</v>
      </c>
      <c r="C512" s="93" t="s">
        <v>5503</v>
      </c>
      <c r="D512" s="4">
        <v>39372</v>
      </c>
      <c r="E512" s="2">
        <v>39417</v>
      </c>
      <c r="F512" s="2">
        <f t="shared" si="122"/>
        <v>43070</v>
      </c>
      <c r="G512" s="6">
        <v>1212.8499999999999</v>
      </c>
      <c r="H512" s="7" t="s">
        <v>1575</v>
      </c>
      <c r="I512" s="7" t="s">
        <v>198</v>
      </c>
      <c r="J512" s="189"/>
      <c r="K512" s="266">
        <f t="shared" si="129"/>
        <v>2017</v>
      </c>
      <c r="L512" s="389"/>
      <c r="M512" s="389"/>
      <c r="N512" s="32"/>
      <c r="O512" s="32" t="s">
        <v>1576</v>
      </c>
      <c r="P512" s="278" t="s">
        <v>1583</v>
      </c>
      <c r="Q512" s="233" t="s">
        <v>1582</v>
      </c>
      <c r="R512" s="75">
        <v>4385.5</v>
      </c>
      <c r="S512" s="75">
        <v>46094</v>
      </c>
      <c r="T512" s="75">
        <v>50479.5</v>
      </c>
      <c r="U512" s="200">
        <v>2426</v>
      </c>
      <c r="V512" s="287">
        <f t="shared" ca="1" si="130"/>
        <v>10</v>
      </c>
      <c r="W512" s="75">
        <f t="shared" ca="1" si="131"/>
        <v>21227.5</v>
      </c>
      <c r="X512" s="200">
        <f t="shared" ca="1" si="132"/>
        <v>69887.5</v>
      </c>
      <c r="Y512" s="1">
        <v>0.25</v>
      </c>
      <c r="Z512" s="1"/>
      <c r="AA512" s="219"/>
      <c r="AB512" s="302" t="s">
        <v>6586</v>
      </c>
      <c r="AC512" s="302"/>
      <c r="AD512" s="302"/>
      <c r="AE512" s="302"/>
      <c r="AF512">
        <f t="shared" si="121"/>
        <v>0</v>
      </c>
    </row>
    <row r="513" spans="1:32" hidden="1" x14ac:dyDescent="0.25">
      <c r="A513" s="322" t="s">
        <v>1584</v>
      </c>
      <c r="B513" s="93" t="str">
        <f t="shared" si="128"/>
        <v>NO</v>
      </c>
      <c r="C513" s="93" t="s">
        <v>5503</v>
      </c>
      <c r="D513" s="4">
        <v>39372</v>
      </c>
      <c r="E513" s="2">
        <v>39417</v>
      </c>
      <c r="F513" s="2">
        <f t="shared" si="122"/>
        <v>43070</v>
      </c>
      <c r="G513" s="6">
        <v>1152.5</v>
      </c>
      <c r="H513" s="7" t="s">
        <v>1575</v>
      </c>
      <c r="I513" s="7" t="s">
        <v>198</v>
      </c>
      <c r="J513" s="189"/>
      <c r="K513" s="266">
        <f t="shared" si="129"/>
        <v>2017</v>
      </c>
      <c r="L513" s="389"/>
      <c r="M513" s="389"/>
      <c r="N513" s="32"/>
      <c r="O513" s="32"/>
      <c r="P513" s="278"/>
      <c r="Q513" s="233" t="s">
        <v>1585</v>
      </c>
      <c r="R513" s="75">
        <v>4175.5</v>
      </c>
      <c r="S513" s="75">
        <v>55344</v>
      </c>
      <c r="T513" s="75">
        <v>59519.5</v>
      </c>
      <c r="U513" s="200">
        <v>2306</v>
      </c>
      <c r="V513" s="287">
        <f t="shared" ca="1" si="130"/>
        <v>10</v>
      </c>
      <c r="W513" s="75">
        <f t="shared" ca="1" si="131"/>
        <v>20177.5</v>
      </c>
      <c r="X513" s="200">
        <f t="shared" ca="1" si="132"/>
        <v>77967.5</v>
      </c>
      <c r="Y513" s="1">
        <v>0.25</v>
      </c>
      <c r="Z513" s="1"/>
      <c r="AA513" s="219"/>
      <c r="AB513" s="302" t="s">
        <v>6587</v>
      </c>
      <c r="AC513" s="302"/>
      <c r="AD513" s="302"/>
      <c r="AE513" s="302"/>
      <c r="AF513">
        <f t="shared" si="121"/>
        <v>0</v>
      </c>
    </row>
    <row r="514" spans="1:32" hidden="1" x14ac:dyDescent="0.25">
      <c r="A514" s="322" t="s">
        <v>1586</v>
      </c>
      <c r="B514" s="93" t="str">
        <f t="shared" si="128"/>
        <v>NO</v>
      </c>
      <c r="C514" s="93" t="s">
        <v>5503</v>
      </c>
      <c r="D514" s="4">
        <v>39372</v>
      </c>
      <c r="E514" s="2">
        <v>39417</v>
      </c>
      <c r="F514" s="2">
        <f t="shared" si="122"/>
        <v>43070</v>
      </c>
      <c r="G514" s="6">
        <v>824.48</v>
      </c>
      <c r="H514" s="7" t="s">
        <v>973</v>
      </c>
      <c r="I514" s="7" t="s">
        <v>198</v>
      </c>
      <c r="J514" s="189"/>
      <c r="K514" s="266">
        <f t="shared" si="129"/>
        <v>2017</v>
      </c>
      <c r="L514" s="389"/>
      <c r="M514" s="389"/>
      <c r="N514" s="32"/>
      <c r="O514" s="32" t="s">
        <v>1588</v>
      </c>
      <c r="P514" s="278" t="s">
        <v>1589</v>
      </c>
      <c r="Q514" s="233" t="s">
        <v>1587</v>
      </c>
      <c r="R514" s="75">
        <v>3027.5</v>
      </c>
      <c r="S514" s="75">
        <v>51975</v>
      </c>
      <c r="T514" s="75">
        <v>55002.5</v>
      </c>
      <c r="U514" s="200">
        <v>1650</v>
      </c>
      <c r="V514" s="287">
        <f t="shared" ca="1" si="130"/>
        <v>10</v>
      </c>
      <c r="W514" s="75">
        <f t="shared" ca="1" si="131"/>
        <v>14437.5</v>
      </c>
      <c r="X514" s="200">
        <f t="shared" ca="1" si="132"/>
        <v>68202.5</v>
      </c>
      <c r="Y514" s="1">
        <v>0.25</v>
      </c>
      <c r="Z514" s="1"/>
      <c r="AA514" s="219"/>
      <c r="AB514" s="302" t="s">
        <v>6588</v>
      </c>
      <c r="AC514" s="302"/>
      <c r="AD514" s="302"/>
      <c r="AE514" s="302"/>
      <c r="AF514">
        <f t="shared" si="121"/>
        <v>0</v>
      </c>
    </row>
    <row r="515" spans="1:32" hidden="1" x14ac:dyDescent="0.25">
      <c r="A515" s="322" t="s">
        <v>1590</v>
      </c>
      <c r="B515" s="93" t="str">
        <f t="shared" si="128"/>
        <v>NO</v>
      </c>
      <c r="C515" s="93" t="s">
        <v>5503</v>
      </c>
      <c r="D515" s="4">
        <v>39372</v>
      </c>
      <c r="E515" s="2">
        <v>39417</v>
      </c>
      <c r="F515" s="2">
        <f t="shared" si="122"/>
        <v>43070</v>
      </c>
      <c r="G515" s="6">
        <v>967.52</v>
      </c>
      <c r="H515" s="7" t="s">
        <v>37</v>
      </c>
      <c r="I515" s="7" t="s">
        <v>15</v>
      </c>
      <c r="J515" s="189"/>
      <c r="K515" s="266">
        <f t="shared" si="129"/>
        <v>2017</v>
      </c>
      <c r="L515" s="389"/>
      <c r="M515" s="389"/>
      <c r="N515" s="32" t="s">
        <v>996</v>
      </c>
      <c r="O515" s="32" t="s">
        <v>1592</v>
      </c>
      <c r="P515" s="278"/>
      <c r="Q515" s="233" t="s">
        <v>1591</v>
      </c>
      <c r="R515" s="75">
        <v>3528</v>
      </c>
      <c r="S515" s="75">
        <v>56144</v>
      </c>
      <c r="T515" s="75">
        <v>59672</v>
      </c>
      <c r="U515" s="200">
        <v>1936</v>
      </c>
      <c r="V515" s="287">
        <f t="shared" ca="1" si="130"/>
        <v>10</v>
      </c>
      <c r="W515" s="75">
        <f t="shared" ca="1" si="131"/>
        <v>16940</v>
      </c>
      <c r="X515" s="200">
        <f t="shared" ca="1" si="132"/>
        <v>75160</v>
      </c>
      <c r="Y515" s="1">
        <v>0.25</v>
      </c>
      <c r="Z515" s="1"/>
      <c r="AA515" s="219"/>
      <c r="AB515" s="302" t="s">
        <v>6589</v>
      </c>
      <c r="AC515" s="302"/>
      <c r="AD515" s="302"/>
      <c r="AE515" s="302"/>
      <c r="AF515">
        <f t="shared" si="121"/>
        <v>0</v>
      </c>
    </row>
    <row r="516" spans="1:32" ht="26.25" hidden="1" x14ac:dyDescent="0.25">
      <c r="A516" s="322" t="s">
        <v>1593</v>
      </c>
      <c r="B516" s="93" t="str">
        <f t="shared" si="128"/>
        <v>NO</v>
      </c>
      <c r="C516" s="93" t="s">
        <v>5503</v>
      </c>
      <c r="D516" s="4">
        <v>39372</v>
      </c>
      <c r="E516" s="2">
        <v>39417</v>
      </c>
      <c r="F516" s="2">
        <f t="shared" si="122"/>
        <v>43070</v>
      </c>
      <c r="G516" s="6">
        <v>153.07</v>
      </c>
      <c r="H516" s="7" t="s">
        <v>1595</v>
      </c>
      <c r="I516" s="7" t="s">
        <v>15</v>
      </c>
      <c r="J516" s="105" t="s">
        <v>5183</v>
      </c>
      <c r="K516" s="266">
        <f t="shared" si="129"/>
        <v>2017</v>
      </c>
      <c r="L516" s="381"/>
      <c r="M516" s="381"/>
      <c r="N516" s="32" t="s">
        <v>991</v>
      </c>
      <c r="O516" s="32" t="s">
        <v>1596</v>
      </c>
      <c r="P516" s="278" t="s">
        <v>1597</v>
      </c>
      <c r="Q516" s="233" t="s">
        <v>1594</v>
      </c>
      <c r="R516" s="75">
        <v>679</v>
      </c>
      <c r="S516" s="75">
        <v>4312</v>
      </c>
      <c r="T516" s="75">
        <v>4991</v>
      </c>
      <c r="U516" s="200">
        <v>308</v>
      </c>
      <c r="V516" s="287">
        <f t="shared" ca="1" si="130"/>
        <v>10</v>
      </c>
      <c r="W516" s="75">
        <f t="shared" ca="1" si="131"/>
        <v>2695</v>
      </c>
      <c r="X516" s="200">
        <f t="shared" ca="1" si="132"/>
        <v>7455</v>
      </c>
      <c r="Y516" s="1">
        <v>0.25</v>
      </c>
      <c r="Z516" s="1"/>
      <c r="AA516" s="219"/>
      <c r="AB516" s="302" t="s">
        <v>6590</v>
      </c>
      <c r="AC516" s="302"/>
      <c r="AD516" s="302"/>
      <c r="AE516" s="302"/>
      <c r="AF516">
        <f t="shared" si="121"/>
        <v>0</v>
      </c>
    </row>
    <row r="517" spans="1:32" ht="26.25" hidden="1" x14ac:dyDescent="0.25">
      <c r="A517" s="322" t="s">
        <v>1598</v>
      </c>
      <c r="B517" s="93" t="str">
        <f t="shared" si="128"/>
        <v>NO</v>
      </c>
      <c r="C517" s="93" t="s">
        <v>5503</v>
      </c>
      <c r="D517" s="4">
        <v>39372</v>
      </c>
      <c r="E517" s="2">
        <v>39417</v>
      </c>
      <c r="F517" s="2">
        <f t="shared" si="122"/>
        <v>43070</v>
      </c>
      <c r="G517" s="6">
        <v>425.57</v>
      </c>
      <c r="H517" s="7" t="s">
        <v>1600</v>
      </c>
      <c r="I517" s="7" t="s">
        <v>15</v>
      </c>
      <c r="J517" s="105" t="s">
        <v>5183</v>
      </c>
      <c r="K517" s="266">
        <f t="shared" si="129"/>
        <v>2017</v>
      </c>
      <c r="L517" s="381"/>
      <c r="M517" s="381"/>
      <c r="N517" s="32" t="s">
        <v>991</v>
      </c>
      <c r="O517" s="32" t="s">
        <v>1601</v>
      </c>
      <c r="P517" s="278" t="s">
        <v>1597</v>
      </c>
      <c r="Q517" s="233" t="s">
        <v>1599</v>
      </c>
      <c r="R517" s="75">
        <v>1631</v>
      </c>
      <c r="S517" s="75">
        <v>20448</v>
      </c>
      <c r="T517" s="75">
        <v>22079</v>
      </c>
      <c r="U517" s="200">
        <v>852</v>
      </c>
      <c r="V517" s="287">
        <f t="shared" ca="1" si="130"/>
        <v>10</v>
      </c>
      <c r="W517" s="75">
        <f t="shared" ca="1" si="131"/>
        <v>7455</v>
      </c>
      <c r="X517" s="200">
        <f t="shared" ca="1" si="132"/>
        <v>28895</v>
      </c>
      <c r="Y517" s="1">
        <v>0.25</v>
      </c>
      <c r="Z517" s="1"/>
      <c r="AA517" s="219"/>
      <c r="AB517" s="302" t="s">
        <v>6591</v>
      </c>
      <c r="AC517" s="302"/>
      <c r="AD517" s="302"/>
      <c r="AE517" s="302"/>
      <c r="AF517">
        <f t="shared" si="121"/>
        <v>0</v>
      </c>
    </row>
    <row r="518" spans="1:32" hidden="1" x14ac:dyDescent="0.25">
      <c r="A518" s="322" t="s">
        <v>1602</v>
      </c>
      <c r="B518" s="93" t="str">
        <f t="shared" si="128"/>
        <v>NO</v>
      </c>
      <c r="C518" s="93" t="s">
        <v>5503</v>
      </c>
      <c r="D518" s="4">
        <v>39372</v>
      </c>
      <c r="E518" s="2">
        <v>39417</v>
      </c>
      <c r="F518" s="2">
        <f t="shared" si="122"/>
        <v>43070</v>
      </c>
      <c r="G518" s="6">
        <v>1268.1300000000001</v>
      </c>
      <c r="H518" s="7" t="s">
        <v>862</v>
      </c>
      <c r="I518" s="7" t="s">
        <v>15</v>
      </c>
      <c r="J518" s="105"/>
      <c r="K518" s="266">
        <f t="shared" si="129"/>
        <v>2017</v>
      </c>
      <c r="L518" s="381"/>
      <c r="M518" s="381"/>
      <c r="N518" s="32" t="s">
        <v>1604</v>
      </c>
      <c r="O518" s="32" t="s">
        <v>1605</v>
      </c>
      <c r="P518" s="278"/>
      <c r="Q518" s="233" t="s">
        <v>1603</v>
      </c>
      <c r="R518" s="75">
        <v>4581.5</v>
      </c>
      <c r="S518" s="75">
        <v>73602</v>
      </c>
      <c r="T518" s="75">
        <v>78183.5</v>
      </c>
      <c r="U518" s="200">
        <v>2538</v>
      </c>
      <c r="V518" s="287">
        <f t="shared" ca="1" si="130"/>
        <v>10</v>
      </c>
      <c r="W518" s="75">
        <f t="shared" ca="1" si="131"/>
        <v>22207.5</v>
      </c>
      <c r="X518" s="200">
        <f t="shared" ca="1" si="132"/>
        <v>98487.5</v>
      </c>
      <c r="Y518" s="1">
        <v>0.25</v>
      </c>
      <c r="Z518" s="1"/>
      <c r="AA518" s="219"/>
      <c r="AB518" s="302" t="s">
        <v>6592</v>
      </c>
      <c r="AC518" s="302"/>
      <c r="AD518" s="302"/>
      <c r="AE518" s="302"/>
      <c r="AF518">
        <f t="shared" si="121"/>
        <v>0</v>
      </c>
    </row>
    <row r="519" spans="1:32" ht="26.25" hidden="1" x14ac:dyDescent="0.25">
      <c r="A519" s="322" t="s">
        <v>1606</v>
      </c>
      <c r="B519" s="93" t="str">
        <f t="shared" si="128"/>
        <v>NO</v>
      </c>
      <c r="C519" s="93" t="s">
        <v>5503</v>
      </c>
      <c r="D519" s="4">
        <v>39372</v>
      </c>
      <c r="E519" s="2">
        <v>39417</v>
      </c>
      <c r="F519" s="2">
        <f t="shared" si="122"/>
        <v>43070</v>
      </c>
      <c r="G519" s="6">
        <v>1081.9100000000001</v>
      </c>
      <c r="H519" s="7" t="s">
        <v>1608</v>
      </c>
      <c r="I519" s="7" t="s">
        <v>15</v>
      </c>
      <c r="J519" s="105" t="s">
        <v>5183</v>
      </c>
      <c r="K519" s="266">
        <f t="shared" si="129"/>
        <v>2017</v>
      </c>
      <c r="L519" s="381"/>
      <c r="M519" s="381"/>
      <c r="N519" s="32" t="s">
        <v>991</v>
      </c>
      <c r="O519" s="32" t="s">
        <v>1609</v>
      </c>
      <c r="P519" s="278" t="s">
        <v>1597</v>
      </c>
      <c r="Q519" s="233" t="s">
        <v>1607</v>
      </c>
      <c r="R519" s="75">
        <v>3927</v>
      </c>
      <c r="S519" s="75">
        <v>41116</v>
      </c>
      <c r="T519" s="75">
        <v>45043</v>
      </c>
      <c r="U519" s="200">
        <v>2164</v>
      </c>
      <c r="V519" s="287">
        <f t="shared" ca="1" si="130"/>
        <v>10</v>
      </c>
      <c r="W519" s="75">
        <f t="shared" ca="1" si="131"/>
        <v>18935</v>
      </c>
      <c r="X519" s="200">
        <f t="shared" ca="1" si="132"/>
        <v>62355</v>
      </c>
      <c r="Y519" s="1">
        <v>0.25</v>
      </c>
      <c r="Z519" s="1"/>
      <c r="AA519" s="219"/>
      <c r="AB519" s="302" t="s">
        <v>6593</v>
      </c>
      <c r="AC519" s="302"/>
      <c r="AD519" s="302"/>
      <c r="AE519" s="302"/>
      <c r="AF519">
        <f t="shared" si="121"/>
        <v>0</v>
      </c>
    </row>
    <row r="520" spans="1:32" ht="15.75" hidden="1" thickBot="1" x14ac:dyDescent="0.3">
      <c r="A520" s="323"/>
      <c r="D520" s="4"/>
      <c r="E520" s="2"/>
      <c r="F520" s="2"/>
      <c r="G520" s="6"/>
      <c r="H520" s="7"/>
      <c r="I520" s="7"/>
      <c r="J520" s="186"/>
      <c r="K520" s="186"/>
      <c r="L520" s="386"/>
      <c r="M520" s="386"/>
      <c r="N520" s="32"/>
      <c r="O520" s="32"/>
      <c r="P520" s="278"/>
      <c r="Q520" s="233" t="s">
        <v>508</v>
      </c>
      <c r="R520" s="76">
        <v>65747.5</v>
      </c>
      <c r="S520" s="76">
        <v>1230301</v>
      </c>
      <c r="T520" s="76">
        <v>1296048.5</v>
      </c>
      <c r="U520" s="200"/>
      <c r="V520" s="75"/>
      <c r="W520" s="75"/>
      <c r="X520" s="200"/>
      <c r="Y520" s="1"/>
      <c r="Z520" s="1"/>
      <c r="AA520" s="219"/>
      <c r="AB520" s="302"/>
      <c r="AC520" s="302"/>
      <c r="AD520" s="302"/>
      <c r="AE520" s="302"/>
      <c r="AF520">
        <f t="shared" si="121"/>
        <v>0</v>
      </c>
    </row>
    <row r="521" spans="1:32" hidden="1" x14ac:dyDescent="0.25">
      <c r="A521" s="323"/>
      <c r="D521" s="4"/>
      <c r="E521" s="2"/>
      <c r="F521" s="2"/>
      <c r="G521" s="6"/>
      <c r="H521" s="7"/>
      <c r="I521" s="7"/>
      <c r="J521" s="186"/>
      <c r="K521" s="186"/>
      <c r="L521" s="386"/>
      <c r="M521" s="386"/>
      <c r="N521" s="32"/>
      <c r="O521" s="32"/>
      <c r="P521" s="278"/>
      <c r="Q521" s="233"/>
      <c r="R521" s="75"/>
      <c r="S521" s="75"/>
      <c r="T521" s="75"/>
      <c r="U521" s="200"/>
      <c r="V521" s="75"/>
      <c r="W521" s="75"/>
      <c r="X521" s="200"/>
      <c r="Y521" s="1"/>
      <c r="Z521" s="1"/>
      <c r="AA521" s="219"/>
      <c r="AB521" s="302"/>
      <c r="AC521" s="302"/>
      <c r="AD521" s="302"/>
      <c r="AE521" s="302"/>
      <c r="AF521">
        <f t="shared" si="121"/>
        <v>0</v>
      </c>
    </row>
    <row r="522" spans="1:32" hidden="1" x14ac:dyDescent="0.25">
      <c r="A522" s="323"/>
      <c r="D522" s="4"/>
      <c r="E522" s="2"/>
      <c r="F522" s="2"/>
      <c r="G522" s="6"/>
      <c r="H522" s="7"/>
      <c r="I522" s="7"/>
      <c r="J522" s="186"/>
      <c r="K522" s="186"/>
      <c r="L522" s="386"/>
      <c r="M522" s="386"/>
      <c r="N522" s="32"/>
      <c r="O522" s="32"/>
      <c r="P522" s="278"/>
      <c r="Q522" s="233" t="s">
        <v>1610</v>
      </c>
      <c r="R522" s="75">
        <v>990613.5</v>
      </c>
      <c r="S522" s="75">
        <v>9255078.5</v>
      </c>
      <c r="T522" s="75">
        <v>10245692</v>
      </c>
      <c r="U522" s="200"/>
      <c r="V522" s="75"/>
      <c r="W522" s="75"/>
      <c r="X522" s="200"/>
      <c r="Y522" s="17"/>
      <c r="Z522" s="17"/>
      <c r="AA522" s="220"/>
      <c r="AB522" s="302"/>
      <c r="AC522" s="302"/>
      <c r="AD522" s="302"/>
      <c r="AE522" s="302"/>
      <c r="AF522">
        <f t="shared" si="121"/>
        <v>0</v>
      </c>
    </row>
    <row r="523" spans="1:32" hidden="1" x14ac:dyDescent="0.25">
      <c r="A523" s="323"/>
      <c r="D523" s="4"/>
      <c r="E523" s="2"/>
      <c r="F523" s="2"/>
      <c r="G523" s="6"/>
      <c r="H523" s="7"/>
      <c r="I523" s="7"/>
      <c r="J523" s="186"/>
      <c r="K523" s="186"/>
      <c r="L523" s="386"/>
      <c r="M523" s="386"/>
      <c r="N523" s="32"/>
      <c r="O523" s="32"/>
      <c r="P523" s="278"/>
      <c r="Q523" s="233"/>
      <c r="R523" s="75"/>
      <c r="S523" s="75"/>
      <c r="T523" s="75"/>
      <c r="U523" s="200"/>
      <c r="V523" s="75"/>
      <c r="W523" s="75"/>
      <c r="X523" s="200"/>
      <c r="Y523" s="1"/>
      <c r="Z523" s="1"/>
      <c r="AA523" s="219"/>
      <c r="AB523" s="302"/>
      <c r="AC523" s="302"/>
      <c r="AD523" s="302"/>
      <c r="AE523" s="302"/>
      <c r="AF523">
        <f t="shared" ref="AF523:AF586" si="133">COUNTIF(FilterList,A523)</f>
        <v>0</v>
      </c>
    </row>
    <row r="524" spans="1:32" ht="26.25" hidden="1" x14ac:dyDescent="0.25">
      <c r="A524" s="322" t="s">
        <v>1611</v>
      </c>
      <c r="B524" s="93" t="str">
        <f t="shared" ref="B524:B555" si="134">IF(COUNTIF(GIS,A524),"YES","NO")</f>
        <v>NO</v>
      </c>
      <c r="C524" s="93" t="s">
        <v>5503</v>
      </c>
      <c r="D524" s="4">
        <v>39436</v>
      </c>
      <c r="E524" s="2">
        <v>39479</v>
      </c>
      <c r="F524" s="2">
        <f t="shared" ref="F524:F587" si="135">DATE(YEAR(E524)+10,MONTH(E524),DAY(E524))</f>
        <v>43132</v>
      </c>
      <c r="G524" s="6">
        <v>161.55000000000001</v>
      </c>
      <c r="H524" s="7" t="s">
        <v>248</v>
      </c>
      <c r="I524" s="7" t="s">
        <v>308</v>
      </c>
      <c r="J524" s="109" t="s">
        <v>6282</v>
      </c>
      <c r="K524" s="266">
        <f t="shared" ref="K524:K555" si="136">YEAR(F524)</f>
        <v>2018</v>
      </c>
      <c r="L524" s="385"/>
      <c r="M524" s="385"/>
      <c r="N524" s="32" t="s">
        <v>1614</v>
      </c>
      <c r="O524" s="32" t="s">
        <v>1615</v>
      </c>
      <c r="P524" s="278" t="s">
        <v>1616</v>
      </c>
      <c r="Q524" s="233" t="s">
        <v>1612</v>
      </c>
      <c r="R524" s="75">
        <v>707</v>
      </c>
      <c r="S524" s="75">
        <v>0</v>
      </c>
      <c r="T524" s="75">
        <v>707</v>
      </c>
      <c r="U524" s="203">
        <v>324</v>
      </c>
      <c r="V524" s="287">
        <f t="shared" ref="V524:V555" ca="1" si="137">IF(YEAR($W$3)-YEAR(E524)&gt;9,10,IF(MONTH($W$3)&lt;MONTH(E524),YEAR($W$3)-YEAR(E524),YEAR($W$3)-YEAR(E524)+1))</f>
        <v>10</v>
      </c>
      <c r="W524" s="75">
        <f t="shared" ref="W524:W555" ca="1" si="138">IF(V524&lt;6, ROUNDUP(G524,0)*$W$6*V524, ROUNDUP(G524,0)*($W$6*5 + (V524-5)*$W$7))</f>
        <v>2835</v>
      </c>
      <c r="X524" s="200">
        <f t="shared" ref="X524:X579" ca="1" si="139">IF(V524=0,T524,((T524-ROUNDUP(G524,0)*1.5)+W524))</f>
        <v>3299</v>
      </c>
      <c r="Y524" s="1">
        <v>0.25</v>
      </c>
      <c r="Z524" s="1"/>
      <c r="AA524" s="219"/>
      <c r="AB524" s="302" t="s">
        <v>6305</v>
      </c>
      <c r="AC524" s="302"/>
      <c r="AD524" s="302"/>
      <c r="AE524" s="302"/>
      <c r="AF524">
        <f t="shared" si="133"/>
        <v>0</v>
      </c>
    </row>
    <row r="525" spans="1:32" ht="26.25" hidden="1" x14ac:dyDescent="0.25">
      <c r="A525" s="322" t="s">
        <v>1617</v>
      </c>
      <c r="B525" s="93" t="str">
        <f t="shared" si="134"/>
        <v>NO</v>
      </c>
      <c r="C525" s="93" t="s">
        <v>5503</v>
      </c>
      <c r="D525" s="4">
        <v>39436</v>
      </c>
      <c r="E525" s="2">
        <v>39479</v>
      </c>
      <c r="F525" s="2">
        <f t="shared" si="135"/>
        <v>43132</v>
      </c>
      <c r="G525" s="6">
        <v>1470.17</v>
      </c>
      <c r="H525" s="7" t="s">
        <v>248</v>
      </c>
      <c r="I525" s="7" t="s">
        <v>308</v>
      </c>
      <c r="J525" s="189"/>
      <c r="K525" s="266">
        <f t="shared" si="136"/>
        <v>2018</v>
      </c>
      <c r="L525" s="389"/>
      <c r="M525" s="389"/>
      <c r="N525" s="32" t="s">
        <v>1614</v>
      </c>
      <c r="O525" s="32" t="s">
        <v>1615</v>
      </c>
      <c r="P525" s="278" t="s">
        <v>1619</v>
      </c>
      <c r="Q525" s="233" t="s">
        <v>1618</v>
      </c>
      <c r="R525" s="75">
        <v>5288.5</v>
      </c>
      <c r="S525" s="75">
        <v>0</v>
      </c>
      <c r="T525" s="75">
        <v>5288.5</v>
      </c>
      <c r="U525" s="203">
        <v>2942</v>
      </c>
      <c r="V525" s="287">
        <f t="shared" ca="1" si="137"/>
        <v>10</v>
      </c>
      <c r="W525" s="75">
        <f t="shared" ca="1" si="138"/>
        <v>25742.5</v>
      </c>
      <c r="X525" s="200">
        <f t="shared" ca="1" si="139"/>
        <v>28824.5</v>
      </c>
      <c r="Y525" s="1">
        <v>0.25</v>
      </c>
      <c r="Z525" s="1"/>
      <c r="AA525" s="219"/>
      <c r="AB525" s="302" t="s">
        <v>6304</v>
      </c>
      <c r="AC525" s="302"/>
      <c r="AD525" s="302"/>
      <c r="AE525" s="302"/>
      <c r="AF525">
        <f t="shared" si="133"/>
        <v>0</v>
      </c>
    </row>
    <row r="526" spans="1:32" ht="26.25" hidden="1" x14ac:dyDescent="0.25">
      <c r="A526" s="322" t="s">
        <v>1620</v>
      </c>
      <c r="B526" s="93" t="str">
        <f t="shared" si="134"/>
        <v>NO</v>
      </c>
      <c r="C526" s="93" t="s">
        <v>5503</v>
      </c>
      <c r="D526" s="4">
        <v>39436</v>
      </c>
      <c r="E526" s="2">
        <v>39479</v>
      </c>
      <c r="F526" s="2">
        <f t="shared" si="135"/>
        <v>43132</v>
      </c>
      <c r="G526" s="6">
        <v>479.55</v>
      </c>
      <c r="H526" s="7" t="s">
        <v>248</v>
      </c>
      <c r="I526" s="7" t="s">
        <v>308</v>
      </c>
      <c r="J526" s="189"/>
      <c r="K526" s="266">
        <f t="shared" si="136"/>
        <v>2018</v>
      </c>
      <c r="L526" s="389"/>
      <c r="M526" s="389"/>
      <c r="N526" s="32" t="s">
        <v>1614</v>
      </c>
      <c r="O526" s="32" t="s">
        <v>1615</v>
      </c>
      <c r="P526" s="278" t="s">
        <v>1622</v>
      </c>
      <c r="Q526" s="233" t="s">
        <v>1621</v>
      </c>
      <c r="R526" s="75">
        <v>1820</v>
      </c>
      <c r="S526" s="75">
        <v>0</v>
      </c>
      <c r="T526" s="75">
        <v>1820</v>
      </c>
      <c r="U526" s="203">
        <v>960</v>
      </c>
      <c r="V526" s="287">
        <f t="shared" ca="1" si="137"/>
        <v>10</v>
      </c>
      <c r="W526" s="75">
        <f t="shared" ca="1" si="138"/>
        <v>8400</v>
      </c>
      <c r="X526" s="200">
        <f t="shared" ca="1" si="139"/>
        <v>9500</v>
      </c>
      <c r="Y526" s="1">
        <v>0.25</v>
      </c>
      <c r="Z526" s="1"/>
      <c r="AA526" s="219"/>
      <c r="AB526" s="302" t="s">
        <v>6306</v>
      </c>
      <c r="AC526" s="302"/>
      <c r="AD526" s="302"/>
      <c r="AE526" s="302"/>
      <c r="AF526">
        <f t="shared" si="133"/>
        <v>0</v>
      </c>
    </row>
    <row r="527" spans="1:32" ht="39" hidden="1" x14ac:dyDescent="0.25">
      <c r="A527" s="322" t="s">
        <v>1623</v>
      </c>
      <c r="B527" s="93" t="str">
        <f t="shared" si="134"/>
        <v>NO</v>
      </c>
      <c r="C527" s="93" t="s">
        <v>5503</v>
      </c>
      <c r="D527" s="4">
        <v>39436</v>
      </c>
      <c r="E527" s="2">
        <v>39479</v>
      </c>
      <c r="F527" s="2">
        <f t="shared" si="135"/>
        <v>43132</v>
      </c>
      <c r="G527" s="6">
        <v>685.17</v>
      </c>
      <c r="H527" s="7" t="s">
        <v>1625</v>
      </c>
      <c r="I527" s="7" t="s">
        <v>308</v>
      </c>
      <c r="J527" s="109" t="s">
        <v>6283</v>
      </c>
      <c r="K527" s="266">
        <f t="shared" si="136"/>
        <v>2018</v>
      </c>
      <c r="L527" s="388"/>
      <c r="M527" s="388"/>
      <c r="N527" s="32" t="s">
        <v>1614</v>
      </c>
      <c r="O527" s="32" t="s">
        <v>1626</v>
      </c>
      <c r="P527" s="278" t="s">
        <v>1627</v>
      </c>
      <c r="Q527" s="233" t="s">
        <v>1624</v>
      </c>
      <c r="R527" s="75">
        <v>3661</v>
      </c>
      <c r="S527" s="75">
        <v>0</v>
      </c>
      <c r="T527" s="75">
        <v>3661</v>
      </c>
      <c r="U527" s="203">
        <v>1372</v>
      </c>
      <c r="V527" s="287">
        <f t="shared" ca="1" si="137"/>
        <v>10</v>
      </c>
      <c r="W527" s="75">
        <f t="shared" ca="1" si="138"/>
        <v>12005</v>
      </c>
      <c r="X527" s="200">
        <f t="shared" ca="1" si="139"/>
        <v>14637</v>
      </c>
      <c r="Y527" s="1">
        <v>0.25</v>
      </c>
      <c r="Z527" s="1"/>
      <c r="AA527" s="219"/>
      <c r="AB527" s="302" t="s">
        <v>6330</v>
      </c>
      <c r="AC527" s="302"/>
      <c r="AD527" s="302"/>
      <c r="AE527" s="302"/>
      <c r="AF527">
        <f t="shared" si="133"/>
        <v>0</v>
      </c>
    </row>
    <row r="528" spans="1:32" ht="26.25" hidden="1" x14ac:dyDescent="0.25">
      <c r="A528" s="322" t="s">
        <v>1628</v>
      </c>
      <c r="B528" s="93" t="str">
        <f t="shared" si="134"/>
        <v>NO</v>
      </c>
      <c r="C528" s="93" t="s">
        <v>5503</v>
      </c>
      <c r="D528" s="4">
        <v>39436</v>
      </c>
      <c r="E528" s="2">
        <v>39479</v>
      </c>
      <c r="F528" s="2">
        <f t="shared" si="135"/>
        <v>43132</v>
      </c>
      <c r="G528" s="6">
        <v>1720.42</v>
      </c>
      <c r="H528" s="7" t="s">
        <v>1625</v>
      </c>
      <c r="I528" s="7" t="s">
        <v>308</v>
      </c>
      <c r="J528" s="186"/>
      <c r="K528" s="266">
        <f t="shared" si="136"/>
        <v>2018</v>
      </c>
      <c r="L528" s="386"/>
      <c r="M528" s="386"/>
      <c r="N528" s="32" t="s">
        <v>1614</v>
      </c>
      <c r="O528" s="32" t="s">
        <v>1626</v>
      </c>
      <c r="P528" s="278" t="s">
        <v>1630</v>
      </c>
      <c r="Q528" s="233" t="s">
        <v>1629</v>
      </c>
      <c r="R528" s="75">
        <v>6163.5</v>
      </c>
      <c r="S528" s="75">
        <v>0</v>
      </c>
      <c r="T528" s="75">
        <v>6163.5</v>
      </c>
      <c r="U528" s="203">
        <v>3442</v>
      </c>
      <c r="V528" s="287">
        <f t="shared" ca="1" si="137"/>
        <v>10</v>
      </c>
      <c r="W528" s="75">
        <f t="shared" ca="1" si="138"/>
        <v>30117.5</v>
      </c>
      <c r="X528" s="200">
        <f t="shared" ca="1" si="139"/>
        <v>33699.5</v>
      </c>
      <c r="Y528" s="1">
        <v>0.25</v>
      </c>
      <c r="Z528" s="1"/>
      <c r="AA528" s="219"/>
      <c r="AB528" s="302" t="s">
        <v>6331</v>
      </c>
      <c r="AC528" s="302"/>
      <c r="AD528" s="302"/>
      <c r="AE528" s="302"/>
      <c r="AF528">
        <f t="shared" si="133"/>
        <v>0</v>
      </c>
    </row>
    <row r="529" spans="1:32" ht="26.25" hidden="1" x14ac:dyDescent="0.25">
      <c r="A529" s="322" t="s">
        <v>1631</v>
      </c>
      <c r="B529" s="93" t="str">
        <f t="shared" si="134"/>
        <v>NO</v>
      </c>
      <c r="C529" s="93" t="s">
        <v>5503</v>
      </c>
      <c r="D529" s="4">
        <v>39436</v>
      </c>
      <c r="E529" s="2">
        <v>39479</v>
      </c>
      <c r="F529" s="2">
        <f t="shared" si="135"/>
        <v>43132</v>
      </c>
      <c r="G529" s="6">
        <v>1480.33</v>
      </c>
      <c r="H529" s="7" t="s">
        <v>1625</v>
      </c>
      <c r="I529" s="7" t="s">
        <v>308</v>
      </c>
      <c r="J529" s="109" t="s">
        <v>6282</v>
      </c>
      <c r="K529" s="266">
        <f t="shared" si="136"/>
        <v>2018</v>
      </c>
      <c r="L529" s="385"/>
      <c r="M529" s="385"/>
      <c r="N529" s="32" t="s">
        <v>1614</v>
      </c>
      <c r="O529" s="32" t="s">
        <v>1626</v>
      </c>
      <c r="P529" s="278" t="s">
        <v>1632</v>
      </c>
      <c r="Q529" s="233" t="s">
        <v>1629</v>
      </c>
      <c r="R529" s="75">
        <v>5323.5</v>
      </c>
      <c r="S529" s="75">
        <v>0</v>
      </c>
      <c r="T529" s="75">
        <v>5323.5</v>
      </c>
      <c r="U529" s="203">
        <v>2962</v>
      </c>
      <c r="V529" s="287">
        <f t="shared" ca="1" si="137"/>
        <v>10</v>
      </c>
      <c r="W529" s="75">
        <f t="shared" ca="1" si="138"/>
        <v>25917.5</v>
      </c>
      <c r="X529" s="200">
        <f t="shared" ca="1" si="139"/>
        <v>29019.5</v>
      </c>
      <c r="Y529" s="1">
        <v>0.25</v>
      </c>
      <c r="Z529" s="1"/>
      <c r="AA529" s="219"/>
      <c r="AB529" s="302" t="s">
        <v>6332</v>
      </c>
      <c r="AC529" s="302"/>
      <c r="AD529" s="302"/>
      <c r="AE529" s="302"/>
      <c r="AF529">
        <f t="shared" si="133"/>
        <v>0</v>
      </c>
    </row>
    <row r="530" spans="1:32" ht="51.75" hidden="1" x14ac:dyDescent="0.25">
      <c r="A530" s="322" t="s">
        <v>1633</v>
      </c>
      <c r="B530" s="93" t="str">
        <f t="shared" si="134"/>
        <v>NO</v>
      </c>
      <c r="C530" s="93" t="s">
        <v>5503</v>
      </c>
      <c r="D530" s="4">
        <v>39436</v>
      </c>
      <c r="E530" s="2">
        <v>39479</v>
      </c>
      <c r="F530" s="2">
        <f t="shared" si="135"/>
        <v>43132</v>
      </c>
      <c r="G530" s="6">
        <v>1860</v>
      </c>
      <c r="H530" s="7" t="s">
        <v>1625</v>
      </c>
      <c r="I530" s="7" t="s">
        <v>308</v>
      </c>
      <c r="J530" s="189"/>
      <c r="K530" s="266">
        <f t="shared" si="136"/>
        <v>2018</v>
      </c>
      <c r="L530" s="389"/>
      <c r="M530" s="389"/>
      <c r="N530" s="32" t="s">
        <v>1614</v>
      </c>
      <c r="O530" s="32" t="s">
        <v>1626</v>
      </c>
      <c r="P530" s="278" t="s">
        <v>1635</v>
      </c>
      <c r="Q530" s="233" t="s">
        <v>1634</v>
      </c>
      <c r="R530" s="75">
        <v>6650</v>
      </c>
      <c r="S530" s="75">
        <v>0</v>
      </c>
      <c r="T530" s="75">
        <v>6650</v>
      </c>
      <c r="U530" s="203">
        <v>3720</v>
      </c>
      <c r="V530" s="287">
        <f t="shared" ca="1" si="137"/>
        <v>10</v>
      </c>
      <c r="W530" s="75">
        <f t="shared" ca="1" si="138"/>
        <v>32550</v>
      </c>
      <c r="X530" s="200">
        <f t="shared" ca="1" si="139"/>
        <v>36410</v>
      </c>
      <c r="Y530" s="1">
        <v>0.25</v>
      </c>
      <c r="Z530" s="1"/>
      <c r="AA530" s="219"/>
      <c r="AB530" s="302" t="s">
        <v>6333</v>
      </c>
      <c r="AC530" s="302"/>
      <c r="AD530" s="302"/>
      <c r="AE530" s="302"/>
      <c r="AF530">
        <f t="shared" si="133"/>
        <v>0</v>
      </c>
    </row>
    <row r="531" spans="1:32" ht="26.25" hidden="1" x14ac:dyDescent="0.25">
      <c r="A531" s="322" t="s">
        <v>1636</v>
      </c>
      <c r="B531" s="93" t="str">
        <f t="shared" si="134"/>
        <v>NO</v>
      </c>
      <c r="C531" s="93" t="s">
        <v>5503</v>
      </c>
      <c r="D531" s="4">
        <v>39436</v>
      </c>
      <c r="E531" s="2">
        <v>39479</v>
      </c>
      <c r="F531" s="2">
        <f t="shared" si="135"/>
        <v>43132</v>
      </c>
      <c r="G531" s="6">
        <v>2316.75</v>
      </c>
      <c r="H531" s="7" t="s">
        <v>248</v>
      </c>
      <c r="I531" s="7" t="s">
        <v>308</v>
      </c>
      <c r="J531" s="189"/>
      <c r="K531" s="266">
        <f t="shared" si="136"/>
        <v>2018</v>
      </c>
      <c r="L531" s="389"/>
      <c r="M531" s="389"/>
      <c r="N531" s="32" t="s">
        <v>1614</v>
      </c>
      <c r="O531" s="32" t="s">
        <v>1638</v>
      </c>
      <c r="P531" s="278" t="s">
        <v>1639</v>
      </c>
      <c r="Q531" s="233" t="s">
        <v>1637</v>
      </c>
      <c r="R531" s="75">
        <v>8249.5</v>
      </c>
      <c r="S531" s="75">
        <v>0</v>
      </c>
      <c r="T531" s="75">
        <v>8249.5</v>
      </c>
      <c r="U531" s="203">
        <v>4634</v>
      </c>
      <c r="V531" s="287">
        <f t="shared" ca="1" si="137"/>
        <v>10</v>
      </c>
      <c r="W531" s="75">
        <f t="shared" ca="1" si="138"/>
        <v>40547.5</v>
      </c>
      <c r="X531" s="200">
        <f t="shared" ca="1" si="139"/>
        <v>45321.5</v>
      </c>
      <c r="Y531" s="1">
        <v>0.25</v>
      </c>
      <c r="Z531" s="1"/>
      <c r="AA531" s="219"/>
      <c r="AB531" s="302" t="s">
        <v>6307</v>
      </c>
      <c r="AC531" s="302"/>
      <c r="AD531" s="302"/>
      <c r="AE531" s="302"/>
      <c r="AF531">
        <f t="shared" si="133"/>
        <v>0</v>
      </c>
    </row>
    <row r="532" spans="1:32" ht="39" hidden="1" x14ac:dyDescent="0.25">
      <c r="A532" s="322" t="s">
        <v>1640</v>
      </c>
      <c r="B532" s="93" t="str">
        <f t="shared" si="134"/>
        <v>NO</v>
      </c>
      <c r="C532" s="93" t="s">
        <v>5503</v>
      </c>
      <c r="D532" s="4">
        <v>39436</v>
      </c>
      <c r="E532" s="2">
        <v>39479</v>
      </c>
      <c r="F532" s="2">
        <f t="shared" si="135"/>
        <v>43132</v>
      </c>
      <c r="G532" s="6">
        <v>788.96</v>
      </c>
      <c r="H532" s="7" t="s">
        <v>248</v>
      </c>
      <c r="I532" s="7" t="s">
        <v>308</v>
      </c>
      <c r="J532" s="189"/>
      <c r="K532" s="266">
        <f t="shared" si="136"/>
        <v>2018</v>
      </c>
      <c r="L532" s="389"/>
      <c r="M532" s="389"/>
      <c r="N532" s="32" t="s">
        <v>1614</v>
      </c>
      <c r="O532" s="32" t="s">
        <v>1638</v>
      </c>
      <c r="P532" s="278" t="s">
        <v>1642</v>
      </c>
      <c r="Q532" s="233" t="s">
        <v>1641</v>
      </c>
      <c r="R532" s="75">
        <v>2901.5</v>
      </c>
      <c r="S532" s="75">
        <v>0</v>
      </c>
      <c r="T532" s="75">
        <v>2901.5</v>
      </c>
      <c r="U532" s="203">
        <v>1578</v>
      </c>
      <c r="V532" s="287">
        <f t="shared" ca="1" si="137"/>
        <v>10</v>
      </c>
      <c r="W532" s="75">
        <f t="shared" ca="1" si="138"/>
        <v>13807.5</v>
      </c>
      <c r="X532" s="200">
        <f t="shared" ca="1" si="139"/>
        <v>15525.5</v>
      </c>
      <c r="Y532" s="1">
        <v>0.25</v>
      </c>
      <c r="Z532" s="1"/>
      <c r="AA532" s="219"/>
      <c r="AB532" s="302" t="s">
        <v>6308</v>
      </c>
      <c r="AC532" s="302"/>
      <c r="AD532" s="302"/>
      <c r="AE532" s="302"/>
      <c r="AF532">
        <f t="shared" si="133"/>
        <v>0</v>
      </c>
    </row>
    <row r="533" spans="1:32" ht="39" hidden="1" x14ac:dyDescent="0.25">
      <c r="A533" s="322" t="s">
        <v>1643</v>
      </c>
      <c r="B533" s="93" t="str">
        <f t="shared" si="134"/>
        <v>NO</v>
      </c>
      <c r="C533" s="93" t="s">
        <v>5503</v>
      </c>
      <c r="D533" s="4">
        <v>39436</v>
      </c>
      <c r="E533" s="2">
        <v>39479</v>
      </c>
      <c r="F533" s="2">
        <f t="shared" si="135"/>
        <v>43132</v>
      </c>
      <c r="G533" s="6">
        <v>1968.96</v>
      </c>
      <c r="H533" s="7" t="s">
        <v>248</v>
      </c>
      <c r="I533" s="7" t="s">
        <v>308</v>
      </c>
      <c r="J533" s="189"/>
      <c r="K533" s="266">
        <f t="shared" si="136"/>
        <v>2018</v>
      </c>
      <c r="L533" s="389"/>
      <c r="M533" s="389"/>
      <c r="N533" s="32" t="s">
        <v>1614</v>
      </c>
      <c r="O533" s="32" t="s">
        <v>1638</v>
      </c>
      <c r="P533" s="278" t="s">
        <v>1645</v>
      </c>
      <c r="Q533" s="233" t="s">
        <v>1644</v>
      </c>
      <c r="R533" s="75">
        <v>7031.5</v>
      </c>
      <c r="S533" s="75">
        <v>0</v>
      </c>
      <c r="T533" s="75">
        <v>7031.5</v>
      </c>
      <c r="U533" s="203">
        <v>3938</v>
      </c>
      <c r="V533" s="287">
        <f t="shared" ca="1" si="137"/>
        <v>10</v>
      </c>
      <c r="W533" s="75">
        <f t="shared" ca="1" si="138"/>
        <v>34457.5</v>
      </c>
      <c r="X533" s="200">
        <f t="shared" ca="1" si="139"/>
        <v>38535.5</v>
      </c>
      <c r="Y533" s="1">
        <v>0.25</v>
      </c>
      <c r="Z533" s="1"/>
      <c r="AA533" s="219"/>
      <c r="AB533" s="302" t="s">
        <v>6309</v>
      </c>
      <c r="AC533" s="302"/>
      <c r="AD533" s="302"/>
      <c r="AE533" s="302"/>
      <c r="AF533">
        <f t="shared" si="133"/>
        <v>0</v>
      </c>
    </row>
    <row r="534" spans="1:32" ht="26.25" hidden="1" x14ac:dyDescent="0.25">
      <c r="A534" s="322" t="s">
        <v>1646</v>
      </c>
      <c r="B534" s="93" t="str">
        <f t="shared" si="134"/>
        <v>NO</v>
      </c>
      <c r="C534" s="93" t="s">
        <v>5503</v>
      </c>
      <c r="D534" s="4">
        <v>39436</v>
      </c>
      <c r="E534" s="2">
        <v>39479</v>
      </c>
      <c r="F534" s="2">
        <f t="shared" si="135"/>
        <v>43132</v>
      </c>
      <c r="G534" s="6">
        <v>1081.1099999999999</v>
      </c>
      <c r="H534" s="7" t="s">
        <v>248</v>
      </c>
      <c r="I534" s="7" t="s">
        <v>308</v>
      </c>
      <c r="J534" s="189"/>
      <c r="K534" s="266">
        <f t="shared" si="136"/>
        <v>2018</v>
      </c>
      <c r="L534" s="389"/>
      <c r="M534" s="389"/>
      <c r="N534" s="32" t="s">
        <v>1614</v>
      </c>
      <c r="O534" s="32" t="s">
        <v>1638</v>
      </c>
      <c r="P534" s="278" t="s">
        <v>1648</v>
      </c>
      <c r="Q534" s="233" t="s">
        <v>1647</v>
      </c>
      <c r="R534" s="75">
        <v>3927</v>
      </c>
      <c r="S534" s="75">
        <v>0</v>
      </c>
      <c r="T534" s="75">
        <v>3927</v>
      </c>
      <c r="U534" s="203">
        <v>2164</v>
      </c>
      <c r="V534" s="287">
        <f t="shared" ca="1" si="137"/>
        <v>10</v>
      </c>
      <c r="W534" s="75">
        <f t="shared" ca="1" si="138"/>
        <v>18935</v>
      </c>
      <c r="X534" s="200">
        <f t="shared" ca="1" si="139"/>
        <v>21239</v>
      </c>
      <c r="Y534" s="1">
        <v>0.25</v>
      </c>
      <c r="Z534" s="1"/>
      <c r="AA534" s="219"/>
      <c r="AB534" s="302" t="s">
        <v>6310</v>
      </c>
      <c r="AC534" s="302"/>
      <c r="AD534" s="302"/>
      <c r="AE534" s="302"/>
      <c r="AF534">
        <f t="shared" si="133"/>
        <v>0</v>
      </c>
    </row>
    <row r="535" spans="1:32" ht="51.75" hidden="1" x14ac:dyDescent="0.25">
      <c r="A535" s="322" t="s">
        <v>1649</v>
      </c>
      <c r="B535" s="93" t="str">
        <f t="shared" si="134"/>
        <v>NO</v>
      </c>
      <c r="C535" s="93" t="s">
        <v>5503</v>
      </c>
      <c r="D535" s="4">
        <v>39436</v>
      </c>
      <c r="E535" s="2">
        <v>39479</v>
      </c>
      <c r="F535" s="2">
        <f t="shared" si="135"/>
        <v>43132</v>
      </c>
      <c r="G535" s="6">
        <v>1783.17</v>
      </c>
      <c r="H535" s="7" t="s">
        <v>248</v>
      </c>
      <c r="I535" s="7" t="s">
        <v>308</v>
      </c>
      <c r="J535" s="189"/>
      <c r="K535" s="266">
        <f t="shared" si="136"/>
        <v>2018</v>
      </c>
      <c r="L535" s="389"/>
      <c r="M535" s="389"/>
      <c r="N535" s="32" t="s">
        <v>1614</v>
      </c>
      <c r="O535" s="32" t="s">
        <v>1638</v>
      </c>
      <c r="P535" s="278" t="s">
        <v>1651</v>
      </c>
      <c r="Q535" s="233" t="s">
        <v>1650</v>
      </c>
      <c r="R535" s="75">
        <v>6384</v>
      </c>
      <c r="S535" s="75">
        <v>0</v>
      </c>
      <c r="T535" s="75">
        <v>6384</v>
      </c>
      <c r="U535" s="203">
        <v>3568</v>
      </c>
      <c r="V535" s="287">
        <f t="shared" ca="1" si="137"/>
        <v>10</v>
      </c>
      <c r="W535" s="75">
        <f t="shared" ca="1" si="138"/>
        <v>31220</v>
      </c>
      <c r="X535" s="200">
        <f t="shared" ca="1" si="139"/>
        <v>34928</v>
      </c>
      <c r="Y535" s="1">
        <v>0.25</v>
      </c>
      <c r="Z535" s="1"/>
      <c r="AA535" s="219"/>
      <c r="AB535" s="302" t="s">
        <v>6311</v>
      </c>
      <c r="AC535" s="302"/>
      <c r="AD535" s="302"/>
      <c r="AE535" s="302"/>
      <c r="AF535">
        <f t="shared" si="133"/>
        <v>0</v>
      </c>
    </row>
    <row r="536" spans="1:32" ht="39" hidden="1" x14ac:dyDescent="0.25">
      <c r="A536" s="322" t="s">
        <v>1652</v>
      </c>
      <c r="B536" s="93" t="str">
        <f t="shared" si="134"/>
        <v>NO</v>
      </c>
      <c r="C536" s="93" t="s">
        <v>5503</v>
      </c>
      <c r="D536" s="4">
        <v>39436</v>
      </c>
      <c r="E536" s="2">
        <v>39479</v>
      </c>
      <c r="F536" s="2">
        <f t="shared" si="135"/>
        <v>43132</v>
      </c>
      <c r="G536" s="6">
        <v>920.78</v>
      </c>
      <c r="H536" s="7" t="s">
        <v>248</v>
      </c>
      <c r="I536" s="7" t="s">
        <v>308</v>
      </c>
      <c r="J536" s="189"/>
      <c r="K536" s="266">
        <f t="shared" si="136"/>
        <v>2018</v>
      </c>
      <c r="L536" s="389"/>
      <c r="M536" s="389"/>
      <c r="N536" s="32" t="s">
        <v>1614</v>
      </c>
      <c r="O536" s="32" t="s">
        <v>1638</v>
      </c>
      <c r="P536" s="278" t="s">
        <v>1654</v>
      </c>
      <c r="Q536" s="233" t="s">
        <v>1653</v>
      </c>
      <c r="R536" s="75">
        <v>3363.5</v>
      </c>
      <c r="S536" s="75">
        <v>0</v>
      </c>
      <c r="T536" s="75">
        <v>3363.5</v>
      </c>
      <c r="U536" s="203">
        <v>1842</v>
      </c>
      <c r="V536" s="287">
        <f t="shared" ca="1" si="137"/>
        <v>10</v>
      </c>
      <c r="W536" s="75">
        <f t="shared" ca="1" si="138"/>
        <v>16117.5</v>
      </c>
      <c r="X536" s="200">
        <f t="shared" ca="1" si="139"/>
        <v>18099.5</v>
      </c>
      <c r="Y536" s="1">
        <v>0.25</v>
      </c>
      <c r="Z536" s="1"/>
      <c r="AA536" s="219"/>
      <c r="AB536" s="302" t="s">
        <v>6312</v>
      </c>
      <c r="AC536" s="302"/>
      <c r="AD536" s="302"/>
      <c r="AE536" s="302"/>
      <c r="AF536">
        <f t="shared" si="133"/>
        <v>0</v>
      </c>
    </row>
    <row r="537" spans="1:32" hidden="1" x14ac:dyDescent="0.25">
      <c r="A537" s="322" t="s">
        <v>1655</v>
      </c>
      <c r="B537" s="93" t="str">
        <f t="shared" si="134"/>
        <v>NO</v>
      </c>
      <c r="C537" s="93" t="s">
        <v>5503</v>
      </c>
      <c r="D537" s="4">
        <v>39436</v>
      </c>
      <c r="E537" s="2">
        <v>39479</v>
      </c>
      <c r="F537" s="2">
        <f t="shared" si="135"/>
        <v>43132</v>
      </c>
      <c r="G537" s="6">
        <v>200</v>
      </c>
      <c r="H537" s="7" t="s">
        <v>248</v>
      </c>
      <c r="I537" s="7" t="s">
        <v>308</v>
      </c>
      <c r="J537" s="189"/>
      <c r="K537" s="266">
        <f t="shared" si="136"/>
        <v>2018</v>
      </c>
      <c r="L537" s="389"/>
      <c r="M537" s="389"/>
      <c r="N537" s="32" t="s">
        <v>1614</v>
      </c>
      <c r="O537" s="32" t="s">
        <v>1638</v>
      </c>
      <c r="P537" s="278" t="s">
        <v>1657</v>
      </c>
      <c r="Q537" s="233" t="s">
        <v>1656</v>
      </c>
      <c r="R537" s="75">
        <v>840</v>
      </c>
      <c r="S537" s="75">
        <v>0</v>
      </c>
      <c r="T537" s="75">
        <v>840</v>
      </c>
      <c r="U537" s="203">
        <v>400</v>
      </c>
      <c r="V537" s="287">
        <f t="shared" ca="1" si="137"/>
        <v>10</v>
      </c>
      <c r="W537" s="75">
        <f t="shared" ca="1" si="138"/>
        <v>3500</v>
      </c>
      <c r="X537" s="200">
        <f t="shared" ca="1" si="139"/>
        <v>4040</v>
      </c>
      <c r="Y537" s="1">
        <v>0.25</v>
      </c>
      <c r="Z537" s="1"/>
      <c r="AA537" s="219"/>
      <c r="AB537" s="302" t="s">
        <v>6313</v>
      </c>
      <c r="AC537" s="302"/>
      <c r="AD537" s="302"/>
      <c r="AE537" s="302"/>
      <c r="AF537">
        <f t="shared" si="133"/>
        <v>0</v>
      </c>
    </row>
    <row r="538" spans="1:32" hidden="1" x14ac:dyDescent="0.25">
      <c r="A538" s="322" t="s">
        <v>1658</v>
      </c>
      <c r="B538" s="93" t="str">
        <f t="shared" si="134"/>
        <v>NO</v>
      </c>
      <c r="C538" s="93" t="s">
        <v>5503</v>
      </c>
      <c r="D538" s="4">
        <v>39436</v>
      </c>
      <c r="E538" s="2">
        <v>39479</v>
      </c>
      <c r="F538" s="2">
        <f t="shared" si="135"/>
        <v>43132</v>
      </c>
      <c r="G538" s="6">
        <v>80</v>
      </c>
      <c r="H538" s="7" t="s">
        <v>248</v>
      </c>
      <c r="I538" s="7" t="s">
        <v>308</v>
      </c>
      <c r="J538" s="189"/>
      <c r="K538" s="266">
        <f t="shared" si="136"/>
        <v>2018</v>
      </c>
      <c r="L538" s="389"/>
      <c r="M538" s="389"/>
      <c r="N538" s="32" t="s">
        <v>1614</v>
      </c>
      <c r="O538" s="32" t="s">
        <v>1638</v>
      </c>
      <c r="P538" s="278" t="s">
        <v>1660</v>
      </c>
      <c r="Q538" s="233" t="s">
        <v>1659</v>
      </c>
      <c r="R538" s="75">
        <v>420</v>
      </c>
      <c r="S538" s="75">
        <v>0</v>
      </c>
      <c r="T538" s="75">
        <v>420</v>
      </c>
      <c r="U538" s="203">
        <v>160</v>
      </c>
      <c r="V538" s="287">
        <f t="shared" ca="1" si="137"/>
        <v>10</v>
      </c>
      <c r="W538" s="75">
        <f t="shared" ca="1" si="138"/>
        <v>1400</v>
      </c>
      <c r="X538" s="200">
        <f t="shared" ca="1" si="139"/>
        <v>1700</v>
      </c>
      <c r="Y538" s="1">
        <v>0.25</v>
      </c>
      <c r="Z538" s="1"/>
      <c r="AA538" s="219"/>
      <c r="AB538" s="302" t="s">
        <v>6314</v>
      </c>
      <c r="AC538" s="302"/>
      <c r="AD538" s="302"/>
      <c r="AE538" s="302"/>
      <c r="AF538">
        <f t="shared" si="133"/>
        <v>0</v>
      </c>
    </row>
    <row r="539" spans="1:32" ht="39" hidden="1" x14ac:dyDescent="0.25">
      <c r="A539" s="322" t="s">
        <v>1661</v>
      </c>
      <c r="B539" s="93" t="str">
        <f t="shared" si="134"/>
        <v>NO</v>
      </c>
      <c r="C539" s="93" t="s">
        <v>5503</v>
      </c>
      <c r="D539" s="4">
        <v>39436</v>
      </c>
      <c r="E539" s="2">
        <v>39479</v>
      </c>
      <c r="F539" s="2">
        <f t="shared" si="135"/>
        <v>43132</v>
      </c>
      <c r="G539" s="6">
        <v>1516</v>
      </c>
      <c r="H539" s="7" t="s">
        <v>248</v>
      </c>
      <c r="I539" s="7" t="s">
        <v>308</v>
      </c>
      <c r="J539" s="189"/>
      <c r="K539" s="266">
        <f t="shared" si="136"/>
        <v>2018</v>
      </c>
      <c r="L539" s="389"/>
      <c r="M539" s="389"/>
      <c r="N539" s="32" t="s">
        <v>1614</v>
      </c>
      <c r="O539" s="32" t="s">
        <v>1638</v>
      </c>
      <c r="P539" s="278" t="s">
        <v>1663</v>
      </c>
      <c r="Q539" s="233" t="s">
        <v>1662</v>
      </c>
      <c r="R539" s="75">
        <v>5446</v>
      </c>
      <c r="S539" s="75">
        <v>0</v>
      </c>
      <c r="T539" s="75">
        <v>5446</v>
      </c>
      <c r="U539" s="203">
        <v>3032</v>
      </c>
      <c r="V539" s="287">
        <f t="shared" ca="1" si="137"/>
        <v>10</v>
      </c>
      <c r="W539" s="75">
        <f t="shared" ca="1" si="138"/>
        <v>26530</v>
      </c>
      <c r="X539" s="200">
        <f t="shared" ca="1" si="139"/>
        <v>29702</v>
      </c>
      <c r="Y539" s="1">
        <v>0.25</v>
      </c>
      <c r="Z539" s="1"/>
      <c r="AA539" s="219"/>
      <c r="AB539" s="302" t="s">
        <v>6315</v>
      </c>
      <c r="AC539" s="302"/>
      <c r="AD539" s="302"/>
      <c r="AE539" s="302"/>
      <c r="AF539">
        <f t="shared" si="133"/>
        <v>0</v>
      </c>
    </row>
    <row r="540" spans="1:32" hidden="1" x14ac:dyDescent="0.25">
      <c r="A540" s="322" t="s">
        <v>1664</v>
      </c>
      <c r="B540" s="93" t="str">
        <f t="shared" si="134"/>
        <v>NO</v>
      </c>
      <c r="C540" s="93" t="s">
        <v>5503</v>
      </c>
      <c r="D540" s="4">
        <v>39436</v>
      </c>
      <c r="E540" s="2">
        <v>39479</v>
      </c>
      <c r="F540" s="2">
        <f t="shared" si="135"/>
        <v>43132</v>
      </c>
      <c r="G540" s="6">
        <v>154.30000000000001</v>
      </c>
      <c r="H540" s="7" t="s">
        <v>866</v>
      </c>
      <c r="I540" s="7" t="s">
        <v>308</v>
      </c>
      <c r="J540" s="189"/>
      <c r="K540" s="266">
        <f t="shared" si="136"/>
        <v>2018</v>
      </c>
      <c r="L540" s="389"/>
      <c r="M540" s="389"/>
      <c r="N540" s="32" t="s">
        <v>1666</v>
      </c>
      <c r="O540" s="32" t="s">
        <v>1667</v>
      </c>
      <c r="P540" s="278" t="s">
        <v>932</v>
      </c>
      <c r="Q540" s="233" t="s">
        <v>1665</v>
      </c>
      <c r="R540" s="75">
        <v>682.5</v>
      </c>
      <c r="S540" s="75">
        <v>0</v>
      </c>
      <c r="T540" s="75">
        <v>682.5</v>
      </c>
      <c r="U540" s="203">
        <v>310</v>
      </c>
      <c r="V540" s="287">
        <f t="shared" ca="1" si="137"/>
        <v>10</v>
      </c>
      <c r="W540" s="75">
        <f t="shared" ca="1" si="138"/>
        <v>2712.5</v>
      </c>
      <c r="X540" s="200">
        <f t="shared" ca="1" si="139"/>
        <v>3162.5</v>
      </c>
      <c r="Y540" s="1">
        <v>0.25</v>
      </c>
      <c r="Z540" s="1"/>
      <c r="AA540" s="219"/>
      <c r="AB540" s="302" t="s">
        <v>6594</v>
      </c>
      <c r="AC540" s="302"/>
      <c r="AD540" s="302"/>
      <c r="AE540" s="302"/>
      <c r="AF540">
        <f t="shared" si="133"/>
        <v>0</v>
      </c>
    </row>
    <row r="541" spans="1:32" hidden="1" x14ac:dyDescent="0.25">
      <c r="A541" s="322" t="s">
        <v>1668</v>
      </c>
      <c r="B541" s="93" t="str">
        <f t="shared" si="134"/>
        <v>NO</v>
      </c>
      <c r="C541" s="93" t="s">
        <v>5503</v>
      </c>
      <c r="D541" s="4">
        <v>39436</v>
      </c>
      <c r="E541" s="2">
        <v>39479</v>
      </c>
      <c r="F541" s="2">
        <f t="shared" si="135"/>
        <v>43132</v>
      </c>
      <c r="G541" s="6">
        <v>135.80000000000001</v>
      </c>
      <c r="H541" s="7" t="s">
        <v>1670</v>
      </c>
      <c r="I541" s="7" t="s">
        <v>79</v>
      </c>
      <c r="J541" s="109"/>
      <c r="K541" s="266">
        <f t="shared" si="136"/>
        <v>2018</v>
      </c>
      <c r="L541" s="385"/>
      <c r="M541" s="385"/>
      <c r="N541" s="32"/>
      <c r="O541" s="32" t="s">
        <v>1671</v>
      </c>
      <c r="P541" s="278" t="s">
        <v>1672</v>
      </c>
      <c r="Q541" s="233" t="s">
        <v>1669</v>
      </c>
      <c r="R541" s="75">
        <v>616</v>
      </c>
      <c r="S541" s="75">
        <v>0</v>
      </c>
      <c r="T541" s="75">
        <v>616</v>
      </c>
      <c r="U541" s="203">
        <v>272</v>
      </c>
      <c r="V541" s="287">
        <f t="shared" ca="1" si="137"/>
        <v>10</v>
      </c>
      <c r="W541" s="75">
        <f t="shared" ca="1" si="138"/>
        <v>2380</v>
      </c>
      <c r="X541" s="200">
        <f t="shared" ca="1" si="139"/>
        <v>2792</v>
      </c>
      <c r="Y541" s="1">
        <v>0.25</v>
      </c>
      <c r="Z541" s="1"/>
      <c r="AA541" s="219"/>
      <c r="AB541" s="302" t="s">
        <v>6595</v>
      </c>
      <c r="AC541" s="302"/>
      <c r="AD541" s="302"/>
      <c r="AE541" s="302"/>
      <c r="AF541">
        <f t="shared" si="133"/>
        <v>0</v>
      </c>
    </row>
    <row r="542" spans="1:32" ht="39" hidden="1" x14ac:dyDescent="0.25">
      <c r="A542" s="322" t="s">
        <v>1673</v>
      </c>
      <c r="B542" s="93" t="str">
        <f t="shared" si="134"/>
        <v>NO</v>
      </c>
      <c r="C542" s="93" t="s">
        <v>5503</v>
      </c>
      <c r="D542" s="4">
        <v>39436</v>
      </c>
      <c r="E542" s="2">
        <v>39479</v>
      </c>
      <c r="F542" s="2">
        <f t="shared" si="135"/>
        <v>43132</v>
      </c>
      <c r="G542" s="6">
        <v>897.36</v>
      </c>
      <c r="H542" s="7" t="s">
        <v>1675</v>
      </c>
      <c r="I542" s="7" t="s">
        <v>1050</v>
      </c>
      <c r="J542" s="105" t="s">
        <v>5188</v>
      </c>
      <c r="K542" s="266">
        <f t="shared" si="136"/>
        <v>2018</v>
      </c>
      <c r="L542" s="381"/>
      <c r="M542" s="381"/>
      <c r="N542" s="32" t="s">
        <v>1676</v>
      </c>
      <c r="O542" s="32" t="s">
        <v>1677</v>
      </c>
      <c r="P542" s="278" t="s">
        <v>1678</v>
      </c>
      <c r="Q542" s="233" t="s">
        <v>1674</v>
      </c>
      <c r="R542" s="75">
        <v>3283</v>
      </c>
      <c r="S542" s="75">
        <v>0</v>
      </c>
      <c r="T542" s="75">
        <v>3283</v>
      </c>
      <c r="U542" s="203">
        <v>1796</v>
      </c>
      <c r="V542" s="287">
        <f t="shared" ca="1" si="137"/>
        <v>10</v>
      </c>
      <c r="W542" s="75">
        <f t="shared" ca="1" si="138"/>
        <v>15715</v>
      </c>
      <c r="X542" s="200">
        <f t="shared" ca="1" si="139"/>
        <v>17651</v>
      </c>
      <c r="Y542" s="1">
        <v>0.25</v>
      </c>
      <c r="Z542" s="1"/>
      <c r="AA542" s="219"/>
      <c r="AB542" s="302" t="s">
        <v>6596</v>
      </c>
      <c r="AC542" s="302"/>
      <c r="AD542" s="302"/>
      <c r="AE542" s="302"/>
      <c r="AF542">
        <f t="shared" si="133"/>
        <v>0</v>
      </c>
    </row>
    <row r="543" spans="1:32" ht="64.5" hidden="1" x14ac:dyDescent="0.25">
      <c r="A543" s="322" t="s">
        <v>1679</v>
      </c>
      <c r="B543" s="93" t="str">
        <f t="shared" si="134"/>
        <v>NO</v>
      </c>
      <c r="C543" s="93" t="s">
        <v>5503</v>
      </c>
      <c r="D543" s="4">
        <v>39436</v>
      </c>
      <c r="E543" s="2">
        <v>39479</v>
      </c>
      <c r="F543" s="2">
        <f t="shared" si="135"/>
        <v>43132</v>
      </c>
      <c r="G543" s="6">
        <v>863.77</v>
      </c>
      <c r="H543" s="7" t="s">
        <v>1675</v>
      </c>
      <c r="I543" s="7" t="s">
        <v>1050</v>
      </c>
      <c r="J543" s="105" t="s">
        <v>5188</v>
      </c>
      <c r="K543" s="266">
        <f t="shared" si="136"/>
        <v>2018</v>
      </c>
      <c r="L543" s="381"/>
      <c r="M543" s="381"/>
      <c r="N543" s="32" t="s">
        <v>1676</v>
      </c>
      <c r="O543" s="32" t="s">
        <v>1677</v>
      </c>
      <c r="P543" s="278" t="s">
        <v>1681</v>
      </c>
      <c r="Q543" s="233" t="s">
        <v>1680</v>
      </c>
      <c r="R543" s="75">
        <v>3164</v>
      </c>
      <c r="S543" s="75">
        <v>0</v>
      </c>
      <c r="T543" s="75">
        <v>3164</v>
      </c>
      <c r="U543" s="203">
        <v>1728</v>
      </c>
      <c r="V543" s="287">
        <f t="shared" ca="1" si="137"/>
        <v>10</v>
      </c>
      <c r="W543" s="75">
        <f t="shared" ca="1" si="138"/>
        <v>15120</v>
      </c>
      <c r="X543" s="200">
        <f t="shared" ca="1" si="139"/>
        <v>16988</v>
      </c>
      <c r="Y543" s="1">
        <v>0.25</v>
      </c>
      <c r="Z543" s="1"/>
      <c r="AA543" s="219"/>
      <c r="AB543" s="302" t="s">
        <v>6597</v>
      </c>
      <c r="AC543" s="302"/>
      <c r="AD543" s="302"/>
      <c r="AE543" s="302"/>
      <c r="AF543">
        <f t="shared" si="133"/>
        <v>0</v>
      </c>
    </row>
    <row r="544" spans="1:32" ht="39" hidden="1" x14ac:dyDescent="0.25">
      <c r="A544" s="322" t="s">
        <v>1682</v>
      </c>
      <c r="B544" s="93" t="str">
        <f t="shared" si="134"/>
        <v>NO</v>
      </c>
      <c r="C544" s="93" t="s">
        <v>5503</v>
      </c>
      <c r="D544" s="4">
        <v>39436</v>
      </c>
      <c r="E544" s="2">
        <v>39479</v>
      </c>
      <c r="F544" s="2">
        <f t="shared" si="135"/>
        <v>43132</v>
      </c>
      <c r="G544" s="6">
        <v>863.77</v>
      </c>
      <c r="H544" s="7" t="s">
        <v>1675</v>
      </c>
      <c r="I544" s="7" t="s">
        <v>1050</v>
      </c>
      <c r="J544" s="105" t="s">
        <v>5188</v>
      </c>
      <c r="K544" s="266">
        <f t="shared" si="136"/>
        <v>2018</v>
      </c>
      <c r="L544" s="381"/>
      <c r="M544" s="381"/>
      <c r="N544" s="32" t="s">
        <v>1676</v>
      </c>
      <c r="O544" s="32" t="s">
        <v>1677</v>
      </c>
      <c r="P544" s="278" t="s">
        <v>1678</v>
      </c>
      <c r="Q544" s="233" t="s">
        <v>1683</v>
      </c>
      <c r="R544" s="75">
        <v>3164</v>
      </c>
      <c r="S544" s="75">
        <v>0</v>
      </c>
      <c r="T544" s="75">
        <v>3164</v>
      </c>
      <c r="U544" s="203">
        <v>1728</v>
      </c>
      <c r="V544" s="287">
        <f t="shared" ca="1" si="137"/>
        <v>10</v>
      </c>
      <c r="W544" s="75">
        <f t="shared" ca="1" si="138"/>
        <v>15120</v>
      </c>
      <c r="X544" s="200">
        <f t="shared" ca="1" si="139"/>
        <v>16988</v>
      </c>
      <c r="Y544" s="1">
        <v>0.25</v>
      </c>
      <c r="Z544" s="1"/>
      <c r="AA544" s="219"/>
      <c r="AB544" s="302" t="s">
        <v>6598</v>
      </c>
      <c r="AC544" s="302"/>
      <c r="AD544" s="302"/>
      <c r="AE544" s="302"/>
      <c r="AF544">
        <f t="shared" si="133"/>
        <v>0</v>
      </c>
    </row>
    <row r="545" spans="1:32" ht="39" hidden="1" x14ac:dyDescent="0.25">
      <c r="A545" s="322" t="s">
        <v>1684</v>
      </c>
      <c r="B545" s="93" t="str">
        <f t="shared" si="134"/>
        <v>NO</v>
      </c>
      <c r="C545" s="93" t="s">
        <v>5503</v>
      </c>
      <c r="D545" s="4">
        <v>39436</v>
      </c>
      <c r="E545" s="2">
        <v>39479</v>
      </c>
      <c r="F545" s="2">
        <f t="shared" si="135"/>
        <v>43132</v>
      </c>
      <c r="G545" s="6">
        <v>807.42</v>
      </c>
      <c r="H545" s="7" t="s">
        <v>1675</v>
      </c>
      <c r="I545" s="7" t="s">
        <v>1050</v>
      </c>
      <c r="J545" s="105" t="s">
        <v>5188</v>
      </c>
      <c r="K545" s="266">
        <f t="shared" si="136"/>
        <v>2018</v>
      </c>
      <c r="L545" s="381"/>
      <c r="M545" s="381"/>
      <c r="N545" s="32" t="s">
        <v>1676</v>
      </c>
      <c r="O545" s="32" t="s">
        <v>1677</v>
      </c>
      <c r="P545" s="278" t="s">
        <v>1678</v>
      </c>
      <c r="Q545" s="233" t="s">
        <v>1685</v>
      </c>
      <c r="R545" s="75">
        <v>2968</v>
      </c>
      <c r="S545" s="75">
        <v>0</v>
      </c>
      <c r="T545" s="75">
        <v>2968</v>
      </c>
      <c r="U545" s="203">
        <v>1616</v>
      </c>
      <c r="V545" s="287">
        <f t="shared" ca="1" si="137"/>
        <v>10</v>
      </c>
      <c r="W545" s="75">
        <f t="shared" ca="1" si="138"/>
        <v>14140</v>
      </c>
      <c r="X545" s="200">
        <f t="shared" ca="1" si="139"/>
        <v>15896</v>
      </c>
      <c r="Y545" s="1">
        <v>0.25</v>
      </c>
      <c r="Z545" s="1"/>
      <c r="AA545" s="219"/>
      <c r="AB545" s="302" t="s">
        <v>6599</v>
      </c>
      <c r="AC545" s="302"/>
      <c r="AD545" s="302"/>
      <c r="AE545" s="302"/>
      <c r="AF545">
        <f t="shared" si="133"/>
        <v>0</v>
      </c>
    </row>
    <row r="546" spans="1:32" ht="26.25" hidden="1" x14ac:dyDescent="0.25">
      <c r="A546" s="322" t="s">
        <v>1686</v>
      </c>
      <c r="B546" s="93" t="str">
        <f t="shared" si="134"/>
        <v>NO</v>
      </c>
      <c r="C546" s="93" t="s">
        <v>5503</v>
      </c>
      <c r="D546" s="4">
        <v>39436</v>
      </c>
      <c r="E546" s="2">
        <v>39479</v>
      </c>
      <c r="F546" s="2">
        <f t="shared" si="135"/>
        <v>43132</v>
      </c>
      <c r="G546" s="6">
        <v>788.94</v>
      </c>
      <c r="H546" s="7" t="s">
        <v>1675</v>
      </c>
      <c r="I546" s="7" t="s">
        <v>1050</v>
      </c>
      <c r="J546" s="105" t="s">
        <v>5188</v>
      </c>
      <c r="K546" s="266">
        <f t="shared" si="136"/>
        <v>2018</v>
      </c>
      <c r="L546" s="381"/>
      <c r="M546" s="381"/>
      <c r="N546" s="32" t="s">
        <v>1676</v>
      </c>
      <c r="O546" s="32" t="s">
        <v>1688</v>
      </c>
      <c r="P546" s="278" t="s">
        <v>1689</v>
      </c>
      <c r="Q546" s="233" t="s">
        <v>1687</v>
      </c>
      <c r="R546" s="75">
        <v>2901.5</v>
      </c>
      <c r="S546" s="75">
        <v>0</v>
      </c>
      <c r="T546" s="75">
        <v>2901.5</v>
      </c>
      <c r="U546" s="203">
        <v>1578</v>
      </c>
      <c r="V546" s="287">
        <f t="shared" ca="1" si="137"/>
        <v>10</v>
      </c>
      <c r="W546" s="75">
        <f t="shared" ca="1" si="138"/>
        <v>13807.5</v>
      </c>
      <c r="X546" s="200">
        <f t="shared" ca="1" si="139"/>
        <v>15525.5</v>
      </c>
      <c r="Y546" s="1">
        <v>0.25</v>
      </c>
      <c r="Z546" s="1"/>
      <c r="AA546" s="219"/>
      <c r="AB546" s="302" t="s">
        <v>6600</v>
      </c>
      <c r="AC546" s="302"/>
      <c r="AD546" s="302"/>
      <c r="AE546" s="302"/>
      <c r="AF546">
        <f t="shared" si="133"/>
        <v>0</v>
      </c>
    </row>
    <row r="547" spans="1:32" ht="26.25" hidden="1" x14ac:dyDescent="0.25">
      <c r="A547" s="322" t="s">
        <v>1690</v>
      </c>
      <c r="B547" s="93" t="str">
        <f t="shared" si="134"/>
        <v>NO</v>
      </c>
      <c r="C547" s="93" t="s">
        <v>5503</v>
      </c>
      <c r="D547" s="4">
        <v>39436</v>
      </c>
      <c r="E547" s="2">
        <v>39479</v>
      </c>
      <c r="F547" s="2">
        <f t="shared" si="135"/>
        <v>43132</v>
      </c>
      <c r="G547" s="6">
        <v>644.75</v>
      </c>
      <c r="H547" s="7" t="s">
        <v>1675</v>
      </c>
      <c r="I547" s="7" t="s">
        <v>1050</v>
      </c>
      <c r="J547" s="105" t="s">
        <v>5188</v>
      </c>
      <c r="K547" s="266">
        <f t="shared" si="136"/>
        <v>2018</v>
      </c>
      <c r="L547" s="381"/>
      <c r="M547" s="381"/>
      <c r="N547" s="32" t="s">
        <v>1676</v>
      </c>
      <c r="O547" s="32" t="s">
        <v>1688</v>
      </c>
      <c r="P547" s="278" t="s">
        <v>1689</v>
      </c>
      <c r="Q547" s="233" t="s">
        <v>1691</v>
      </c>
      <c r="R547" s="75">
        <v>2397.5</v>
      </c>
      <c r="S547" s="75">
        <v>0</v>
      </c>
      <c r="T547" s="75">
        <v>2397.5</v>
      </c>
      <c r="U547" s="203">
        <v>1290</v>
      </c>
      <c r="V547" s="287">
        <f t="shared" ca="1" si="137"/>
        <v>10</v>
      </c>
      <c r="W547" s="75">
        <f t="shared" ca="1" si="138"/>
        <v>11287.5</v>
      </c>
      <c r="X547" s="200">
        <f t="shared" ca="1" si="139"/>
        <v>12717.5</v>
      </c>
      <c r="Y547" s="1">
        <v>0.25</v>
      </c>
      <c r="Z547" s="1"/>
      <c r="AA547" s="219"/>
      <c r="AB547" s="302" t="s">
        <v>6601</v>
      </c>
      <c r="AC547" s="302"/>
      <c r="AD547" s="302"/>
      <c r="AE547" s="302"/>
      <c r="AF547">
        <f t="shared" si="133"/>
        <v>0</v>
      </c>
    </row>
    <row r="548" spans="1:32" ht="39" hidden="1" x14ac:dyDescent="0.25">
      <c r="A548" s="322" t="s">
        <v>1692</v>
      </c>
      <c r="B548" s="93" t="str">
        <f t="shared" si="134"/>
        <v>NO</v>
      </c>
      <c r="C548" s="93" t="s">
        <v>5503</v>
      </c>
      <c r="D548" s="4">
        <v>39436</v>
      </c>
      <c r="E548" s="2">
        <v>39479</v>
      </c>
      <c r="F548" s="2">
        <f t="shared" si="135"/>
        <v>43132</v>
      </c>
      <c r="G548" s="6">
        <v>545.92999999999995</v>
      </c>
      <c r="H548" s="7" t="s">
        <v>1675</v>
      </c>
      <c r="I548" s="7" t="s">
        <v>1050</v>
      </c>
      <c r="J548" s="105" t="s">
        <v>5188</v>
      </c>
      <c r="K548" s="266">
        <f t="shared" si="136"/>
        <v>2018</v>
      </c>
      <c r="L548" s="381"/>
      <c r="M548" s="381"/>
      <c r="N548" s="32" t="s">
        <v>1676</v>
      </c>
      <c r="O548" s="32" t="s">
        <v>1694</v>
      </c>
      <c r="P548" s="278" t="s">
        <v>1695</v>
      </c>
      <c r="Q548" s="233" t="s">
        <v>1693</v>
      </c>
      <c r="R548" s="75">
        <v>2051</v>
      </c>
      <c r="S548" s="75">
        <v>0</v>
      </c>
      <c r="T548" s="75">
        <v>2051</v>
      </c>
      <c r="U548" s="203">
        <v>1092</v>
      </c>
      <c r="V548" s="287">
        <f t="shared" ca="1" si="137"/>
        <v>10</v>
      </c>
      <c r="W548" s="75">
        <f t="shared" ca="1" si="138"/>
        <v>9555</v>
      </c>
      <c r="X548" s="200">
        <f t="shared" ca="1" si="139"/>
        <v>10787</v>
      </c>
      <c r="Y548" s="1">
        <v>0.25</v>
      </c>
      <c r="Z548" s="1"/>
      <c r="AA548" s="219"/>
      <c r="AB548" s="302" t="s">
        <v>6602</v>
      </c>
      <c r="AC548" s="302"/>
      <c r="AD548" s="302"/>
      <c r="AE548" s="302"/>
      <c r="AF548">
        <f t="shared" si="133"/>
        <v>0</v>
      </c>
    </row>
    <row r="549" spans="1:32" ht="51.75" hidden="1" x14ac:dyDescent="0.25">
      <c r="A549" s="322" t="s">
        <v>1696</v>
      </c>
      <c r="B549" s="93" t="str">
        <f t="shared" si="134"/>
        <v>NO</v>
      </c>
      <c r="C549" s="93" t="s">
        <v>5503</v>
      </c>
      <c r="D549" s="4">
        <v>39436</v>
      </c>
      <c r="E549" s="2">
        <v>39479</v>
      </c>
      <c r="F549" s="2">
        <f t="shared" si="135"/>
        <v>43132</v>
      </c>
      <c r="G549" s="6">
        <v>595.22</v>
      </c>
      <c r="H549" s="7" t="s">
        <v>1675</v>
      </c>
      <c r="I549" s="7" t="s">
        <v>1050</v>
      </c>
      <c r="J549" s="105" t="s">
        <v>5188</v>
      </c>
      <c r="K549" s="266">
        <f t="shared" si="136"/>
        <v>2018</v>
      </c>
      <c r="L549" s="381"/>
      <c r="M549" s="381"/>
      <c r="N549" s="32" t="s">
        <v>1676</v>
      </c>
      <c r="O549" s="32" t="s">
        <v>1694</v>
      </c>
      <c r="P549" s="278" t="s">
        <v>1698</v>
      </c>
      <c r="Q549" s="233" t="s">
        <v>1697</v>
      </c>
      <c r="R549" s="75">
        <v>2226</v>
      </c>
      <c r="S549" s="75">
        <v>0</v>
      </c>
      <c r="T549" s="75">
        <v>2226</v>
      </c>
      <c r="U549" s="203">
        <v>1192</v>
      </c>
      <c r="V549" s="287">
        <f t="shared" ca="1" si="137"/>
        <v>10</v>
      </c>
      <c r="W549" s="75">
        <f t="shared" ca="1" si="138"/>
        <v>10430</v>
      </c>
      <c r="X549" s="200">
        <f t="shared" ca="1" si="139"/>
        <v>11762</v>
      </c>
      <c r="Y549" s="1">
        <v>0.25</v>
      </c>
      <c r="Z549" s="1"/>
      <c r="AA549" s="219"/>
      <c r="AB549" s="302" t="s">
        <v>6603</v>
      </c>
      <c r="AC549" s="302"/>
      <c r="AD549" s="302"/>
      <c r="AE549" s="302"/>
      <c r="AF549">
        <f t="shared" si="133"/>
        <v>0</v>
      </c>
    </row>
    <row r="550" spans="1:32" ht="26.25" hidden="1" x14ac:dyDescent="0.25">
      <c r="A550" s="322" t="s">
        <v>1699</v>
      </c>
      <c r="B550" s="93" t="str">
        <f t="shared" si="134"/>
        <v>NO</v>
      </c>
      <c r="C550" s="93" t="s">
        <v>5503</v>
      </c>
      <c r="D550" s="4">
        <v>39436</v>
      </c>
      <c r="E550" s="2">
        <v>39479</v>
      </c>
      <c r="F550" s="2">
        <f t="shared" si="135"/>
        <v>43132</v>
      </c>
      <c r="G550" s="6">
        <v>1098.02</v>
      </c>
      <c r="H550" s="7" t="s">
        <v>1675</v>
      </c>
      <c r="I550" s="7" t="s">
        <v>1050</v>
      </c>
      <c r="J550" s="105" t="s">
        <v>5188</v>
      </c>
      <c r="K550" s="266">
        <f t="shared" si="136"/>
        <v>2018</v>
      </c>
      <c r="L550" s="381"/>
      <c r="M550" s="381"/>
      <c r="N550" s="32" t="s">
        <v>1676</v>
      </c>
      <c r="O550" s="32" t="s">
        <v>1694</v>
      </c>
      <c r="P550" s="278" t="s">
        <v>1689</v>
      </c>
      <c r="Q550" s="233" t="s">
        <v>1700</v>
      </c>
      <c r="R550" s="75">
        <v>3986.5</v>
      </c>
      <c r="S550" s="75">
        <v>0</v>
      </c>
      <c r="T550" s="75">
        <v>3986.5</v>
      </c>
      <c r="U550" s="203">
        <v>2198</v>
      </c>
      <c r="V550" s="287">
        <f t="shared" ca="1" si="137"/>
        <v>10</v>
      </c>
      <c r="W550" s="75">
        <f t="shared" ca="1" si="138"/>
        <v>19232.5</v>
      </c>
      <c r="X550" s="200">
        <f t="shared" ca="1" si="139"/>
        <v>21570.5</v>
      </c>
      <c r="Y550" s="1">
        <v>0.25</v>
      </c>
      <c r="Z550" s="1"/>
      <c r="AA550" s="219"/>
      <c r="AB550" s="302" t="s">
        <v>6604</v>
      </c>
      <c r="AC550" s="302"/>
      <c r="AD550" s="302"/>
      <c r="AE550" s="302"/>
      <c r="AF550">
        <f t="shared" si="133"/>
        <v>0</v>
      </c>
    </row>
    <row r="551" spans="1:32" ht="26.25" hidden="1" x14ac:dyDescent="0.25">
      <c r="A551" s="322" t="s">
        <v>1701</v>
      </c>
      <c r="B551" s="93" t="str">
        <f t="shared" si="134"/>
        <v>NO</v>
      </c>
      <c r="C551" s="93" t="s">
        <v>5503</v>
      </c>
      <c r="D551" s="4">
        <v>39436</v>
      </c>
      <c r="E551" s="2">
        <v>39479</v>
      </c>
      <c r="F551" s="2">
        <f t="shared" si="135"/>
        <v>43132</v>
      </c>
      <c r="G551" s="6">
        <v>107.62</v>
      </c>
      <c r="H551" s="7" t="s">
        <v>1703</v>
      </c>
      <c r="I551" s="7" t="s">
        <v>1050</v>
      </c>
      <c r="J551" s="105" t="s">
        <v>5188</v>
      </c>
      <c r="K551" s="266">
        <f t="shared" si="136"/>
        <v>2018</v>
      </c>
      <c r="L551" s="381"/>
      <c r="M551" s="381"/>
      <c r="N551" s="32" t="s">
        <v>1676</v>
      </c>
      <c r="O551" s="32" t="s">
        <v>1704</v>
      </c>
      <c r="P551" s="278" t="s">
        <v>1705</v>
      </c>
      <c r="Q551" s="233" t="s">
        <v>1702</v>
      </c>
      <c r="R551" s="75">
        <v>518</v>
      </c>
      <c r="S551" s="75">
        <v>0</v>
      </c>
      <c r="T551" s="75">
        <v>518</v>
      </c>
      <c r="U551" s="203">
        <v>216</v>
      </c>
      <c r="V551" s="287">
        <f t="shared" ca="1" si="137"/>
        <v>10</v>
      </c>
      <c r="W551" s="75">
        <f t="shared" ca="1" si="138"/>
        <v>1890</v>
      </c>
      <c r="X551" s="200">
        <f t="shared" ca="1" si="139"/>
        <v>2246</v>
      </c>
      <c r="Y551" s="1">
        <v>0.25</v>
      </c>
      <c r="Z551" s="1"/>
      <c r="AA551" s="219"/>
      <c r="AB551" s="302" t="s">
        <v>6605</v>
      </c>
      <c r="AC551" s="302"/>
      <c r="AD551" s="302"/>
      <c r="AE551" s="302"/>
      <c r="AF551">
        <f t="shared" si="133"/>
        <v>0</v>
      </c>
    </row>
    <row r="552" spans="1:32" ht="26.25" hidden="1" x14ac:dyDescent="0.25">
      <c r="A552" s="322" t="s">
        <v>1706</v>
      </c>
      <c r="B552" s="93" t="str">
        <f t="shared" si="134"/>
        <v>NO</v>
      </c>
      <c r="C552" s="93" t="s">
        <v>5503</v>
      </c>
      <c r="D552" s="4">
        <v>39436</v>
      </c>
      <c r="E552" s="2">
        <v>39479</v>
      </c>
      <c r="F552" s="2">
        <f t="shared" si="135"/>
        <v>43132</v>
      </c>
      <c r="G552" s="6">
        <v>1627.63</v>
      </c>
      <c r="H552" s="7" t="s">
        <v>1703</v>
      </c>
      <c r="I552" s="7" t="s">
        <v>1050</v>
      </c>
      <c r="J552" s="105" t="s">
        <v>5188</v>
      </c>
      <c r="K552" s="266">
        <f t="shared" si="136"/>
        <v>2018</v>
      </c>
      <c r="L552" s="381"/>
      <c r="M552" s="381"/>
      <c r="N552" s="32" t="s">
        <v>1676</v>
      </c>
      <c r="O552" s="32" t="s">
        <v>1704</v>
      </c>
      <c r="P552" s="278" t="s">
        <v>1689</v>
      </c>
      <c r="Q552" s="233" t="s">
        <v>1707</v>
      </c>
      <c r="R552" s="75">
        <v>5838</v>
      </c>
      <c r="S552" s="75">
        <v>0</v>
      </c>
      <c r="T552" s="75">
        <v>5838</v>
      </c>
      <c r="U552" s="203">
        <v>3256</v>
      </c>
      <c r="V552" s="287">
        <f t="shared" ca="1" si="137"/>
        <v>10</v>
      </c>
      <c r="W552" s="75">
        <f t="shared" ca="1" si="138"/>
        <v>28490</v>
      </c>
      <c r="X552" s="200">
        <f t="shared" ca="1" si="139"/>
        <v>31886</v>
      </c>
      <c r="Y552" s="1">
        <v>0.25</v>
      </c>
      <c r="Z552" s="1"/>
      <c r="AA552" s="219"/>
      <c r="AB552" s="302" t="s">
        <v>6606</v>
      </c>
      <c r="AC552" s="302"/>
      <c r="AD552" s="302"/>
      <c r="AE552" s="302"/>
      <c r="AF552">
        <f t="shared" si="133"/>
        <v>0</v>
      </c>
    </row>
    <row r="553" spans="1:32" ht="26.25" hidden="1" x14ac:dyDescent="0.25">
      <c r="A553" s="322" t="s">
        <v>1708</v>
      </c>
      <c r="B553" s="93" t="str">
        <f t="shared" si="134"/>
        <v>NO</v>
      </c>
      <c r="C553" s="93" t="s">
        <v>5503</v>
      </c>
      <c r="D553" s="4">
        <v>39436</v>
      </c>
      <c r="E553" s="2">
        <v>39479</v>
      </c>
      <c r="F553" s="2">
        <f t="shared" si="135"/>
        <v>43132</v>
      </c>
      <c r="G553" s="6">
        <v>1073.17</v>
      </c>
      <c r="H553" s="7" t="s">
        <v>1703</v>
      </c>
      <c r="I553" s="7" t="s">
        <v>1050</v>
      </c>
      <c r="J553" s="105" t="s">
        <v>5188</v>
      </c>
      <c r="K553" s="266">
        <f t="shared" si="136"/>
        <v>2018</v>
      </c>
      <c r="L553" s="381"/>
      <c r="M553" s="381"/>
      <c r="N553" s="32" t="s">
        <v>1676</v>
      </c>
      <c r="O553" s="32" t="s">
        <v>1704</v>
      </c>
      <c r="P553" s="278" t="s">
        <v>1689</v>
      </c>
      <c r="Q553" s="233" t="s">
        <v>1709</v>
      </c>
      <c r="R553" s="75">
        <v>3899</v>
      </c>
      <c r="S553" s="75">
        <v>0</v>
      </c>
      <c r="T553" s="75">
        <v>3899</v>
      </c>
      <c r="U553" s="203">
        <v>2148</v>
      </c>
      <c r="V553" s="287">
        <f t="shared" ca="1" si="137"/>
        <v>10</v>
      </c>
      <c r="W553" s="75">
        <f t="shared" ca="1" si="138"/>
        <v>18795</v>
      </c>
      <c r="X553" s="200">
        <f t="shared" ca="1" si="139"/>
        <v>21083</v>
      </c>
      <c r="Y553" s="1">
        <v>0.25</v>
      </c>
      <c r="Z553" s="1"/>
      <c r="AA553" s="219"/>
      <c r="AB553" s="302" t="s">
        <v>6607</v>
      </c>
      <c r="AC553" s="302"/>
      <c r="AD553" s="302"/>
      <c r="AE553" s="302"/>
      <c r="AF553">
        <f t="shared" si="133"/>
        <v>0</v>
      </c>
    </row>
    <row r="554" spans="1:32" ht="26.25" hidden="1" x14ac:dyDescent="0.25">
      <c r="A554" s="322" t="s">
        <v>1710</v>
      </c>
      <c r="B554" s="93" t="str">
        <f t="shared" si="134"/>
        <v>NO</v>
      </c>
      <c r="C554" s="93" t="s">
        <v>5503</v>
      </c>
      <c r="D554" s="4">
        <v>39436</v>
      </c>
      <c r="E554" s="2">
        <v>39479</v>
      </c>
      <c r="F554" s="2">
        <f t="shared" si="135"/>
        <v>43132</v>
      </c>
      <c r="G554" s="6">
        <v>1578.25</v>
      </c>
      <c r="H554" s="7" t="s">
        <v>1703</v>
      </c>
      <c r="I554" s="7" t="s">
        <v>1050</v>
      </c>
      <c r="J554" s="105" t="s">
        <v>5188</v>
      </c>
      <c r="K554" s="266">
        <f t="shared" si="136"/>
        <v>2018</v>
      </c>
      <c r="L554" s="381"/>
      <c r="M554" s="381"/>
      <c r="N554" s="32" t="s">
        <v>1676</v>
      </c>
      <c r="O554" s="32" t="s">
        <v>1704</v>
      </c>
      <c r="P554" s="278" t="s">
        <v>1689</v>
      </c>
      <c r="Q554" s="233" t="s">
        <v>1711</v>
      </c>
      <c r="R554" s="75">
        <v>5666.5</v>
      </c>
      <c r="S554" s="75">
        <v>0</v>
      </c>
      <c r="T554" s="75">
        <v>5666.5</v>
      </c>
      <c r="U554" s="203">
        <v>3158</v>
      </c>
      <c r="V554" s="287">
        <f t="shared" ca="1" si="137"/>
        <v>10</v>
      </c>
      <c r="W554" s="75">
        <f t="shared" ca="1" si="138"/>
        <v>27632.5</v>
      </c>
      <c r="X554" s="200">
        <f t="shared" ca="1" si="139"/>
        <v>30930.5</v>
      </c>
      <c r="Y554" s="1">
        <v>0.25</v>
      </c>
      <c r="Z554" s="1"/>
      <c r="AA554" s="219"/>
      <c r="AB554" s="302" t="s">
        <v>6608</v>
      </c>
      <c r="AC554" s="302"/>
      <c r="AD554" s="302"/>
      <c r="AE554" s="302"/>
      <c r="AF554">
        <f t="shared" si="133"/>
        <v>0</v>
      </c>
    </row>
    <row r="555" spans="1:32" ht="26.25" hidden="1" x14ac:dyDescent="0.25">
      <c r="A555" s="322" t="s">
        <v>1712</v>
      </c>
      <c r="B555" s="93" t="str">
        <f t="shared" si="134"/>
        <v>NO</v>
      </c>
      <c r="C555" s="93" t="s">
        <v>5503</v>
      </c>
      <c r="D555" s="4">
        <v>39436</v>
      </c>
      <c r="E555" s="2">
        <v>39479</v>
      </c>
      <c r="F555" s="2">
        <f t="shared" si="135"/>
        <v>43132</v>
      </c>
      <c r="G555" s="6">
        <v>1813.97</v>
      </c>
      <c r="H555" s="7" t="s">
        <v>1703</v>
      </c>
      <c r="I555" s="7" t="s">
        <v>1050</v>
      </c>
      <c r="J555" s="105" t="s">
        <v>5188</v>
      </c>
      <c r="K555" s="266">
        <f t="shared" si="136"/>
        <v>2018</v>
      </c>
      <c r="L555" s="381"/>
      <c r="M555" s="381"/>
      <c r="N555" s="32" t="s">
        <v>1676</v>
      </c>
      <c r="O555" s="32" t="s">
        <v>1714</v>
      </c>
      <c r="P555" s="278" t="s">
        <v>1689</v>
      </c>
      <c r="Q555" s="233" t="s">
        <v>1713</v>
      </c>
      <c r="R555" s="75">
        <v>6489</v>
      </c>
      <c r="S555" s="75">
        <v>0</v>
      </c>
      <c r="T555" s="75">
        <v>6489</v>
      </c>
      <c r="U555" s="203">
        <v>3628</v>
      </c>
      <c r="V555" s="287">
        <f t="shared" ca="1" si="137"/>
        <v>10</v>
      </c>
      <c r="W555" s="75">
        <f t="shared" ca="1" si="138"/>
        <v>31745</v>
      </c>
      <c r="X555" s="200">
        <f t="shared" ca="1" si="139"/>
        <v>35513</v>
      </c>
      <c r="Y555" s="1">
        <v>0.25</v>
      </c>
      <c r="Z555" s="1"/>
      <c r="AA555" s="219"/>
      <c r="AB555" s="302" t="s">
        <v>6609</v>
      </c>
      <c r="AC555" s="302"/>
      <c r="AD555" s="302"/>
      <c r="AE555" s="302"/>
      <c r="AF555">
        <f t="shared" si="133"/>
        <v>0</v>
      </c>
    </row>
    <row r="556" spans="1:32" ht="26.25" hidden="1" x14ac:dyDescent="0.25">
      <c r="A556" s="322" t="s">
        <v>1715</v>
      </c>
      <c r="B556" s="93" t="str">
        <f t="shared" ref="B556:B579" si="140">IF(COUNTIF(GIS,A556),"YES","NO")</f>
        <v>NO</v>
      </c>
      <c r="C556" s="93" t="s">
        <v>5503</v>
      </c>
      <c r="D556" s="4">
        <v>39436</v>
      </c>
      <c r="E556" s="2">
        <v>39479</v>
      </c>
      <c r="F556" s="2">
        <f t="shared" si="135"/>
        <v>43132</v>
      </c>
      <c r="G556" s="6">
        <v>40</v>
      </c>
      <c r="H556" s="7" t="s">
        <v>1703</v>
      </c>
      <c r="I556" s="7" t="s">
        <v>1050</v>
      </c>
      <c r="J556" s="105" t="s">
        <v>5188</v>
      </c>
      <c r="K556" s="266">
        <f t="shared" ref="K556:K579" si="141">YEAR(F556)</f>
        <v>2018</v>
      </c>
      <c r="L556" s="381"/>
      <c r="M556" s="381"/>
      <c r="N556" s="32" t="s">
        <v>1676</v>
      </c>
      <c r="O556" s="32" t="s">
        <v>1714</v>
      </c>
      <c r="P556" s="278" t="s">
        <v>1717</v>
      </c>
      <c r="Q556" s="233" t="s">
        <v>1716</v>
      </c>
      <c r="R556" s="75">
        <v>280</v>
      </c>
      <c r="S556" s="75">
        <v>0</v>
      </c>
      <c r="T556" s="75">
        <v>280</v>
      </c>
      <c r="U556" s="203">
        <v>80</v>
      </c>
      <c r="V556" s="287">
        <f t="shared" ref="V556:V579" ca="1" si="142">IF(YEAR($W$3)-YEAR(E556)&gt;9,10,IF(MONTH($W$3)&lt;MONTH(E556),YEAR($W$3)-YEAR(E556),YEAR($W$3)-YEAR(E556)+1))</f>
        <v>10</v>
      </c>
      <c r="W556" s="75">
        <f t="shared" ref="W556:W579" ca="1" si="143">IF(V556&lt;6, ROUNDUP(G556,0)*$W$6*V556, ROUNDUP(G556,0)*($W$6*5 + (V556-5)*$W$7))</f>
        <v>700</v>
      </c>
      <c r="X556" s="200">
        <f t="shared" ca="1" si="139"/>
        <v>920</v>
      </c>
      <c r="Y556" s="1">
        <v>0.25</v>
      </c>
      <c r="Z556" s="1"/>
      <c r="AA556" s="219"/>
      <c r="AB556" s="302" t="s">
        <v>6610</v>
      </c>
      <c r="AC556" s="302"/>
      <c r="AD556" s="302"/>
      <c r="AE556" s="302"/>
      <c r="AF556">
        <f t="shared" si="133"/>
        <v>0</v>
      </c>
    </row>
    <row r="557" spans="1:32" ht="39" hidden="1" x14ac:dyDescent="0.25">
      <c r="A557" s="322" t="s">
        <v>1718</v>
      </c>
      <c r="B557" s="93" t="str">
        <f t="shared" si="140"/>
        <v>NO</v>
      </c>
      <c r="C557" s="93" t="s">
        <v>5503</v>
      </c>
      <c r="D557" s="4">
        <v>39436</v>
      </c>
      <c r="E557" s="2">
        <v>39479</v>
      </c>
      <c r="F557" s="2">
        <f t="shared" si="135"/>
        <v>43132</v>
      </c>
      <c r="G557" s="6">
        <v>47.29</v>
      </c>
      <c r="H557" s="7" t="s">
        <v>1703</v>
      </c>
      <c r="I557" s="7" t="s">
        <v>1050</v>
      </c>
      <c r="J557" s="105" t="s">
        <v>5188</v>
      </c>
      <c r="K557" s="266">
        <f t="shared" si="141"/>
        <v>2018</v>
      </c>
      <c r="L557" s="381"/>
      <c r="M557" s="381"/>
      <c r="N557" s="32" t="s">
        <v>1676</v>
      </c>
      <c r="O557" s="32" t="s">
        <v>1720</v>
      </c>
      <c r="P557" s="278" t="s">
        <v>1721</v>
      </c>
      <c r="Q557" s="233" t="s">
        <v>1719</v>
      </c>
      <c r="R557" s="75">
        <v>308</v>
      </c>
      <c r="S557" s="75">
        <v>0</v>
      </c>
      <c r="T557" s="75">
        <v>308</v>
      </c>
      <c r="U557" s="203">
        <v>96</v>
      </c>
      <c r="V557" s="287">
        <f t="shared" ca="1" si="142"/>
        <v>10</v>
      </c>
      <c r="W557" s="75">
        <f t="shared" ca="1" si="143"/>
        <v>840</v>
      </c>
      <c r="X557" s="200">
        <f t="shared" ca="1" si="139"/>
        <v>1076</v>
      </c>
      <c r="Y557" s="1">
        <v>0.25</v>
      </c>
      <c r="Z557" s="1"/>
      <c r="AA557" s="219"/>
      <c r="AB557" s="302" t="s">
        <v>6611</v>
      </c>
      <c r="AC557" s="302"/>
      <c r="AD557" s="302"/>
      <c r="AE557" s="302"/>
      <c r="AF557">
        <f t="shared" si="133"/>
        <v>0</v>
      </c>
    </row>
    <row r="558" spans="1:32" ht="26.25" hidden="1" x14ac:dyDescent="0.25">
      <c r="A558" s="322" t="s">
        <v>1722</v>
      </c>
      <c r="B558" s="93" t="str">
        <f t="shared" si="140"/>
        <v>NO</v>
      </c>
      <c r="C558" s="93" t="s">
        <v>5503</v>
      </c>
      <c r="D558" s="4">
        <v>39436</v>
      </c>
      <c r="E558" s="2">
        <v>39479</v>
      </c>
      <c r="F558" s="2">
        <f t="shared" si="135"/>
        <v>43132</v>
      </c>
      <c r="G558" s="6">
        <v>95</v>
      </c>
      <c r="H558" s="7" t="s">
        <v>1724</v>
      </c>
      <c r="I558" s="7" t="s">
        <v>1725</v>
      </c>
      <c r="J558" s="105" t="s">
        <v>5188</v>
      </c>
      <c r="K558" s="266">
        <f t="shared" si="141"/>
        <v>2018</v>
      </c>
      <c r="L558" s="381"/>
      <c r="M558" s="381"/>
      <c r="N558" s="32" t="s">
        <v>1726</v>
      </c>
      <c r="O558" s="32" t="s">
        <v>1727</v>
      </c>
      <c r="P558" s="278"/>
      <c r="Q558" s="233" t="s">
        <v>1723</v>
      </c>
      <c r="R558" s="75">
        <v>472.5</v>
      </c>
      <c r="S558" s="75">
        <v>1045</v>
      </c>
      <c r="T558" s="75">
        <v>1517.5</v>
      </c>
      <c r="U558" s="203">
        <v>190</v>
      </c>
      <c r="V558" s="287">
        <f t="shared" ca="1" si="142"/>
        <v>10</v>
      </c>
      <c r="W558" s="75">
        <f t="shared" ca="1" si="143"/>
        <v>1662.5</v>
      </c>
      <c r="X558" s="200">
        <f t="shared" ca="1" si="139"/>
        <v>3037.5</v>
      </c>
      <c r="Y558" s="1">
        <v>0.25</v>
      </c>
      <c r="Z558" s="1"/>
      <c r="AA558" s="219"/>
      <c r="AB558" s="302"/>
      <c r="AC558" s="302"/>
      <c r="AD558" s="302"/>
      <c r="AE558" s="302"/>
      <c r="AF558">
        <f t="shared" si="133"/>
        <v>0</v>
      </c>
    </row>
    <row r="559" spans="1:32" ht="26.25" hidden="1" x14ac:dyDescent="0.25">
      <c r="A559" s="322" t="s">
        <v>1728</v>
      </c>
      <c r="B559" s="93" t="str">
        <f t="shared" si="140"/>
        <v>NO</v>
      </c>
      <c r="C559" s="93" t="s">
        <v>5503</v>
      </c>
      <c r="D559" s="4">
        <v>39436</v>
      </c>
      <c r="E559" s="2">
        <v>39479</v>
      </c>
      <c r="F559" s="2">
        <f t="shared" si="135"/>
        <v>43132</v>
      </c>
      <c r="G559" s="6">
        <v>532</v>
      </c>
      <c r="H559" s="7" t="s">
        <v>1724</v>
      </c>
      <c r="I559" s="7" t="s">
        <v>1725</v>
      </c>
      <c r="J559" s="105" t="s">
        <v>5188</v>
      </c>
      <c r="K559" s="266">
        <f t="shared" si="141"/>
        <v>2018</v>
      </c>
      <c r="L559" s="381"/>
      <c r="M559" s="381"/>
      <c r="N559" s="32" t="s">
        <v>1726</v>
      </c>
      <c r="O559" s="32" t="s">
        <v>1730</v>
      </c>
      <c r="P559" s="278"/>
      <c r="Q559" s="233" t="s">
        <v>1729</v>
      </c>
      <c r="R559" s="75">
        <v>2002</v>
      </c>
      <c r="S559" s="75">
        <v>4788</v>
      </c>
      <c r="T559" s="75">
        <v>6790</v>
      </c>
      <c r="U559" s="203">
        <v>1064</v>
      </c>
      <c r="V559" s="287">
        <f t="shared" ca="1" si="142"/>
        <v>10</v>
      </c>
      <c r="W559" s="75">
        <f t="shared" ca="1" si="143"/>
        <v>9310</v>
      </c>
      <c r="X559" s="200">
        <f t="shared" ca="1" si="139"/>
        <v>15302</v>
      </c>
      <c r="Y559" s="1">
        <v>0.25</v>
      </c>
      <c r="Z559" s="1"/>
      <c r="AA559" s="219"/>
      <c r="AB559" s="302"/>
      <c r="AC559" s="302"/>
      <c r="AD559" s="302"/>
      <c r="AE559" s="302"/>
      <c r="AF559">
        <f t="shared" si="133"/>
        <v>0</v>
      </c>
    </row>
    <row r="560" spans="1:32" ht="26.25" hidden="1" x14ac:dyDescent="0.25">
      <c r="A560" s="322" t="s">
        <v>1731</v>
      </c>
      <c r="B560" s="93" t="str">
        <f t="shared" si="140"/>
        <v>NO</v>
      </c>
      <c r="C560" s="93" t="s">
        <v>5503</v>
      </c>
      <c r="D560" s="4">
        <v>39436</v>
      </c>
      <c r="E560" s="2">
        <v>39479</v>
      </c>
      <c r="F560" s="2">
        <f t="shared" si="135"/>
        <v>43132</v>
      </c>
      <c r="G560" s="6">
        <v>455</v>
      </c>
      <c r="H560" s="7" t="s">
        <v>1724</v>
      </c>
      <c r="I560" s="7" t="s">
        <v>1725</v>
      </c>
      <c r="J560" s="105" t="s">
        <v>5188</v>
      </c>
      <c r="K560" s="266">
        <f t="shared" si="141"/>
        <v>2018</v>
      </c>
      <c r="L560" s="381"/>
      <c r="M560" s="381"/>
      <c r="N560" s="32" t="s">
        <v>1726</v>
      </c>
      <c r="O560" s="32" t="s">
        <v>1733</v>
      </c>
      <c r="P560" s="278"/>
      <c r="Q560" s="233" t="s">
        <v>1732</v>
      </c>
      <c r="R560" s="75">
        <v>1732.5</v>
      </c>
      <c r="S560" s="75">
        <v>3640</v>
      </c>
      <c r="T560" s="75">
        <v>5372.5</v>
      </c>
      <c r="U560" s="203">
        <v>910</v>
      </c>
      <c r="V560" s="287">
        <f t="shared" ca="1" si="142"/>
        <v>10</v>
      </c>
      <c r="W560" s="75">
        <f t="shared" ca="1" si="143"/>
        <v>7962.5</v>
      </c>
      <c r="X560" s="200">
        <f t="shared" ca="1" si="139"/>
        <v>12652.5</v>
      </c>
      <c r="Y560" s="1">
        <v>0.25</v>
      </c>
      <c r="Z560" s="1"/>
      <c r="AA560" s="219"/>
      <c r="AB560" s="302"/>
      <c r="AC560" s="302"/>
      <c r="AD560" s="302"/>
      <c r="AE560" s="302"/>
      <c r="AF560">
        <f t="shared" si="133"/>
        <v>0</v>
      </c>
    </row>
    <row r="561" spans="1:32" ht="26.25" hidden="1" x14ac:dyDescent="0.25">
      <c r="A561" s="322" t="s">
        <v>1734</v>
      </c>
      <c r="B561" s="93" t="str">
        <f t="shared" si="140"/>
        <v>NO</v>
      </c>
      <c r="C561" s="93" t="s">
        <v>5503</v>
      </c>
      <c r="D561" s="4">
        <v>39436</v>
      </c>
      <c r="E561" s="2">
        <v>39479</v>
      </c>
      <c r="F561" s="2">
        <f t="shared" si="135"/>
        <v>43132</v>
      </c>
      <c r="G561" s="6">
        <v>260</v>
      </c>
      <c r="H561" s="7" t="s">
        <v>1724</v>
      </c>
      <c r="I561" s="7" t="s">
        <v>1725</v>
      </c>
      <c r="J561" s="105" t="s">
        <v>5188</v>
      </c>
      <c r="K561" s="266">
        <f t="shared" si="141"/>
        <v>2018</v>
      </c>
      <c r="L561" s="381"/>
      <c r="M561" s="381"/>
      <c r="N561" s="32" t="s">
        <v>1726</v>
      </c>
      <c r="O561" s="32" t="s">
        <v>1736</v>
      </c>
      <c r="P561" s="278"/>
      <c r="Q561" s="233" t="s">
        <v>1735</v>
      </c>
      <c r="R561" s="75">
        <v>1050</v>
      </c>
      <c r="S561" s="75">
        <v>2340</v>
      </c>
      <c r="T561" s="75">
        <v>3390</v>
      </c>
      <c r="U561" s="203">
        <v>520</v>
      </c>
      <c r="V561" s="287">
        <f t="shared" ca="1" si="142"/>
        <v>10</v>
      </c>
      <c r="W561" s="75">
        <f t="shared" ca="1" si="143"/>
        <v>4550</v>
      </c>
      <c r="X561" s="200">
        <f t="shared" ca="1" si="139"/>
        <v>7550</v>
      </c>
      <c r="Y561" s="1">
        <v>0.25</v>
      </c>
      <c r="Z561" s="1"/>
      <c r="AA561" s="219"/>
      <c r="AB561" s="302"/>
      <c r="AC561" s="302"/>
      <c r="AD561" s="302"/>
      <c r="AE561" s="302"/>
      <c r="AF561">
        <f t="shared" si="133"/>
        <v>0</v>
      </c>
    </row>
    <row r="562" spans="1:32" ht="26.25" hidden="1" x14ac:dyDescent="0.25">
      <c r="A562" s="322" t="s">
        <v>1737</v>
      </c>
      <c r="B562" s="93" t="str">
        <f t="shared" si="140"/>
        <v>NO</v>
      </c>
      <c r="C562" s="93" t="s">
        <v>5503</v>
      </c>
      <c r="D562" s="4">
        <v>39436</v>
      </c>
      <c r="E562" s="2">
        <v>39479</v>
      </c>
      <c r="F562" s="2">
        <f t="shared" si="135"/>
        <v>43132</v>
      </c>
      <c r="G562" s="6">
        <v>348</v>
      </c>
      <c r="H562" s="7" t="s">
        <v>1724</v>
      </c>
      <c r="I562" s="7" t="s">
        <v>1725</v>
      </c>
      <c r="J562" s="105" t="s">
        <v>5188</v>
      </c>
      <c r="K562" s="266">
        <f t="shared" si="141"/>
        <v>2018</v>
      </c>
      <c r="L562" s="381"/>
      <c r="M562" s="381"/>
      <c r="N562" s="32" t="s">
        <v>1726</v>
      </c>
      <c r="O562" s="32" t="s">
        <v>1739</v>
      </c>
      <c r="P562" s="278"/>
      <c r="Q562" s="233" t="s">
        <v>1738</v>
      </c>
      <c r="R562" s="75">
        <v>1358</v>
      </c>
      <c r="S562" s="75">
        <v>3132</v>
      </c>
      <c r="T562" s="75">
        <v>4490</v>
      </c>
      <c r="U562" s="203">
        <v>696</v>
      </c>
      <c r="V562" s="287">
        <f t="shared" ca="1" si="142"/>
        <v>10</v>
      </c>
      <c r="W562" s="75">
        <f t="shared" ca="1" si="143"/>
        <v>6090</v>
      </c>
      <c r="X562" s="200">
        <f t="shared" ca="1" si="139"/>
        <v>10058</v>
      </c>
      <c r="Y562" s="1">
        <v>0.25</v>
      </c>
      <c r="Z562" s="1"/>
      <c r="AA562" s="219"/>
      <c r="AB562" s="302"/>
      <c r="AC562" s="302"/>
      <c r="AD562" s="302"/>
      <c r="AE562" s="302"/>
      <c r="AF562">
        <f t="shared" si="133"/>
        <v>0</v>
      </c>
    </row>
    <row r="563" spans="1:32" ht="26.25" hidden="1" x14ac:dyDescent="0.25">
      <c r="A563" s="322" t="s">
        <v>1740</v>
      </c>
      <c r="B563" s="93" t="str">
        <f t="shared" si="140"/>
        <v>NO</v>
      </c>
      <c r="C563" s="93" t="s">
        <v>5503</v>
      </c>
      <c r="D563" s="4">
        <v>39436</v>
      </c>
      <c r="E563" s="2">
        <v>39479</v>
      </c>
      <c r="F563" s="2">
        <f t="shared" si="135"/>
        <v>43132</v>
      </c>
      <c r="G563" s="6">
        <v>415</v>
      </c>
      <c r="H563" s="7" t="s">
        <v>1724</v>
      </c>
      <c r="I563" s="7" t="s">
        <v>1725</v>
      </c>
      <c r="J563" s="105" t="s">
        <v>5188</v>
      </c>
      <c r="K563" s="266">
        <f t="shared" si="141"/>
        <v>2018</v>
      </c>
      <c r="L563" s="381"/>
      <c r="M563" s="381"/>
      <c r="N563" s="32" t="s">
        <v>1726</v>
      </c>
      <c r="O563" s="32" t="s">
        <v>1742</v>
      </c>
      <c r="P563" s="278"/>
      <c r="Q563" s="233" t="s">
        <v>1741</v>
      </c>
      <c r="R563" s="75">
        <v>1592.5</v>
      </c>
      <c r="S563" s="75">
        <v>3735</v>
      </c>
      <c r="T563" s="75">
        <v>5327.5</v>
      </c>
      <c r="U563" s="203">
        <v>830</v>
      </c>
      <c r="V563" s="287">
        <f t="shared" ca="1" si="142"/>
        <v>10</v>
      </c>
      <c r="W563" s="75">
        <f t="shared" ca="1" si="143"/>
        <v>7262.5</v>
      </c>
      <c r="X563" s="200">
        <f t="shared" ca="1" si="139"/>
        <v>11967.5</v>
      </c>
      <c r="Y563" s="1">
        <v>0.25</v>
      </c>
      <c r="Z563" s="1"/>
      <c r="AA563" s="219"/>
      <c r="AB563" s="302"/>
      <c r="AC563" s="302"/>
      <c r="AD563" s="302"/>
      <c r="AE563" s="302"/>
      <c r="AF563">
        <f t="shared" si="133"/>
        <v>0</v>
      </c>
    </row>
    <row r="564" spans="1:32" ht="26.25" hidden="1" x14ac:dyDescent="0.25">
      <c r="A564" s="322" t="s">
        <v>1743</v>
      </c>
      <c r="B564" s="93" t="str">
        <f t="shared" si="140"/>
        <v>NO</v>
      </c>
      <c r="C564" s="93" t="s">
        <v>5503</v>
      </c>
      <c r="D564" s="4">
        <v>39436</v>
      </c>
      <c r="E564" s="2">
        <v>39479</v>
      </c>
      <c r="F564" s="2">
        <f t="shared" si="135"/>
        <v>43132</v>
      </c>
      <c r="G564" s="6">
        <v>248</v>
      </c>
      <c r="H564" s="7" t="s">
        <v>1724</v>
      </c>
      <c r="I564" s="7" t="s">
        <v>1725</v>
      </c>
      <c r="J564" s="105" t="s">
        <v>5188</v>
      </c>
      <c r="K564" s="266">
        <f t="shared" si="141"/>
        <v>2018</v>
      </c>
      <c r="L564" s="381"/>
      <c r="M564" s="381"/>
      <c r="N564" s="32" t="s">
        <v>1726</v>
      </c>
      <c r="O564" s="32" t="s">
        <v>1745</v>
      </c>
      <c r="P564" s="278"/>
      <c r="Q564" s="233" t="s">
        <v>1744</v>
      </c>
      <c r="R564" s="75">
        <v>1008</v>
      </c>
      <c r="S564" s="75">
        <v>2232</v>
      </c>
      <c r="T564" s="75">
        <v>3240</v>
      </c>
      <c r="U564" s="203">
        <v>496</v>
      </c>
      <c r="V564" s="287">
        <f t="shared" ca="1" si="142"/>
        <v>10</v>
      </c>
      <c r="W564" s="75">
        <f t="shared" ca="1" si="143"/>
        <v>4340</v>
      </c>
      <c r="X564" s="200">
        <f t="shared" ca="1" si="139"/>
        <v>7208</v>
      </c>
      <c r="Y564" s="1">
        <v>0.25</v>
      </c>
      <c r="Z564" s="1"/>
      <c r="AA564" s="219"/>
      <c r="AB564" s="302"/>
      <c r="AC564" s="302"/>
      <c r="AD564" s="302"/>
      <c r="AE564" s="302"/>
      <c r="AF564">
        <f t="shared" si="133"/>
        <v>0</v>
      </c>
    </row>
    <row r="565" spans="1:32" ht="26.25" hidden="1" x14ac:dyDescent="0.25">
      <c r="A565" s="322" t="s">
        <v>1746</v>
      </c>
      <c r="B565" s="93" t="str">
        <f t="shared" si="140"/>
        <v>NO</v>
      </c>
      <c r="C565" s="93" t="s">
        <v>5503</v>
      </c>
      <c r="D565" s="4">
        <v>39436</v>
      </c>
      <c r="E565" s="2">
        <v>39479</v>
      </c>
      <c r="F565" s="2">
        <f t="shared" si="135"/>
        <v>43132</v>
      </c>
      <c r="G565" s="6">
        <v>661</v>
      </c>
      <c r="H565" s="7" t="s">
        <v>1724</v>
      </c>
      <c r="I565" s="7" t="s">
        <v>1725</v>
      </c>
      <c r="J565" s="105" t="s">
        <v>5188</v>
      </c>
      <c r="K565" s="266">
        <f t="shared" si="141"/>
        <v>2018</v>
      </c>
      <c r="L565" s="381"/>
      <c r="M565" s="381"/>
      <c r="N565" s="32" t="s">
        <v>1726</v>
      </c>
      <c r="O565" s="32" t="s">
        <v>1748</v>
      </c>
      <c r="P565" s="278"/>
      <c r="Q565" s="233" t="s">
        <v>1747</v>
      </c>
      <c r="R565" s="75">
        <v>2453.5</v>
      </c>
      <c r="S565" s="75">
        <v>5949</v>
      </c>
      <c r="T565" s="75">
        <v>8402.5</v>
      </c>
      <c r="U565" s="203">
        <v>1322</v>
      </c>
      <c r="V565" s="287">
        <f t="shared" ca="1" si="142"/>
        <v>10</v>
      </c>
      <c r="W565" s="75">
        <f t="shared" ca="1" si="143"/>
        <v>11567.5</v>
      </c>
      <c r="X565" s="200">
        <f t="shared" ca="1" si="139"/>
        <v>18978.5</v>
      </c>
      <c r="Y565" s="1">
        <v>0.25</v>
      </c>
      <c r="Z565" s="1"/>
      <c r="AA565" s="219"/>
      <c r="AB565" s="302"/>
      <c r="AC565" s="302"/>
      <c r="AD565" s="302"/>
      <c r="AE565" s="302"/>
      <c r="AF565">
        <f t="shared" si="133"/>
        <v>0</v>
      </c>
    </row>
    <row r="566" spans="1:32" ht="26.25" hidden="1" x14ac:dyDescent="0.25">
      <c r="A566" s="322" t="s">
        <v>1749</v>
      </c>
      <c r="B566" s="93" t="str">
        <f t="shared" si="140"/>
        <v>NO</v>
      </c>
      <c r="C566" s="93" t="s">
        <v>5503</v>
      </c>
      <c r="D566" s="4">
        <v>39436</v>
      </c>
      <c r="E566" s="2">
        <v>39479</v>
      </c>
      <c r="F566" s="2">
        <f t="shared" si="135"/>
        <v>43132</v>
      </c>
      <c r="G566" s="6">
        <v>334</v>
      </c>
      <c r="H566" s="7" t="s">
        <v>1724</v>
      </c>
      <c r="I566" s="7" t="s">
        <v>1725</v>
      </c>
      <c r="J566" s="105" t="s">
        <v>5188</v>
      </c>
      <c r="K566" s="266">
        <f t="shared" si="141"/>
        <v>2018</v>
      </c>
      <c r="L566" s="381"/>
      <c r="M566" s="381"/>
      <c r="N566" s="32" t="s">
        <v>1726</v>
      </c>
      <c r="O566" s="32" t="s">
        <v>1751</v>
      </c>
      <c r="P566" s="278"/>
      <c r="Q566" s="233" t="s">
        <v>1750</v>
      </c>
      <c r="R566" s="75">
        <v>1309</v>
      </c>
      <c r="S566" s="75">
        <v>3340</v>
      </c>
      <c r="T566" s="75">
        <v>4649</v>
      </c>
      <c r="U566" s="203">
        <v>668</v>
      </c>
      <c r="V566" s="287">
        <f t="shared" ca="1" si="142"/>
        <v>10</v>
      </c>
      <c r="W566" s="75">
        <f t="shared" ca="1" si="143"/>
        <v>5845</v>
      </c>
      <c r="X566" s="200">
        <f t="shared" ca="1" si="139"/>
        <v>9993</v>
      </c>
      <c r="Y566" s="1">
        <v>0.25</v>
      </c>
      <c r="Z566" s="1"/>
      <c r="AA566" s="219"/>
      <c r="AB566" s="302"/>
      <c r="AC566" s="302"/>
      <c r="AD566" s="302"/>
      <c r="AE566" s="302"/>
      <c r="AF566">
        <f t="shared" si="133"/>
        <v>0</v>
      </c>
    </row>
    <row r="567" spans="1:32" ht="26.25" hidden="1" x14ac:dyDescent="0.25">
      <c r="A567" s="322" t="s">
        <v>1752</v>
      </c>
      <c r="B567" s="93" t="str">
        <f t="shared" si="140"/>
        <v>NO</v>
      </c>
      <c r="C567" s="93" t="s">
        <v>5503</v>
      </c>
      <c r="D567" s="4">
        <v>39436</v>
      </c>
      <c r="E567" s="2">
        <v>39479</v>
      </c>
      <c r="F567" s="2">
        <f t="shared" si="135"/>
        <v>43132</v>
      </c>
      <c r="G567" s="6">
        <v>185</v>
      </c>
      <c r="H567" s="7" t="s">
        <v>1724</v>
      </c>
      <c r="I567" s="7" t="s">
        <v>1725</v>
      </c>
      <c r="J567" s="105" t="s">
        <v>5188</v>
      </c>
      <c r="K567" s="266">
        <f t="shared" si="141"/>
        <v>2018</v>
      </c>
      <c r="L567" s="381"/>
      <c r="M567" s="381"/>
      <c r="N567" s="32" t="s">
        <v>1726</v>
      </c>
      <c r="O567" s="32" t="s">
        <v>1754</v>
      </c>
      <c r="P567" s="278"/>
      <c r="Q567" s="233" t="s">
        <v>1753</v>
      </c>
      <c r="R567" s="75">
        <v>787.5</v>
      </c>
      <c r="S567" s="75">
        <v>1665</v>
      </c>
      <c r="T567" s="75">
        <v>2452.5</v>
      </c>
      <c r="U567" s="203">
        <v>370</v>
      </c>
      <c r="V567" s="287">
        <f t="shared" ca="1" si="142"/>
        <v>10</v>
      </c>
      <c r="W567" s="75">
        <f t="shared" ca="1" si="143"/>
        <v>3237.5</v>
      </c>
      <c r="X567" s="200">
        <f t="shared" ca="1" si="139"/>
        <v>5412.5</v>
      </c>
      <c r="Y567" s="1">
        <v>0.25</v>
      </c>
      <c r="Z567" s="1"/>
      <c r="AA567" s="219"/>
      <c r="AB567" s="302"/>
      <c r="AC567" s="302"/>
      <c r="AD567" s="302"/>
      <c r="AE567" s="302"/>
      <c r="AF567">
        <f t="shared" si="133"/>
        <v>0</v>
      </c>
    </row>
    <row r="568" spans="1:32" ht="26.25" hidden="1" x14ac:dyDescent="0.25">
      <c r="A568" s="322" t="s">
        <v>1755</v>
      </c>
      <c r="B568" s="93" t="str">
        <f t="shared" si="140"/>
        <v>NO</v>
      </c>
      <c r="C568" s="93" t="s">
        <v>5503</v>
      </c>
      <c r="D568" s="4">
        <v>39436</v>
      </c>
      <c r="E568" s="2">
        <v>39479</v>
      </c>
      <c r="F568" s="2">
        <f t="shared" si="135"/>
        <v>43132</v>
      </c>
      <c r="G568" s="6">
        <v>82</v>
      </c>
      <c r="H568" s="7" t="s">
        <v>1724</v>
      </c>
      <c r="I568" s="7" t="s">
        <v>1725</v>
      </c>
      <c r="J568" s="105" t="s">
        <v>5188</v>
      </c>
      <c r="K568" s="266">
        <f t="shared" si="141"/>
        <v>2018</v>
      </c>
      <c r="L568" s="381"/>
      <c r="M568" s="381"/>
      <c r="N568" s="32" t="s">
        <v>1726</v>
      </c>
      <c r="O568" s="32" t="s">
        <v>1757</v>
      </c>
      <c r="P568" s="278"/>
      <c r="Q568" s="233" t="s">
        <v>1756</v>
      </c>
      <c r="R568" s="75">
        <v>427</v>
      </c>
      <c r="S568" s="75">
        <v>902</v>
      </c>
      <c r="T568" s="75">
        <v>1329</v>
      </c>
      <c r="U568" s="203">
        <v>164</v>
      </c>
      <c r="V568" s="287">
        <f t="shared" ca="1" si="142"/>
        <v>10</v>
      </c>
      <c r="W568" s="75">
        <f t="shared" ca="1" si="143"/>
        <v>1435</v>
      </c>
      <c r="X568" s="200">
        <f t="shared" ca="1" si="139"/>
        <v>2641</v>
      </c>
      <c r="Y568" s="1">
        <v>0.25</v>
      </c>
      <c r="Z568" s="1"/>
      <c r="AA568" s="219"/>
      <c r="AB568" s="302"/>
      <c r="AC568" s="302"/>
      <c r="AD568" s="302"/>
      <c r="AE568" s="302"/>
      <c r="AF568">
        <f t="shared" si="133"/>
        <v>0</v>
      </c>
    </row>
    <row r="569" spans="1:32" ht="26.25" hidden="1" x14ac:dyDescent="0.25">
      <c r="A569" s="322" t="s">
        <v>1758</v>
      </c>
      <c r="B569" s="93" t="str">
        <f t="shared" si="140"/>
        <v>NO</v>
      </c>
      <c r="C569" s="93" t="s">
        <v>5503</v>
      </c>
      <c r="D569" s="4">
        <v>39436</v>
      </c>
      <c r="E569" s="2">
        <v>39479</v>
      </c>
      <c r="F569" s="2">
        <f t="shared" si="135"/>
        <v>43132</v>
      </c>
      <c r="G569" s="6">
        <v>400</v>
      </c>
      <c r="H569" s="7" t="s">
        <v>1724</v>
      </c>
      <c r="I569" s="7" t="s">
        <v>1725</v>
      </c>
      <c r="J569" s="105" t="s">
        <v>5188</v>
      </c>
      <c r="K569" s="266">
        <f t="shared" si="141"/>
        <v>2018</v>
      </c>
      <c r="L569" s="381"/>
      <c r="M569" s="381"/>
      <c r="N569" s="32" t="s">
        <v>1726</v>
      </c>
      <c r="O569" s="32" t="s">
        <v>1760</v>
      </c>
      <c r="P569" s="278"/>
      <c r="Q569" s="233" t="s">
        <v>1759</v>
      </c>
      <c r="R569" s="75">
        <v>1540</v>
      </c>
      <c r="S569" s="75">
        <v>4000</v>
      </c>
      <c r="T569" s="75">
        <v>5540</v>
      </c>
      <c r="U569" s="203">
        <v>800</v>
      </c>
      <c r="V569" s="287">
        <f t="shared" ca="1" si="142"/>
        <v>10</v>
      </c>
      <c r="W569" s="75">
        <f t="shared" ca="1" si="143"/>
        <v>7000</v>
      </c>
      <c r="X569" s="200">
        <f t="shared" ca="1" si="139"/>
        <v>11940</v>
      </c>
      <c r="Y569" s="1">
        <v>0.25</v>
      </c>
      <c r="Z569" s="1"/>
      <c r="AA569" s="219"/>
      <c r="AB569" s="302"/>
      <c r="AC569" s="302"/>
      <c r="AD569" s="302"/>
      <c r="AE569" s="302"/>
      <c r="AF569">
        <f t="shared" si="133"/>
        <v>0</v>
      </c>
    </row>
    <row r="570" spans="1:32" ht="26.25" hidden="1" x14ac:dyDescent="0.25">
      <c r="A570" s="322" t="s">
        <v>1761</v>
      </c>
      <c r="B570" s="93" t="str">
        <f t="shared" si="140"/>
        <v>NO</v>
      </c>
      <c r="C570" s="93" t="s">
        <v>5503</v>
      </c>
      <c r="D570" s="4">
        <v>39436</v>
      </c>
      <c r="E570" s="2">
        <v>39479</v>
      </c>
      <c r="F570" s="2">
        <f t="shared" si="135"/>
        <v>43132</v>
      </c>
      <c r="G570" s="6">
        <v>578</v>
      </c>
      <c r="H570" s="7" t="s">
        <v>1724</v>
      </c>
      <c r="I570" s="7" t="s">
        <v>1725</v>
      </c>
      <c r="J570" s="105" t="s">
        <v>5188</v>
      </c>
      <c r="K570" s="266">
        <f t="shared" si="141"/>
        <v>2018</v>
      </c>
      <c r="L570" s="381"/>
      <c r="M570" s="381"/>
      <c r="N570" s="32" t="s">
        <v>1726</v>
      </c>
      <c r="O570" s="32" t="s">
        <v>1763</v>
      </c>
      <c r="P570" s="278"/>
      <c r="Q570" s="233" t="s">
        <v>1762</v>
      </c>
      <c r="R570" s="75">
        <v>2163</v>
      </c>
      <c r="S570" s="75">
        <v>5202</v>
      </c>
      <c r="T570" s="75">
        <v>7365</v>
      </c>
      <c r="U570" s="203">
        <v>1156</v>
      </c>
      <c r="V570" s="287">
        <f t="shared" ca="1" si="142"/>
        <v>10</v>
      </c>
      <c r="W570" s="75">
        <f t="shared" ca="1" si="143"/>
        <v>10115</v>
      </c>
      <c r="X570" s="200">
        <f t="shared" ca="1" si="139"/>
        <v>16613</v>
      </c>
      <c r="Y570" s="1">
        <v>0.25</v>
      </c>
      <c r="Z570" s="1"/>
      <c r="AA570" s="219"/>
      <c r="AB570" s="302"/>
      <c r="AC570" s="302"/>
      <c r="AD570" s="302"/>
      <c r="AE570" s="302"/>
      <c r="AF570">
        <f t="shared" si="133"/>
        <v>0</v>
      </c>
    </row>
    <row r="571" spans="1:32" ht="26.25" hidden="1" x14ac:dyDescent="0.25">
      <c r="A571" s="322" t="s">
        <v>1764</v>
      </c>
      <c r="B571" s="93" t="str">
        <f t="shared" si="140"/>
        <v>NO</v>
      </c>
      <c r="C571" s="93" t="s">
        <v>5503</v>
      </c>
      <c r="D571" s="4">
        <v>39436</v>
      </c>
      <c r="E571" s="2">
        <v>39479</v>
      </c>
      <c r="F571" s="2">
        <f t="shared" si="135"/>
        <v>43132</v>
      </c>
      <c r="G571" s="6">
        <v>79</v>
      </c>
      <c r="H571" s="7" t="s">
        <v>1724</v>
      </c>
      <c r="I571" s="7" t="s">
        <v>1725</v>
      </c>
      <c r="J571" s="105" t="s">
        <v>5188</v>
      </c>
      <c r="K571" s="266">
        <f t="shared" si="141"/>
        <v>2018</v>
      </c>
      <c r="L571" s="381"/>
      <c r="M571" s="381"/>
      <c r="N571" s="32" t="s">
        <v>1726</v>
      </c>
      <c r="O571" s="32" t="s">
        <v>1766</v>
      </c>
      <c r="P571" s="278"/>
      <c r="Q571" s="233" t="s">
        <v>1765</v>
      </c>
      <c r="R571" s="75">
        <v>416.5</v>
      </c>
      <c r="S571" s="75">
        <v>711</v>
      </c>
      <c r="T571" s="75">
        <v>1127.5</v>
      </c>
      <c r="U571" s="203">
        <v>158</v>
      </c>
      <c r="V571" s="287">
        <f t="shared" ca="1" si="142"/>
        <v>10</v>
      </c>
      <c r="W571" s="75">
        <f t="shared" ca="1" si="143"/>
        <v>1382.5</v>
      </c>
      <c r="X571" s="200">
        <f t="shared" ca="1" si="139"/>
        <v>2391.5</v>
      </c>
      <c r="Y571" s="1">
        <v>0.25</v>
      </c>
      <c r="Z571" s="1"/>
      <c r="AA571" s="219"/>
      <c r="AB571" s="302"/>
      <c r="AC571" s="302"/>
      <c r="AD571" s="302"/>
      <c r="AE571" s="302"/>
      <c r="AF571">
        <f t="shared" si="133"/>
        <v>0</v>
      </c>
    </row>
    <row r="572" spans="1:32" ht="26.25" hidden="1" x14ac:dyDescent="0.25">
      <c r="A572" s="322" t="s">
        <v>1767</v>
      </c>
      <c r="B572" s="93" t="str">
        <f t="shared" si="140"/>
        <v>NO</v>
      </c>
      <c r="C572" s="93" t="s">
        <v>5503</v>
      </c>
      <c r="D572" s="4">
        <v>39436</v>
      </c>
      <c r="E572" s="2">
        <v>39479</v>
      </c>
      <c r="F572" s="2">
        <f t="shared" si="135"/>
        <v>43132</v>
      </c>
      <c r="G572" s="6">
        <v>250.3</v>
      </c>
      <c r="H572" s="7" t="s">
        <v>1724</v>
      </c>
      <c r="I572" s="7" t="s">
        <v>1725</v>
      </c>
      <c r="J572" s="105" t="s">
        <v>5188</v>
      </c>
      <c r="K572" s="266">
        <f t="shared" si="141"/>
        <v>2018</v>
      </c>
      <c r="L572" s="381"/>
      <c r="M572" s="381"/>
      <c r="N572" s="32" t="s">
        <v>1726</v>
      </c>
      <c r="O572" s="32" t="s">
        <v>1769</v>
      </c>
      <c r="P572" s="278"/>
      <c r="Q572" s="233" t="s">
        <v>1768</v>
      </c>
      <c r="R572" s="75">
        <v>1018.5</v>
      </c>
      <c r="S572" s="75">
        <v>3765</v>
      </c>
      <c r="T572" s="75">
        <v>4783.5</v>
      </c>
      <c r="U572" s="203">
        <v>502</v>
      </c>
      <c r="V572" s="287">
        <f t="shared" ca="1" si="142"/>
        <v>10</v>
      </c>
      <c r="W572" s="75">
        <f t="shared" ca="1" si="143"/>
        <v>4392.5</v>
      </c>
      <c r="X572" s="200">
        <f t="shared" ca="1" si="139"/>
        <v>8799.5</v>
      </c>
      <c r="Y572" s="1">
        <v>0.25</v>
      </c>
      <c r="Z572" s="1"/>
      <c r="AA572" s="219"/>
      <c r="AB572" s="302"/>
      <c r="AC572" s="302"/>
      <c r="AD572" s="302"/>
      <c r="AE572" s="302"/>
      <c r="AF572">
        <f t="shared" si="133"/>
        <v>0</v>
      </c>
    </row>
    <row r="573" spans="1:32" ht="26.25" hidden="1" x14ac:dyDescent="0.25">
      <c r="A573" s="322" t="s">
        <v>1770</v>
      </c>
      <c r="B573" s="93" t="str">
        <f t="shared" si="140"/>
        <v>NO</v>
      </c>
      <c r="C573" s="93" t="s">
        <v>5503</v>
      </c>
      <c r="D573" s="4">
        <v>39436</v>
      </c>
      <c r="E573" s="2">
        <v>39479</v>
      </c>
      <c r="F573" s="2">
        <f t="shared" si="135"/>
        <v>43132</v>
      </c>
      <c r="G573" s="6">
        <v>2439.5</v>
      </c>
      <c r="H573" s="7" t="s">
        <v>1724</v>
      </c>
      <c r="I573" s="7" t="s">
        <v>1725</v>
      </c>
      <c r="J573" s="105" t="s">
        <v>5188</v>
      </c>
      <c r="K573" s="266">
        <f t="shared" si="141"/>
        <v>2018</v>
      </c>
      <c r="L573" s="381"/>
      <c r="M573" s="381"/>
      <c r="N573" s="32" t="s">
        <v>1726</v>
      </c>
      <c r="O573" s="32" t="s">
        <v>1772</v>
      </c>
      <c r="P573" s="278"/>
      <c r="Q573" s="233" t="s">
        <v>1771</v>
      </c>
      <c r="R573" s="75">
        <v>8680</v>
      </c>
      <c r="S573" s="75">
        <v>34160</v>
      </c>
      <c r="T573" s="75">
        <v>42840</v>
      </c>
      <c r="U573" s="203">
        <v>4880</v>
      </c>
      <c r="V573" s="287">
        <f t="shared" ca="1" si="142"/>
        <v>10</v>
      </c>
      <c r="W573" s="75">
        <f t="shared" ca="1" si="143"/>
        <v>42700</v>
      </c>
      <c r="X573" s="200">
        <f t="shared" ca="1" si="139"/>
        <v>81880</v>
      </c>
      <c r="Y573" s="1">
        <v>0.25</v>
      </c>
      <c r="Z573" s="1"/>
      <c r="AA573" s="219"/>
      <c r="AB573" s="302"/>
      <c r="AC573" s="302"/>
      <c r="AD573" s="302"/>
      <c r="AE573" s="302"/>
      <c r="AF573">
        <f t="shared" si="133"/>
        <v>0</v>
      </c>
    </row>
    <row r="574" spans="1:32" ht="26.25" hidden="1" x14ac:dyDescent="0.25">
      <c r="A574" s="322" t="s">
        <v>1773</v>
      </c>
      <c r="B574" s="93" t="str">
        <f t="shared" si="140"/>
        <v>NO</v>
      </c>
      <c r="C574" s="93" t="s">
        <v>5503</v>
      </c>
      <c r="D574" s="4">
        <v>39436</v>
      </c>
      <c r="E574" s="2">
        <v>39479</v>
      </c>
      <c r="F574" s="2">
        <f t="shared" si="135"/>
        <v>43132</v>
      </c>
      <c r="G574" s="6">
        <v>699.8</v>
      </c>
      <c r="H574" s="7" t="s">
        <v>1724</v>
      </c>
      <c r="I574" s="7" t="s">
        <v>1725</v>
      </c>
      <c r="J574" s="105" t="s">
        <v>5188</v>
      </c>
      <c r="K574" s="266">
        <f t="shared" si="141"/>
        <v>2018</v>
      </c>
      <c r="L574" s="381"/>
      <c r="M574" s="381"/>
      <c r="N574" s="32" t="s">
        <v>1726</v>
      </c>
      <c r="O574" s="32" t="s">
        <v>1775</v>
      </c>
      <c r="P574" s="278"/>
      <c r="Q574" s="233" t="s">
        <v>1774</v>
      </c>
      <c r="R574" s="75">
        <v>2590</v>
      </c>
      <c r="S574" s="75">
        <v>9800</v>
      </c>
      <c r="T574" s="75">
        <v>12390</v>
      </c>
      <c r="U574" s="203">
        <v>1400</v>
      </c>
      <c r="V574" s="287">
        <f t="shared" ca="1" si="142"/>
        <v>10</v>
      </c>
      <c r="W574" s="75">
        <f t="shared" ca="1" si="143"/>
        <v>12250</v>
      </c>
      <c r="X574" s="200">
        <f t="shared" ca="1" si="139"/>
        <v>23590</v>
      </c>
      <c r="Y574" s="1">
        <v>0.25</v>
      </c>
      <c r="Z574" s="1"/>
      <c r="AA574" s="219"/>
      <c r="AB574" s="302"/>
      <c r="AC574" s="302"/>
      <c r="AD574" s="302"/>
      <c r="AE574" s="302"/>
      <c r="AF574">
        <f t="shared" si="133"/>
        <v>0</v>
      </c>
    </row>
    <row r="575" spans="1:32" ht="26.25" hidden="1" x14ac:dyDescent="0.25">
      <c r="A575" s="322" t="s">
        <v>1776</v>
      </c>
      <c r="B575" s="93" t="str">
        <f t="shared" si="140"/>
        <v>NO</v>
      </c>
      <c r="C575" s="93" t="s">
        <v>5503</v>
      </c>
      <c r="D575" s="4">
        <v>39436</v>
      </c>
      <c r="E575" s="2">
        <v>39479</v>
      </c>
      <c r="F575" s="2">
        <f t="shared" si="135"/>
        <v>43132</v>
      </c>
      <c r="G575" s="6">
        <v>1412.2</v>
      </c>
      <c r="H575" s="7" t="s">
        <v>1724</v>
      </c>
      <c r="I575" s="7" t="s">
        <v>1725</v>
      </c>
      <c r="J575" s="105" t="s">
        <v>5188</v>
      </c>
      <c r="K575" s="266">
        <f t="shared" si="141"/>
        <v>2018</v>
      </c>
      <c r="L575" s="381"/>
      <c r="M575" s="381"/>
      <c r="N575" s="32" t="s">
        <v>1726</v>
      </c>
      <c r="O575" s="32" t="s">
        <v>1778</v>
      </c>
      <c r="P575" s="278"/>
      <c r="Q575" s="233" t="s">
        <v>1777</v>
      </c>
      <c r="R575" s="75">
        <v>5085.5</v>
      </c>
      <c r="S575" s="75">
        <v>19782</v>
      </c>
      <c r="T575" s="75">
        <v>24867.5</v>
      </c>
      <c r="U575" s="203">
        <v>2826</v>
      </c>
      <c r="V575" s="287">
        <f t="shared" ca="1" si="142"/>
        <v>10</v>
      </c>
      <c r="W575" s="75">
        <f t="shared" ca="1" si="143"/>
        <v>24727.5</v>
      </c>
      <c r="X575" s="200">
        <f t="shared" ca="1" si="139"/>
        <v>47475.5</v>
      </c>
      <c r="Y575" s="1">
        <v>0.25</v>
      </c>
      <c r="Z575" s="1"/>
      <c r="AA575" s="219"/>
      <c r="AB575" s="302"/>
      <c r="AC575" s="302"/>
      <c r="AD575" s="302"/>
      <c r="AE575" s="302"/>
      <c r="AF575">
        <f t="shared" si="133"/>
        <v>0</v>
      </c>
    </row>
    <row r="576" spans="1:32" ht="26.25" hidden="1" x14ac:dyDescent="0.25">
      <c r="A576" s="322" t="s">
        <v>1779</v>
      </c>
      <c r="B576" s="93" t="str">
        <f t="shared" si="140"/>
        <v>NO</v>
      </c>
      <c r="C576" s="93" t="s">
        <v>5503</v>
      </c>
      <c r="D576" s="4">
        <v>39436</v>
      </c>
      <c r="E576" s="2">
        <v>39479</v>
      </c>
      <c r="F576" s="2">
        <f t="shared" si="135"/>
        <v>43132</v>
      </c>
      <c r="G576" s="6">
        <v>185.32</v>
      </c>
      <c r="H576" s="7" t="s">
        <v>1724</v>
      </c>
      <c r="I576" s="7" t="s">
        <v>1725</v>
      </c>
      <c r="J576" s="105" t="s">
        <v>5188</v>
      </c>
      <c r="K576" s="266">
        <f t="shared" si="141"/>
        <v>2018</v>
      </c>
      <c r="L576" s="381"/>
      <c r="M576" s="381"/>
      <c r="N576" s="32" t="s">
        <v>1726</v>
      </c>
      <c r="O576" s="32" t="s">
        <v>1781</v>
      </c>
      <c r="P576" s="278"/>
      <c r="Q576" s="233" t="s">
        <v>1780</v>
      </c>
      <c r="R576" s="75">
        <v>791</v>
      </c>
      <c r="S576" s="75">
        <v>1674</v>
      </c>
      <c r="T576" s="75">
        <v>2465</v>
      </c>
      <c r="U576" s="203">
        <v>372</v>
      </c>
      <c r="V576" s="287">
        <f t="shared" ca="1" si="142"/>
        <v>10</v>
      </c>
      <c r="W576" s="75">
        <f t="shared" ca="1" si="143"/>
        <v>3255</v>
      </c>
      <c r="X576" s="200">
        <f t="shared" ca="1" si="139"/>
        <v>5441</v>
      </c>
      <c r="Y576" s="1">
        <v>0.25</v>
      </c>
      <c r="Z576" s="1"/>
      <c r="AA576" s="219"/>
      <c r="AB576" s="302"/>
      <c r="AC576" s="302"/>
      <c r="AD576" s="302"/>
      <c r="AE576" s="302"/>
      <c r="AF576">
        <f t="shared" si="133"/>
        <v>0</v>
      </c>
    </row>
    <row r="577" spans="1:32" ht="26.25" hidden="1" x14ac:dyDescent="0.25">
      <c r="A577" s="322" t="s">
        <v>1782</v>
      </c>
      <c r="B577" s="93" t="str">
        <f t="shared" si="140"/>
        <v>NO</v>
      </c>
      <c r="C577" s="93" t="s">
        <v>5503</v>
      </c>
      <c r="D577" s="4">
        <v>39436</v>
      </c>
      <c r="E577" s="2">
        <v>39479</v>
      </c>
      <c r="F577" s="2">
        <f t="shared" si="135"/>
        <v>43132</v>
      </c>
      <c r="G577" s="6">
        <v>439</v>
      </c>
      <c r="H577" s="7" t="s">
        <v>1724</v>
      </c>
      <c r="I577" s="7" t="s">
        <v>1725</v>
      </c>
      <c r="J577" s="105" t="s">
        <v>5188</v>
      </c>
      <c r="K577" s="266">
        <f t="shared" si="141"/>
        <v>2018</v>
      </c>
      <c r="L577" s="381"/>
      <c r="M577" s="381"/>
      <c r="N577" s="32" t="s">
        <v>1726</v>
      </c>
      <c r="O577" s="32" t="s">
        <v>1784</v>
      </c>
      <c r="P577" s="278"/>
      <c r="Q577" s="233" t="s">
        <v>1783</v>
      </c>
      <c r="R577" s="75">
        <v>1676.5</v>
      </c>
      <c r="S577" s="75">
        <v>3951</v>
      </c>
      <c r="T577" s="75">
        <v>5627.5</v>
      </c>
      <c r="U577" s="203">
        <v>878</v>
      </c>
      <c r="V577" s="287">
        <f t="shared" ca="1" si="142"/>
        <v>10</v>
      </c>
      <c r="W577" s="75">
        <f t="shared" ca="1" si="143"/>
        <v>7682.5</v>
      </c>
      <c r="X577" s="200">
        <f t="shared" ca="1" si="139"/>
        <v>12651.5</v>
      </c>
      <c r="Y577" s="1">
        <v>0.25</v>
      </c>
      <c r="Z577" s="1"/>
      <c r="AA577" s="219"/>
      <c r="AB577" s="302"/>
      <c r="AC577" s="302"/>
      <c r="AD577" s="302"/>
      <c r="AE577" s="302"/>
      <c r="AF577">
        <f t="shared" si="133"/>
        <v>0</v>
      </c>
    </row>
    <row r="578" spans="1:32" ht="26.25" hidden="1" x14ac:dyDescent="0.25">
      <c r="A578" s="322" t="s">
        <v>1785</v>
      </c>
      <c r="B578" s="93" t="str">
        <f t="shared" si="140"/>
        <v>NO</v>
      </c>
      <c r="C578" s="93" t="s">
        <v>5503</v>
      </c>
      <c r="D578" s="4">
        <v>39436</v>
      </c>
      <c r="E578" s="2">
        <v>39479</v>
      </c>
      <c r="F578" s="2">
        <f t="shared" si="135"/>
        <v>43132</v>
      </c>
      <c r="G578" s="6">
        <v>52</v>
      </c>
      <c r="H578" s="7" t="s">
        <v>1787</v>
      </c>
      <c r="I578" s="7" t="s">
        <v>1788</v>
      </c>
      <c r="J578" s="105" t="s">
        <v>5188</v>
      </c>
      <c r="K578" s="266">
        <f t="shared" si="141"/>
        <v>2018</v>
      </c>
      <c r="L578" s="381"/>
      <c r="M578" s="381"/>
      <c r="N578" s="32" t="s">
        <v>1726</v>
      </c>
      <c r="O578" s="32" t="s">
        <v>1789</v>
      </c>
      <c r="P578" s="278"/>
      <c r="Q578" s="233" t="s">
        <v>1786</v>
      </c>
      <c r="R578" s="75">
        <v>322</v>
      </c>
      <c r="S578" s="75">
        <v>624</v>
      </c>
      <c r="T578" s="75">
        <v>946</v>
      </c>
      <c r="U578" s="203">
        <v>104</v>
      </c>
      <c r="V578" s="287">
        <f t="shared" ca="1" si="142"/>
        <v>10</v>
      </c>
      <c r="W578" s="75">
        <f t="shared" ca="1" si="143"/>
        <v>910</v>
      </c>
      <c r="X578" s="200">
        <f t="shared" ca="1" si="139"/>
        <v>1778</v>
      </c>
      <c r="Y578" s="1">
        <v>0.25</v>
      </c>
      <c r="Z578" s="1"/>
      <c r="AA578" s="219"/>
      <c r="AB578" s="302" t="s">
        <v>6612</v>
      </c>
      <c r="AC578" s="302"/>
      <c r="AD578" s="302"/>
      <c r="AE578" s="302"/>
      <c r="AF578">
        <f t="shared" si="133"/>
        <v>0</v>
      </c>
    </row>
    <row r="579" spans="1:32" ht="26.25" hidden="1" x14ac:dyDescent="0.25">
      <c r="A579" s="322" t="s">
        <v>1790</v>
      </c>
      <c r="B579" s="93" t="str">
        <f t="shared" si="140"/>
        <v>NO</v>
      </c>
      <c r="C579" s="93" t="s">
        <v>5503</v>
      </c>
      <c r="D579" s="4">
        <v>39436</v>
      </c>
      <c r="E579" s="2">
        <v>39479</v>
      </c>
      <c r="F579" s="2">
        <f t="shared" si="135"/>
        <v>43132</v>
      </c>
      <c r="G579" s="6">
        <v>93</v>
      </c>
      <c r="H579" s="7" t="s">
        <v>1787</v>
      </c>
      <c r="I579" s="7" t="s">
        <v>1788</v>
      </c>
      <c r="J579" s="105" t="s">
        <v>5188</v>
      </c>
      <c r="K579" s="266">
        <f t="shared" si="141"/>
        <v>2018</v>
      </c>
      <c r="L579" s="381"/>
      <c r="M579" s="381"/>
      <c r="N579" s="32" t="s">
        <v>1726</v>
      </c>
      <c r="O579" s="32" t="s">
        <v>1792</v>
      </c>
      <c r="P579" s="278"/>
      <c r="Q579" s="233" t="s">
        <v>1791</v>
      </c>
      <c r="R579" s="75">
        <v>465.5</v>
      </c>
      <c r="S579" s="75">
        <v>837</v>
      </c>
      <c r="T579" s="75">
        <v>1302.5</v>
      </c>
      <c r="U579" s="203">
        <v>186</v>
      </c>
      <c r="V579" s="287">
        <f t="shared" ca="1" si="142"/>
        <v>10</v>
      </c>
      <c r="W579" s="75">
        <f t="shared" ca="1" si="143"/>
        <v>1627.5</v>
      </c>
      <c r="X579" s="200">
        <f t="shared" ca="1" si="139"/>
        <v>2790.5</v>
      </c>
      <c r="Y579" s="1">
        <v>0.25</v>
      </c>
      <c r="Z579" s="1"/>
      <c r="AA579" s="219"/>
      <c r="AB579" s="302" t="s">
        <v>6613</v>
      </c>
      <c r="AC579" s="302"/>
      <c r="AD579" s="302"/>
      <c r="AE579" s="302"/>
      <c r="AF579">
        <f t="shared" si="133"/>
        <v>0</v>
      </c>
    </row>
    <row r="580" spans="1:32" ht="15.75" hidden="1" thickBot="1" x14ac:dyDescent="0.3">
      <c r="A580" s="323"/>
      <c r="D580" s="4"/>
      <c r="E580" s="2"/>
      <c r="F580" s="2"/>
      <c r="G580" s="3"/>
      <c r="H580" s="7"/>
      <c r="I580" s="7"/>
      <c r="J580" s="186"/>
      <c r="K580" s="186"/>
      <c r="L580" s="386"/>
      <c r="M580" s="386"/>
      <c r="N580" s="32"/>
      <c r="O580" s="32"/>
      <c r="P580" s="278"/>
      <c r="Q580" s="233"/>
      <c r="R580" s="76">
        <v>157556</v>
      </c>
      <c r="S580" s="76">
        <v>117274</v>
      </c>
      <c r="T580" s="76">
        <v>274830</v>
      </c>
      <c r="U580" s="200"/>
      <c r="V580" s="75"/>
      <c r="W580" s="75"/>
      <c r="X580" s="200"/>
      <c r="Y580" s="1"/>
      <c r="Z580" s="1"/>
      <c r="AA580" s="219"/>
      <c r="AB580" s="302"/>
      <c r="AC580" s="302"/>
      <c r="AD580" s="302"/>
      <c r="AE580" s="302"/>
      <c r="AF580">
        <f t="shared" si="133"/>
        <v>0</v>
      </c>
    </row>
    <row r="581" spans="1:32" hidden="1" x14ac:dyDescent="0.25">
      <c r="A581" s="323"/>
      <c r="D581" s="4"/>
      <c r="E581" s="2"/>
      <c r="F581" s="2"/>
      <c r="G581" s="3"/>
      <c r="H581" s="7"/>
      <c r="I581" s="7"/>
      <c r="J581" s="186"/>
      <c r="K581" s="186"/>
      <c r="L581" s="386"/>
      <c r="M581" s="386"/>
      <c r="N581" s="32"/>
      <c r="O581" s="32"/>
      <c r="P581" s="278"/>
      <c r="Q581" s="233" t="s">
        <v>1793</v>
      </c>
      <c r="R581" s="75">
        <v>-99000</v>
      </c>
      <c r="S581" s="75"/>
      <c r="T581" s="75">
        <v>-99000</v>
      </c>
      <c r="U581" s="200"/>
      <c r="V581" s="75"/>
      <c r="W581" s="75"/>
      <c r="X581" s="200"/>
      <c r="Y581" s="1"/>
      <c r="Z581" s="1"/>
      <c r="AA581" s="219"/>
      <c r="AB581" s="302"/>
      <c r="AC581" s="302"/>
      <c r="AD581" s="302"/>
      <c r="AE581" s="302"/>
      <c r="AF581">
        <f t="shared" si="133"/>
        <v>0</v>
      </c>
    </row>
    <row r="582" spans="1:32" hidden="1" x14ac:dyDescent="0.25">
      <c r="A582" s="323"/>
      <c r="D582" s="4"/>
      <c r="E582" s="2"/>
      <c r="F582" s="2"/>
      <c r="G582" s="3"/>
      <c r="H582" s="7"/>
      <c r="I582" s="7"/>
      <c r="J582" s="186"/>
      <c r="K582" s="186"/>
      <c r="L582" s="386"/>
      <c r="M582" s="386"/>
      <c r="N582" s="32"/>
      <c r="O582" s="32"/>
      <c r="P582" s="278"/>
      <c r="Q582" s="233" t="s">
        <v>1794</v>
      </c>
      <c r="R582" s="75"/>
      <c r="S582" s="75">
        <v>-175830</v>
      </c>
      <c r="T582" s="75">
        <v>-175830</v>
      </c>
      <c r="U582" s="200"/>
      <c r="V582" s="75"/>
      <c r="W582" s="75"/>
      <c r="X582" s="200"/>
      <c r="Y582" s="1"/>
      <c r="Z582" s="1"/>
      <c r="AA582" s="219"/>
      <c r="AB582" s="302"/>
      <c r="AC582" s="302"/>
      <c r="AD582" s="302"/>
      <c r="AE582" s="302"/>
      <c r="AF582">
        <f t="shared" si="133"/>
        <v>0</v>
      </c>
    </row>
    <row r="583" spans="1:32" hidden="1" x14ac:dyDescent="0.25">
      <c r="A583" s="323"/>
      <c r="D583" s="4"/>
      <c r="E583" s="2"/>
      <c r="F583" s="2"/>
      <c r="G583" s="3"/>
      <c r="H583" s="7"/>
      <c r="I583" s="7"/>
      <c r="J583" s="186"/>
      <c r="K583" s="186"/>
      <c r="L583" s="386"/>
      <c r="M583" s="386"/>
      <c r="N583" s="32"/>
      <c r="O583" s="32"/>
      <c r="P583" s="278"/>
      <c r="Q583" s="233"/>
      <c r="R583" s="75"/>
      <c r="S583" s="75"/>
      <c r="T583" s="75"/>
      <c r="U583" s="200"/>
      <c r="V583" s="75"/>
      <c r="W583" s="75"/>
      <c r="X583" s="200"/>
      <c r="Y583" s="1"/>
      <c r="Z583" s="1"/>
      <c r="AA583" s="219"/>
      <c r="AB583" s="302"/>
      <c r="AC583" s="302"/>
      <c r="AD583" s="302"/>
      <c r="AE583" s="302"/>
      <c r="AF583">
        <f t="shared" si="133"/>
        <v>0</v>
      </c>
    </row>
    <row r="584" spans="1:32" hidden="1" x14ac:dyDescent="0.25">
      <c r="A584" s="323"/>
      <c r="D584" s="4"/>
      <c r="E584" s="2"/>
      <c r="F584" s="2"/>
      <c r="G584" s="6"/>
      <c r="H584" s="7"/>
      <c r="I584" s="7"/>
      <c r="J584" s="186"/>
      <c r="K584" s="186"/>
      <c r="L584" s="386"/>
      <c r="M584" s="386"/>
      <c r="N584" s="32"/>
      <c r="O584" s="32"/>
      <c r="P584" s="278"/>
      <c r="Q584" s="233"/>
      <c r="R584" s="75"/>
      <c r="S584" s="75"/>
      <c r="T584" s="75"/>
      <c r="U584" s="200"/>
      <c r="V584" s="75"/>
      <c r="W584" s="75"/>
      <c r="X584" s="200"/>
      <c r="Y584" s="1"/>
      <c r="Z584" s="1"/>
      <c r="AA584" s="219"/>
      <c r="AB584" s="302"/>
      <c r="AC584" s="302"/>
      <c r="AD584" s="302"/>
      <c r="AE584" s="302"/>
      <c r="AF584">
        <f t="shared" si="133"/>
        <v>0</v>
      </c>
    </row>
    <row r="585" spans="1:32" hidden="1" x14ac:dyDescent="0.25">
      <c r="A585" s="322" t="s">
        <v>1795</v>
      </c>
      <c r="B585" s="93" t="str">
        <f t="shared" ref="B585:B616" si="144">IF(COUNTIF(GIS,A585),"YES","NO")</f>
        <v>NO</v>
      </c>
      <c r="C585" s="93" t="s">
        <v>5503</v>
      </c>
      <c r="D585" s="4">
        <v>39463</v>
      </c>
      <c r="E585" s="91">
        <v>39508</v>
      </c>
      <c r="F585" s="2">
        <f t="shared" si="135"/>
        <v>43160</v>
      </c>
      <c r="G585" s="6">
        <v>120</v>
      </c>
      <c r="H585" s="7" t="s">
        <v>1797</v>
      </c>
      <c r="I585" s="7" t="s">
        <v>548</v>
      </c>
      <c r="J585" s="186"/>
      <c r="K585" s="266">
        <f t="shared" ref="K585:K616" si="145">YEAR(F585)</f>
        <v>2018</v>
      </c>
      <c r="L585" s="386"/>
      <c r="M585" s="386"/>
      <c r="N585" s="32"/>
      <c r="O585" s="32" t="s">
        <v>1798</v>
      </c>
      <c r="P585" s="278" t="s">
        <v>1799</v>
      </c>
      <c r="Q585" s="233" t="s">
        <v>1796</v>
      </c>
      <c r="R585" s="75">
        <v>560</v>
      </c>
      <c r="S585" s="75">
        <v>0</v>
      </c>
      <c r="T585" s="75">
        <v>560</v>
      </c>
      <c r="U585" s="200">
        <v>240</v>
      </c>
      <c r="V585" s="287">
        <f t="shared" ref="V585:V616" ca="1" si="146">IF(YEAR($W$3)-YEAR(E585)&gt;9,10,IF(MONTH($W$3)&lt;MONTH(E585),YEAR($W$3)-YEAR(E585),YEAR($W$3)-YEAR(E585)+1))</f>
        <v>10</v>
      </c>
      <c r="W585" s="75">
        <f t="shared" ref="W585:W616" ca="1" si="147">IF(V585&lt;6, ROUNDUP(G585,0)*$W$6*V585, ROUNDUP(G585,0)*($W$6*5 + (V585-5)*$W$7))</f>
        <v>2100</v>
      </c>
      <c r="X585" s="200">
        <f t="shared" ref="X585:X646" ca="1" si="148">IF(V585=0,T585,((T585-ROUNDUP(G585,0)*1.5)+W585))</f>
        <v>2480</v>
      </c>
      <c r="Y585" s="1">
        <v>0.25</v>
      </c>
      <c r="Z585" s="1"/>
      <c r="AA585" s="219"/>
      <c r="AB585" s="302"/>
      <c r="AC585" s="302"/>
      <c r="AD585" s="302"/>
      <c r="AE585" s="302"/>
      <c r="AF585">
        <f t="shared" si="133"/>
        <v>0</v>
      </c>
    </row>
    <row r="586" spans="1:32" hidden="1" x14ac:dyDescent="0.25">
      <c r="A586" s="322" t="s">
        <v>1800</v>
      </c>
      <c r="B586" s="93" t="str">
        <f t="shared" si="144"/>
        <v>NO</v>
      </c>
      <c r="C586" s="93" t="s">
        <v>5503</v>
      </c>
      <c r="D586" s="4">
        <v>39463</v>
      </c>
      <c r="E586" s="91">
        <v>39508</v>
      </c>
      <c r="F586" s="2">
        <f t="shared" si="135"/>
        <v>43160</v>
      </c>
      <c r="G586" s="6">
        <v>33.799999999999997</v>
      </c>
      <c r="H586" s="7" t="s">
        <v>1802</v>
      </c>
      <c r="I586" s="7" t="s">
        <v>548</v>
      </c>
      <c r="J586" s="186"/>
      <c r="K586" s="266">
        <f t="shared" si="145"/>
        <v>2018</v>
      </c>
      <c r="L586" s="386"/>
      <c r="M586" s="386"/>
      <c r="N586" s="32"/>
      <c r="O586" s="32" t="s">
        <v>1803</v>
      </c>
      <c r="P586" s="278" t="s">
        <v>1804</v>
      </c>
      <c r="Q586" s="233" t="s">
        <v>1801</v>
      </c>
      <c r="R586" s="75">
        <v>259</v>
      </c>
      <c r="S586" s="75">
        <v>544</v>
      </c>
      <c r="T586" s="75">
        <v>803</v>
      </c>
      <c r="U586" s="200">
        <v>68</v>
      </c>
      <c r="V586" s="287">
        <f t="shared" ca="1" si="146"/>
        <v>10</v>
      </c>
      <c r="W586" s="75">
        <f t="shared" ca="1" si="147"/>
        <v>595</v>
      </c>
      <c r="X586" s="200">
        <f t="shared" ca="1" si="148"/>
        <v>1347</v>
      </c>
      <c r="Y586" s="1">
        <v>0.25</v>
      </c>
      <c r="Z586" s="1"/>
      <c r="AA586" s="219"/>
      <c r="AB586" s="302"/>
      <c r="AC586" s="302"/>
      <c r="AD586" s="302"/>
      <c r="AE586" s="302"/>
      <c r="AF586">
        <f t="shared" si="133"/>
        <v>0</v>
      </c>
    </row>
    <row r="587" spans="1:32" ht="39" hidden="1" x14ac:dyDescent="0.25">
      <c r="A587" s="322" t="s">
        <v>1805</v>
      </c>
      <c r="B587" s="93" t="str">
        <f t="shared" si="144"/>
        <v>NO</v>
      </c>
      <c r="C587" s="93" t="s">
        <v>5503</v>
      </c>
      <c r="D587" s="4">
        <v>39463</v>
      </c>
      <c r="E587" s="26">
        <v>39569</v>
      </c>
      <c r="F587" s="2">
        <f t="shared" si="135"/>
        <v>43221</v>
      </c>
      <c r="G587" s="6">
        <v>1960</v>
      </c>
      <c r="H587" s="7" t="s">
        <v>1807</v>
      </c>
      <c r="I587" s="7" t="s">
        <v>512</v>
      </c>
      <c r="J587" s="105" t="s">
        <v>5188</v>
      </c>
      <c r="K587" s="266">
        <f t="shared" si="145"/>
        <v>2018</v>
      </c>
      <c r="L587" s="381"/>
      <c r="M587" s="381"/>
      <c r="N587" s="32"/>
      <c r="O587" s="32" t="s">
        <v>1808</v>
      </c>
      <c r="P587" s="278" t="s">
        <v>1809</v>
      </c>
      <c r="Q587" s="233" t="s">
        <v>1806</v>
      </c>
      <c r="R587" s="75">
        <v>7000</v>
      </c>
      <c r="S587" s="75">
        <v>5880</v>
      </c>
      <c r="T587" s="75">
        <v>12880</v>
      </c>
      <c r="U587" s="200">
        <v>3920</v>
      </c>
      <c r="V587" s="287">
        <f t="shared" ca="1" si="146"/>
        <v>10</v>
      </c>
      <c r="W587" s="75">
        <f t="shared" ca="1" si="147"/>
        <v>34300</v>
      </c>
      <c r="X587" s="200">
        <f t="shared" ca="1" si="148"/>
        <v>44240</v>
      </c>
      <c r="Y587" s="1">
        <v>0.25</v>
      </c>
      <c r="Z587" s="1"/>
      <c r="AA587" s="219"/>
      <c r="AB587" s="302" t="s">
        <v>6614</v>
      </c>
      <c r="AC587" s="302"/>
      <c r="AD587" s="302"/>
      <c r="AE587" s="302"/>
      <c r="AF587">
        <f t="shared" ref="AF587:AF650" si="149">COUNTIF(FilterList,A587)</f>
        <v>0</v>
      </c>
    </row>
    <row r="588" spans="1:32" ht="39" hidden="1" x14ac:dyDescent="0.25">
      <c r="A588" s="322" t="s">
        <v>1810</v>
      </c>
      <c r="B588" s="93" t="str">
        <f t="shared" si="144"/>
        <v>NO</v>
      </c>
      <c r="C588" s="93" t="s">
        <v>5503</v>
      </c>
      <c r="D588" s="4">
        <v>39463</v>
      </c>
      <c r="E588" s="26">
        <v>39569</v>
      </c>
      <c r="F588" s="2">
        <f t="shared" ref="F588:F646" si="150">DATE(YEAR(E588)+10,MONTH(E588),DAY(E588))</f>
        <v>43221</v>
      </c>
      <c r="G588" s="6">
        <v>1115.19</v>
      </c>
      <c r="H588" s="7" t="s">
        <v>1807</v>
      </c>
      <c r="I588" s="7" t="s">
        <v>512</v>
      </c>
      <c r="J588" s="105" t="s">
        <v>5188</v>
      </c>
      <c r="K588" s="266">
        <f t="shared" si="145"/>
        <v>2018</v>
      </c>
      <c r="L588" s="381"/>
      <c r="M588" s="381"/>
      <c r="N588" s="32"/>
      <c r="O588" s="32" t="s">
        <v>1808</v>
      </c>
      <c r="P588" s="278" t="s">
        <v>1812</v>
      </c>
      <c r="Q588" s="233" t="s">
        <v>1811</v>
      </c>
      <c r="R588" s="75">
        <v>4046</v>
      </c>
      <c r="S588" s="75">
        <v>3348</v>
      </c>
      <c r="T588" s="75">
        <v>7394</v>
      </c>
      <c r="U588" s="200">
        <v>2232</v>
      </c>
      <c r="V588" s="287">
        <f t="shared" ca="1" si="146"/>
        <v>10</v>
      </c>
      <c r="W588" s="75">
        <f t="shared" ca="1" si="147"/>
        <v>19530</v>
      </c>
      <c r="X588" s="200">
        <f t="shared" ca="1" si="148"/>
        <v>25250</v>
      </c>
      <c r="Y588" s="1">
        <v>0.25</v>
      </c>
      <c r="Z588" s="1"/>
      <c r="AA588" s="219"/>
      <c r="AB588" s="302" t="s">
        <v>6615</v>
      </c>
      <c r="AC588" s="302"/>
      <c r="AD588" s="302"/>
      <c r="AE588" s="302"/>
      <c r="AF588">
        <f t="shared" si="149"/>
        <v>0</v>
      </c>
    </row>
    <row r="589" spans="1:32" ht="51.75" hidden="1" x14ac:dyDescent="0.25">
      <c r="A589" s="322" t="s">
        <v>1813</v>
      </c>
      <c r="B589" s="93" t="str">
        <f t="shared" si="144"/>
        <v>NO</v>
      </c>
      <c r="C589" s="93" t="s">
        <v>5503</v>
      </c>
      <c r="D589" s="4">
        <v>39463</v>
      </c>
      <c r="E589" s="26">
        <v>39569</v>
      </c>
      <c r="F589" s="2">
        <f t="shared" si="150"/>
        <v>43221</v>
      </c>
      <c r="G589" s="6">
        <v>1841.58</v>
      </c>
      <c r="H589" s="7" t="s">
        <v>1807</v>
      </c>
      <c r="I589" s="7" t="s">
        <v>512</v>
      </c>
      <c r="J589" s="105" t="s">
        <v>5188</v>
      </c>
      <c r="K589" s="266">
        <f t="shared" si="145"/>
        <v>2018</v>
      </c>
      <c r="L589" s="381"/>
      <c r="M589" s="381"/>
      <c r="N589" s="32"/>
      <c r="O589" s="32" t="s">
        <v>1808</v>
      </c>
      <c r="P589" s="278" t="s">
        <v>1815</v>
      </c>
      <c r="Q589" s="233" t="s">
        <v>1814</v>
      </c>
      <c r="R589" s="75">
        <v>6587</v>
      </c>
      <c r="S589" s="75">
        <v>1842</v>
      </c>
      <c r="T589" s="75">
        <v>8429</v>
      </c>
      <c r="U589" s="200">
        <v>3684</v>
      </c>
      <c r="V589" s="287">
        <f t="shared" ca="1" si="146"/>
        <v>10</v>
      </c>
      <c r="W589" s="75">
        <f t="shared" ca="1" si="147"/>
        <v>32235</v>
      </c>
      <c r="X589" s="200">
        <f t="shared" ca="1" si="148"/>
        <v>37901</v>
      </c>
      <c r="Y589" s="1">
        <v>0.25</v>
      </c>
      <c r="Z589" s="1"/>
      <c r="AA589" s="219"/>
      <c r="AB589" s="302" t="s">
        <v>6616</v>
      </c>
      <c r="AC589" s="302"/>
      <c r="AD589" s="302"/>
      <c r="AE589" s="302"/>
      <c r="AF589">
        <f t="shared" si="149"/>
        <v>0</v>
      </c>
    </row>
    <row r="590" spans="1:32" ht="64.5" hidden="1" x14ac:dyDescent="0.25">
      <c r="A590" s="322" t="s">
        <v>1816</v>
      </c>
      <c r="B590" s="93" t="str">
        <f t="shared" si="144"/>
        <v>NO</v>
      </c>
      <c r="C590" s="93" t="s">
        <v>5503</v>
      </c>
      <c r="D590" s="4">
        <v>39463</v>
      </c>
      <c r="E590" s="26">
        <v>39569</v>
      </c>
      <c r="F590" s="2">
        <f t="shared" si="150"/>
        <v>43221</v>
      </c>
      <c r="G590" s="6">
        <v>1761.56</v>
      </c>
      <c r="H590" s="7" t="s">
        <v>1807</v>
      </c>
      <c r="I590" s="7" t="s">
        <v>512</v>
      </c>
      <c r="J590" s="105" t="s">
        <v>5188</v>
      </c>
      <c r="K590" s="266">
        <f t="shared" si="145"/>
        <v>2018</v>
      </c>
      <c r="L590" s="381"/>
      <c r="M590" s="381"/>
      <c r="N590" s="32"/>
      <c r="O590" s="32" t="s">
        <v>1808</v>
      </c>
      <c r="P590" s="278" t="s">
        <v>1818</v>
      </c>
      <c r="Q590" s="233" t="s">
        <v>1817</v>
      </c>
      <c r="R590" s="75">
        <v>6307</v>
      </c>
      <c r="S590" s="75">
        <v>1762</v>
      </c>
      <c r="T590" s="75">
        <v>8069</v>
      </c>
      <c r="U590" s="200">
        <v>3524</v>
      </c>
      <c r="V590" s="287">
        <f t="shared" ca="1" si="146"/>
        <v>10</v>
      </c>
      <c r="W590" s="75">
        <f t="shared" ca="1" si="147"/>
        <v>30835</v>
      </c>
      <c r="X590" s="200">
        <f t="shared" ca="1" si="148"/>
        <v>36261</v>
      </c>
      <c r="Y590" s="1">
        <v>0.25</v>
      </c>
      <c r="Z590" s="1"/>
      <c r="AA590" s="219"/>
      <c r="AB590" s="302" t="s">
        <v>6617</v>
      </c>
      <c r="AC590" s="302"/>
      <c r="AD590" s="302"/>
      <c r="AE590" s="302"/>
      <c r="AF590">
        <f t="shared" si="149"/>
        <v>0</v>
      </c>
    </row>
    <row r="591" spans="1:32" ht="39" hidden="1" x14ac:dyDescent="0.25">
      <c r="A591" s="322" t="s">
        <v>1819</v>
      </c>
      <c r="B591" s="93" t="str">
        <f t="shared" si="144"/>
        <v>NO</v>
      </c>
      <c r="C591" s="93" t="s">
        <v>5503</v>
      </c>
      <c r="D591" s="4">
        <v>39463</v>
      </c>
      <c r="E591" s="26">
        <v>39569</v>
      </c>
      <c r="F591" s="2">
        <f t="shared" si="150"/>
        <v>43221</v>
      </c>
      <c r="G591" s="6">
        <v>1760</v>
      </c>
      <c r="H591" s="7" t="s">
        <v>1807</v>
      </c>
      <c r="I591" s="7" t="s">
        <v>512</v>
      </c>
      <c r="J591" s="105" t="s">
        <v>5188</v>
      </c>
      <c r="K591" s="266">
        <f t="shared" si="145"/>
        <v>2018</v>
      </c>
      <c r="L591" s="381"/>
      <c r="M591" s="381"/>
      <c r="N591" s="32"/>
      <c r="O591" s="32" t="s">
        <v>1808</v>
      </c>
      <c r="P591" s="278" t="s">
        <v>1821</v>
      </c>
      <c r="Q591" s="233" t="s">
        <v>1820</v>
      </c>
      <c r="R591" s="75">
        <v>6300</v>
      </c>
      <c r="S591" s="75">
        <v>5280</v>
      </c>
      <c r="T591" s="75">
        <v>11580</v>
      </c>
      <c r="U591" s="200">
        <v>3520</v>
      </c>
      <c r="V591" s="287">
        <f t="shared" ca="1" si="146"/>
        <v>10</v>
      </c>
      <c r="W591" s="75">
        <f t="shared" ca="1" si="147"/>
        <v>30800</v>
      </c>
      <c r="X591" s="200">
        <f t="shared" ca="1" si="148"/>
        <v>39740</v>
      </c>
      <c r="Y591" s="1">
        <v>0.25</v>
      </c>
      <c r="Z591" s="1"/>
      <c r="AA591" s="219"/>
      <c r="AB591" s="302" t="s">
        <v>6618</v>
      </c>
      <c r="AC591" s="302"/>
      <c r="AD591" s="302"/>
      <c r="AE591" s="302"/>
      <c r="AF591">
        <f t="shared" si="149"/>
        <v>0</v>
      </c>
    </row>
    <row r="592" spans="1:32" ht="39" hidden="1" x14ac:dyDescent="0.25">
      <c r="A592" s="322" t="s">
        <v>1822</v>
      </c>
      <c r="B592" s="93" t="str">
        <f t="shared" si="144"/>
        <v>NO</v>
      </c>
      <c r="C592" s="93" t="s">
        <v>5503</v>
      </c>
      <c r="D592" s="4">
        <v>39463</v>
      </c>
      <c r="E592" s="26">
        <v>39569</v>
      </c>
      <c r="F592" s="2">
        <f t="shared" si="150"/>
        <v>43221</v>
      </c>
      <c r="G592" s="6">
        <v>1560</v>
      </c>
      <c r="H592" s="7" t="s">
        <v>1807</v>
      </c>
      <c r="I592" s="7" t="s">
        <v>512</v>
      </c>
      <c r="J592" s="105" t="s">
        <v>5188</v>
      </c>
      <c r="K592" s="266">
        <f t="shared" si="145"/>
        <v>2018</v>
      </c>
      <c r="L592" s="381"/>
      <c r="M592" s="381"/>
      <c r="N592" s="32"/>
      <c r="O592" s="32" t="s">
        <v>1808</v>
      </c>
      <c r="P592" s="278" t="s">
        <v>1824</v>
      </c>
      <c r="Q592" s="233" t="s">
        <v>1823</v>
      </c>
      <c r="R592" s="75">
        <v>5600</v>
      </c>
      <c r="S592" s="75">
        <v>1560</v>
      </c>
      <c r="T592" s="75">
        <v>7160</v>
      </c>
      <c r="U592" s="200">
        <v>3120</v>
      </c>
      <c r="V592" s="287">
        <f t="shared" ca="1" si="146"/>
        <v>10</v>
      </c>
      <c r="W592" s="75">
        <f t="shared" ca="1" si="147"/>
        <v>27300</v>
      </c>
      <c r="X592" s="200">
        <f t="shared" ca="1" si="148"/>
        <v>32120</v>
      </c>
      <c r="Y592" s="1">
        <v>0.25</v>
      </c>
      <c r="Z592" s="1"/>
      <c r="AA592" s="219"/>
      <c r="AB592" s="302" t="s">
        <v>6619</v>
      </c>
      <c r="AC592" s="302"/>
      <c r="AD592" s="302"/>
      <c r="AE592" s="302"/>
      <c r="AF592">
        <f t="shared" si="149"/>
        <v>0</v>
      </c>
    </row>
    <row r="593" spans="1:32" ht="39" hidden="1" x14ac:dyDescent="0.25">
      <c r="A593" s="322" t="s">
        <v>1825</v>
      </c>
      <c r="B593" s="93" t="str">
        <f t="shared" si="144"/>
        <v>NO</v>
      </c>
      <c r="C593" s="93" t="s">
        <v>5503</v>
      </c>
      <c r="D593" s="4">
        <v>39463</v>
      </c>
      <c r="E593" s="26">
        <v>39569</v>
      </c>
      <c r="F593" s="2">
        <f t="shared" si="150"/>
        <v>43221</v>
      </c>
      <c r="G593" s="6">
        <v>1253.5</v>
      </c>
      <c r="H593" s="7" t="s">
        <v>1807</v>
      </c>
      <c r="I593" s="7" t="s">
        <v>512</v>
      </c>
      <c r="J593" s="105" t="s">
        <v>5188</v>
      </c>
      <c r="K593" s="266">
        <f t="shared" si="145"/>
        <v>2018</v>
      </c>
      <c r="L593" s="381"/>
      <c r="M593" s="381"/>
      <c r="N593" s="32"/>
      <c r="O593" s="32" t="s">
        <v>1827</v>
      </c>
      <c r="P593" s="278" t="s">
        <v>1828</v>
      </c>
      <c r="Q593" s="233" t="s">
        <v>1826</v>
      </c>
      <c r="R593" s="75">
        <v>4529</v>
      </c>
      <c r="S593" s="75">
        <v>1254</v>
      </c>
      <c r="T593" s="75">
        <v>5783</v>
      </c>
      <c r="U593" s="200">
        <v>2508</v>
      </c>
      <c r="V593" s="287">
        <f t="shared" ca="1" si="146"/>
        <v>10</v>
      </c>
      <c r="W593" s="75">
        <f t="shared" ca="1" si="147"/>
        <v>21945</v>
      </c>
      <c r="X593" s="200">
        <f t="shared" ca="1" si="148"/>
        <v>25847</v>
      </c>
      <c r="Y593" s="1">
        <v>0.25</v>
      </c>
      <c r="Z593" s="1"/>
      <c r="AA593" s="219"/>
      <c r="AB593" s="302" t="s">
        <v>6620</v>
      </c>
      <c r="AC593" s="302"/>
      <c r="AD593" s="302"/>
      <c r="AE593" s="302"/>
      <c r="AF593">
        <f t="shared" si="149"/>
        <v>0</v>
      </c>
    </row>
    <row r="594" spans="1:32" ht="51.75" hidden="1" x14ac:dyDescent="0.25">
      <c r="A594" s="322" t="s">
        <v>1829</v>
      </c>
      <c r="B594" s="93" t="str">
        <f t="shared" si="144"/>
        <v>NO</v>
      </c>
      <c r="C594" s="93" t="s">
        <v>5503</v>
      </c>
      <c r="D594" s="4">
        <v>39463</v>
      </c>
      <c r="E594" s="26">
        <v>39569</v>
      </c>
      <c r="F594" s="2">
        <f t="shared" si="150"/>
        <v>43221</v>
      </c>
      <c r="G594" s="6">
        <v>1300</v>
      </c>
      <c r="H594" s="7" t="s">
        <v>1807</v>
      </c>
      <c r="I594" s="7" t="s">
        <v>512</v>
      </c>
      <c r="J594" s="105" t="s">
        <v>5188</v>
      </c>
      <c r="K594" s="266">
        <f t="shared" si="145"/>
        <v>2018</v>
      </c>
      <c r="L594" s="381"/>
      <c r="M594" s="381"/>
      <c r="N594" s="32"/>
      <c r="O594" s="32" t="s">
        <v>1827</v>
      </c>
      <c r="P594" s="278" t="s">
        <v>1831</v>
      </c>
      <c r="Q594" s="233" t="s">
        <v>1830</v>
      </c>
      <c r="R594" s="75">
        <v>4690</v>
      </c>
      <c r="S594" s="75">
        <v>1300</v>
      </c>
      <c r="T594" s="75">
        <v>5990</v>
      </c>
      <c r="U594" s="200">
        <v>2600</v>
      </c>
      <c r="V594" s="287">
        <f t="shared" ca="1" si="146"/>
        <v>10</v>
      </c>
      <c r="W594" s="75">
        <f t="shared" ca="1" si="147"/>
        <v>22750</v>
      </c>
      <c r="X594" s="200">
        <f t="shared" ca="1" si="148"/>
        <v>26790</v>
      </c>
      <c r="Y594" s="1">
        <v>0.25</v>
      </c>
      <c r="Z594" s="1"/>
      <c r="AA594" s="219"/>
      <c r="AB594" s="302" t="s">
        <v>6621</v>
      </c>
      <c r="AC594" s="302"/>
      <c r="AD594" s="302"/>
      <c r="AE594" s="302"/>
      <c r="AF594">
        <f t="shared" si="149"/>
        <v>0</v>
      </c>
    </row>
    <row r="595" spans="1:32" ht="39" hidden="1" x14ac:dyDescent="0.25">
      <c r="A595" s="322" t="s">
        <v>1832</v>
      </c>
      <c r="B595" s="93" t="str">
        <f t="shared" si="144"/>
        <v>NO</v>
      </c>
      <c r="C595" s="93" t="s">
        <v>5503</v>
      </c>
      <c r="D595" s="4">
        <v>39463</v>
      </c>
      <c r="E595" s="26">
        <v>39569</v>
      </c>
      <c r="F595" s="2">
        <f t="shared" si="150"/>
        <v>43221</v>
      </c>
      <c r="G595" s="6">
        <v>1560</v>
      </c>
      <c r="H595" s="7" t="s">
        <v>1807</v>
      </c>
      <c r="I595" s="7" t="s">
        <v>512</v>
      </c>
      <c r="J595" s="105" t="s">
        <v>5188</v>
      </c>
      <c r="K595" s="266">
        <f t="shared" si="145"/>
        <v>2018</v>
      </c>
      <c r="L595" s="381"/>
      <c r="M595" s="381"/>
      <c r="N595" s="32"/>
      <c r="O595" s="32" t="s">
        <v>1827</v>
      </c>
      <c r="P595" s="278" t="s">
        <v>1834</v>
      </c>
      <c r="Q595" s="233" t="s">
        <v>1833</v>
      </c>
      <c r="R595" s="75">
        <v>5600</v>
      </c>
      <c r="S595" s="75">
        <v>4680</v>
      </c>
      <c r="T595" s="75">
        <v>10280</v>
      </c>
      <c r="U595" s="200">
        <v>3120</v>
      </c>
      <c r="V595" s="287">
        <f t="shared" ca="1" si="146"/>
        <v>10</v>
      </c>
      <c r="W595" s="75">
        <f t="shared" ca="1" si="147"/>
        <v>27300</v>
      </c>
      <c r="X595" s="200">
        <f t="shared" ca="1" si="148"/>
        <v>35240</v>
      </c>
      <c r="Y595" s="1">
        <v>0.25</v>
      </c>
      <c r="Z595" s="1"/>
      <c r="AA595" s="219"/>
      <c r="AB595" s="302" t="s">
        <v>6622</v>
      </c>
      <c r="AC595" s="302"/>
      <c r="AD595" s="302"/>
      <c r="AE595" s="302"/>
      <c r="AF595">
        <f t="shared" si="149"/>
        <v>0</v>
      </c>
    </row>
    <row r="596" spans="1:32" hidden="1" x14ac:dyDescent="0.25">
      <c r="A596" s="322" t="s">
        <v>1835</v>
      </c>
      <c r="B596" s="93" t="str">
        <f t="shared" si="144"/>
        <v>NO</v>
      </c>
      <c r="C596" s="93" t="s">
        <v>5503</v>
      </c>
      <c r="D596" s="4">
        <v>39463</v>
      </c>
      <c r="E596" s="91">
        <v>39508</v>
      </c>
      <c r="F596" s="2">
        <f t="shared" si="150"/>
        <v>43160</v>
      </c>
      <c r="G596" s="6">
        <v>320.3</v>
      </c>
      <c r="H596" s="7" t="s">
        <v>1807</v>
      </c>
      <c r="I596" s="7" t="s">
        <v>512</v>
      </c>
      <c r="J596" s="105"/>
      <c r="K596" s="266">
        <f t="shared" si="145"/>
        <v>2018</v>
      </c>
      <c r="L596" s="381"/>
      <c r="M596" s="381"/>
      <c r="N596" s="32"/>
      <c r="O596" s="32" t="s">
        <v>1837</v>
      </c>
      <c r="P596" s="278" t="s">
        <v>1838</v>
      </c>
      <c r="Q596" s="233" t="s">
        <v>1836</v>
      </c>
      <c r="R596" s="75">
        <v>1263.5</v>
      </c>
      <c r="S596" s="75">
        <v>321</v>
      </c>
      <c r="T596" s="75">
        <v>1584.5</v>
      </c>
      <c r="U596" s="200">
        <v>642</v>
      </c>
      <c r="V596" s="287">
        <f t="shared" ca="1" si="146"/>
        <v>10</v>
      </c>
      <c r="W596" s="75">
        <f t="shared" ca="1" si="147"/>
        <v>5617.5</v>
      </c>
      <c r="X596" s="200">
        <f t="shared" ca="1" si="148"/>
        <v>6720.5</v>
      </c>
      <c r="Y596" s="1">
        <v>0.25</v>
      </c>
      <c r="Z596" s="1"/>
      <c r="AA596" s="219"/>
      <c r="AB596" s="302" t="s">
        <v>6623</v>
      </c>
      <c r="AC596" s="302"/>
      <c r="AD596" s="302"/>
      <c r="AE596" s="302"/>
      <c r="AF596">
        <f t="shared" si="149"/>
        <v>0</v>
      </c>
    </row>
    <row r="597" spans="1:32" ht="51.75" hidden="1" x14ac:dyDescent="0.25">
      <c r="A597" s="322" t="s">
        <v>1839</v>
      </c>
      <c r="B597" s="93" t="str">
        <f t="shared" si="144"/>
        <v>NO</v>
      </c>
      <c r="C597" s="93" t="s">
        <v>5503</v>
      </c>
      <c r="D597" s="4">
        <v>39463</v>
      </c>
      <c r="E597" s="26">
        <v>39569</v>
      </c>
      <c r="F597" s="2">
        <f t="shared" si="150"/>
        <v>43221</v>
      </c>
      <c r="G597" s="6">
        <v>1400</v>
      </c>
      <c r="H597" s="7" t="s">
        <v>1807</v>
      </c>
      <c r="I597" s="7" t="s">
        <v>512</v>
      </c>
      <c r="J597" s="105" t="s">
        <v>5188</v>
      </c>
      <c r="K597" s="266">
        <f t="shared" si="145"/>
        <v>2018</v>
      </c>
      <c r="L597" s="381"/>
      <c r="M597" s="381"/>
      <c r="N597" s="32"/>
      <c r="O597" s="32" t="s">
        <v>1837</v>
      </c>
      <c r="P597" s="278" t="s">
        <v>1841</v>
      </c>
      <c r="Q597" s="233" t="s">
        <v>1840</v>
      </c>
      <c r="R597" s="75">
        <v>5040</v>
      </c>
      <c r="S597" s="75">
        <v>12600</v>
      </c>
      <c r="T597" s="75">
        <v>17640</v>
      </c>
      <c r="U597" s="200">
        <v>2800</v>
      </c>
      <c r="V597" s="287">
        <f t="shared" ca="1" si="146"/>
        <v>10</v>
      </c>
      <c r="W597" s="75">
        <f t="shared" ca="1" si="147"/>
        <v>24500</v>
      </c>
      <c r="X597" s="200">
        <f t="shared" ca="1" si="148"/>
        <v>40040</v>
      </c>
      <c r="Y597" s="1">
        <v>0.25</v>
      </c>
      <c r="Z597" s="1"/>
      <c r="AA597" s="219"/>
      <c r="AB597" s="302" t="s">
        <v>6624</v>
      </c>
      <c r="AC597" s="302"/>
      <c r="AD597" s="302"/>
      <c r="AE597" s="302"/>
      <c r="AF597">
        <f t="shared" si="149"/>
        <v>0</v>
      </c>
    </row>
    <row r="598" spans="1:32" ht="26.25" hidden="1" x14ac:dyDescent="0.25">
      <c r="A598" s="322" t="s">
        <v>1842</v>
      </c>
      <c r="B598" s="93" t="str">
        <f t="shared" si="144"/>
        <v>NO</v>
      </c>
      <c r="C598" s="93" t="s">
        <v>5503</v>
      </c>
      <c r="D598" s="4">
        <v>39463</v>
      </c>
      <c r="E598" s="26">
        <v>39569</v>
      </c>
      <c r="F598" s="2">
        <f t="shared" si="150"/>
        <v>43221</v>
      </c>
      <c r="G598" s="6">
        <v>327.71</v>
      </c>
      <c r="H598" s="7" t="s">
        <v>1807</v>
      </c>
      <c r="I598" s="7" t="s">
        <v>512</v>
      </c>
      <c r="J598" s="105" t="s">
        <v>5188</v>
      </c>
      <c r="K598" s="266">
        <f t="shared" si="145"/>
        <v>2018</v>
      </c>
      <c r="L598" s="381"/>
      <c r="M598" s="381"/>
      <c r="N598" s="32"/>
      <c r="O598" s="32" t="s">
        <v>1837</v>
      </c>
      <c r="P598" s="278" t="s">
        <v>1844</v>
      </c>
      <c r="Q598" s="233" t="s">
        <v>1843</v>
      </c>
      <c r="R598" s="75">
        <v>1288</v>
      </c>
      <c r="S598" s="75">
        <v>3608</v>
      </c>
      <c r="T598" s="75">
        <v>4896</v>
      </c>
      <c r="U598" s="200">
        <v>656</v>
      </c>
      <c r="V598" s="287">
        <f t="shared" ca="1" si="146"/>
        <v>10</v>
      </c>
      <c r="W598" s="75">
        <f t="shared" ca="1" si="147"/>
        <v>5740</v>
      </c>
      <c r="X598" s="200">
        <f t="shared" ca="1" si="148"/>
        <v>10144</v>
      </c>
      <c r="Y598" s="1">
        <v>0.25</v>
      </c>
      <c r="Z598" s="1"/>
      <c r="AA598" s="219"/>
      <c r="AB598" s="302" t="s">
        <v>6625</v>
      </c>
      <c r="AC598" s="302"/>
      <c r="AD598" s="302"/>
      <c r="AE598" s="302"/>
      <c r="AF598">
        <f t="shared" si="149"/>
        <v>0</v>
      </c>
    </row>
    <row r="599" spans="1:32" ht="26.25" hidden="1" x14ac:dyDescent="0.25">
      <c r="A599" s="322" t="s">
        <v>1845</v>
      </c>
      <c r="B599" s="93" t="str">
        <f t="shared" si="144"/>
        <v>NO</v>
      </c>
      <c r="C599" s="93" t="s">
        <v>5503</v>
      </c>
      <c r="D599" s="4">
        <v>39463</v>
      </c>
      <c r="E599" s="26">
        <v>39569</v>
      </c>
      <c r="F599" s="2">
        <f t="shared" si="150"/>
        <v>43221</v>
      </c>
      <c r="G599" s="6">
        <v>1573.16</v>
      </c>
      <c r="H599" s="7" t="s">
        <v>1807</v>
      </c>
      <c r="I599" s="7" t="s">
        <v>512</v>
      </c>
      <c r="J599" s="105" t="s">
        <v>5188</v>
      </c>
      <c r="K599" s="266">
        <f t="shared" si="145"/>
        <v>2018</v>
      </c>
      <c r="L599" s="381"/>
      <c r="M599" s="381"/>
      <c r="N599" s="32"/>
      <c r="O599" s="32" t="s">
        <v>1847</v>
      </c>
      <c r="P599" s="278" t="s">
        <v>1848</v>
      </c>
      <c r="Q599" s="233" t="s">
        <v>1846</v>
      </c>
      <c r="R599" s="75">
        <v>5649</v>
      </c>
      <c r="S599" s="75">
        <v>33054</v>
      </c>
      <c r="T599" s="75">
        <v>38703</v>
      </c>
      <c r="U599" s="200">
        <v>3148</v>
      </c>
      <c r="V599" s="287">
        <f t="shared" ca="1" si="146"/>
        <v>10</v>
      </c>
      <c r="W599" s="75">
        <f t="shared" ca="1" si="147"/>
        <v>27545</v>
      </c>
      <c r="X599" s="200">
        <f t="shared" ca="1" si="148"/>
        <v>63887</v>
      </c>
      <c r="Y599" s="1">
        <v>0.25</v>
      </c>
      <c r="Z599" s="1"/>
      <c r="AA599" s="219"/>
      <c r="AB599" s="302" t="s">
        <v>6626</v>
      </c>
      <c r="AC599" s="302"/>
      <c r="AD599" s="302"/>
      <c r="AE599" s="302"/>
      <c r="AF599">
        <f t="shared" si="149"/>
        <v>0</v>
      </c>
    </row>
    <row r="600" spans="1:32" ht="26.25" hidden="1" x14ac:dyDescent="0.25">
      <c r="A600" s="322" t="s">
        <v>1849</v>
      </c>
      <c r="B600" s="93" t="str">
        <f t="shared" si="144"/>
        <v>NO</v>
      </c>
      <c r="C600" s="93" t="s">
        <v>5503</v>
      </c>
      <c r="D600" s="4">
        <v>39463</v>
      </c>
      <c r="E600" s="26">
        <v>39569</v>
      </c>
      <c r="F600" s="2">
        <f t="shared" si="150"/>
        <v>43221</v>
      </c>
      <c r="G600" s="6">
        <v>1580.44</v>
      </c>
      <c r="H600" s="7" t="s">
        <v>1807</v>
      </c>
      <c r="I600" s="7" t="s">
        <v>512</v>
      </c>
      <c r="J600" s="105" t="s">
        <v>5188</v>
      </c>
      <c r="K600" s="266">
        <f t="shared" si="145"/>
        <v>2018</v>
      </c>
      <c r="L600" s="381"/>
      <c r="M600" s="381"/>
      <c r="N600" s="32"/>
      <c r="O600" s="32" t="s">
        <v>1847</v>
      </c>
      <c r="P600" s="278" t="s">
        <v>1851</v>
      </c>
      <c r="Q600" s="233" t="s">
        <v>1850</v>
      </c>
      <c r="R600" s="75">
        <v>5673.5</v>
      </c>
      <c r="S600" s="75">
        <v>30039</v>
      </c>
      <c r="T600" s="75">
        <v>35712.5</v>
      </c>
      <c r="U600" s="200">
        <v>3162</v>
      </c>
      <c r="V600" s="287">
        <f t="shared" ca="1" si="146"/>
        <v>10</v>
      </c>
      <c r="W600" s="75">
        <f t="shared" ca="1" si="147"/>
        <v>27667.5</v>
      </c>
      <c r="X600" s="200">
        <f t="shared" ca="1" si="148"/>
        <v>61008.5</v>
      </c>
      <c r="Y600" s="1">
        <v>0.25</v>
      </c>
      <c r="Z600" s="1"/>
      <c r="AA600" s="219"/>
      <c r="AB600" s="302" t="s">
        <v>6627</v>
      </c>
      <c r="AC600" s="302"/>
      <c r="AD600" s="302"/>
      <c r="AE600" s="302"/>
      <c r="AF600">
        <f t="shared" si="149"/>
        <v>0</v>
      </c>
    </row>
    <row r="601" spans="1:32" ht="51.75" hidden="1" x14ac:dyDescent="0.25">
      <c r="A601" s="322" t="s">
        <v>1852</v>
      </c>
      <c r="B601" s="93" t="str">
        <f t="shared" si="144"/>
        <v>NO</v>
      </c>
      <c r="C601" s="93" t="s">
        <v>5503</v>
      </c>
      <c r="D601" s="4">
        <v>39463</v>
      </c>
      <c r="E601" s="26">
        <v>39569</v>
      </c>
      <c r="F601" s="2">
        <f t="shared" si="150"/>
        <v>43221</v>
      </c>
      <c r="G601" s="6">
        <v>1724.8</v>
      </c>
      <c r="H601" s="7" t="s">
        <v>1807</v>
      </c>
      <c r="I601" s="7" t="s">
        <v>512</v>
      </c>
      <c r="J601" s="105" t="s">
        <v>5188</v>
      </c>
      <c r="K601" s="266">
        <f t="shared" si="145"/>
        <v>2018</v>
      </c>
      <c r="L601" s="381"/>
      <c r="M601" s="381"/>
      <c r="N601" s="32"/>
      <c r="O601" s="32" t="s">
        <v>1847</v>
      </c>
      <c r="P601" s="278" t="s">
        <v>1854</v>
      </c>
      <c r="Q601" s="233" t="s">
        <v>1853</v>
      </c>
      <c r="R601" s="75">
        <v>6177.5</v>
      </c>
      <c r="S601" s="75">
        <v>36225</v>
      </c>
      <c r="T601" s="75">
        <v>42402.5</v>
      </c>
      <c r="U601" s="200">
        <v>3450</v>
      </c>
      <c r="V601" s="287">
        <f t="shared" ca="1" si="146"/>
        <v>10</v>
      </c>
      <c r="W601" s="75">
        <f t="shared" ca="1" si="147"/>
        <v>30187.5</v>
      </c>
      <c r="X601" s="200">
        <f t="shared" ca="1" si="148"/>
        <v>70002.5</v>
      </c>
      <c r="Y601" s="1">
        <v>0.25</v>
      </c>
      <c r="Z601" s="1"/>
      <c r="AA601" s="219"/>
      <c r="AB601" s="302" t="s">
        <v>6628</v>
      </c>
      <c r="AC601" s="302"/>
      <c r="AD601" s="302"/>
      <c r="AE601" s="302"/>
      <c r="AF601">
        <f t="shared" si="149"/>
        <v>0</v>
      </c>
    </row>
    <row r="602" spans="1:32" ht="39" hidden="1" x14ac:dyDescent="0.25">
      <c r="A602" s="322" t="s">
        <v>1855</v>
      </c>
      <c r="B602" s="93" t="str">
        <f t="shared" si="144"/>
        <v>NO</v>
      </c>
      <c r="C602" s="93" t="s">
        <v>5503</v>
      </c>
      <c r="D602" s="4">
        <v>39463</v>
      </c>
      <c r="E602" s="26">
        <v>39569</v>
      </c>
      <c r="F602" s="2">
        <f t="shared" si="150"/>
        <v>43221</v>
      </c>
      <c r="G602" s="6">
        <v>1517.4</v>
      </c>
      <c r="H602" s="7" t="s">
        <v>1807</v>
      </c>
      <c r="I602" s="7" t="s">
        <v>512</v>
      </c>
      <c r="J602" s="105" t="s">
        <v>5188</v>
      </c>
      <c r="K602" s="266">
        <f t="shared" si="145"/>
        <v>2018</v>
      </c>
      <c r="L602" s="381"/>
      <c r="M602" s="381"/>
      <c r="N602" s="32"/>
      <c r="O602" s="32" t="s">
        <v>1857</v>
      </c>
      <c r="P602" s="278" t="s">
        <v>1858</v>
      </c>
      <c r="Q602" s="233" t="s">
        <v>1856</v>
      </c>
      <c r="R602" s="75">
        <v>5453</v>
      </c>
      <c r="S602" s="75">
        <v>1518</v>
      </c>
      <c r="T602" s="75">
        <v>6971</v>
      </c>
      <c r="U602" s="200">
        <v>3036</v>
      </c>
      <c r="V602" s="287">
        <f t="shared" ca="1" si="146"/>
        <v>10</v>
      </c>
      <c r="W602" s="75">
        <f t="shared" ca="1" si="147"/>
        <v>26565</v>
      </c>
      <c r="X602" s="200">
        <f t="shared" ca="1" si="148"/>
        <v>31259</v>
      </c>
      <c r="Y602" s="1">
        <v>0.25</v>
      </c>
      <c r="Z602" s="1"/>
      <c r="AA602" s="219"/>
      <c r="AB602" s="302" t="s">
        <v>6629</v>
      </c>
      <c r="AC602" s="302"/>
      <c r="AD602" s="302"/>
      <c r="AE602" s="302"/>
      <c r="AF602">
        <f t="shared" si="149"/>
        <v>0</v>
      </c>
    </row>
    <row r="603" spans="1:32" ht="39" hidden="1" x14ac:dyDescent="0.25">
      <c r="A603" s="322" t="s">
        <v>1859</v>
      </c>
      <c r="B603" s="93" t="str">
        <f t="shared" si="144"/>
        <v>NO</v>
      </c>
      <c r="C603" s="93" t="s">
        <v>5503</v>
      </c>
      <c r="D603" s="4">
        <v>39463</v>
      </c>
      <c r="E603" s="26">
        <v>39569</v>
      </c>
      <c r="F603" s="2">
        <f t="shared" si="150"/>
        <v>43221</v>
      </c>
      <c r="G603" s="6">
        <v>2115.0100000000002</v>
      </c>
      <c r="H603" s="7" t="s">
        <v>1807</v>
      </c>
      <c r="I603" s="7" t="s">
        <v>512</v>
      </c>
      <c r="J603" s="105" t="s">
        <v>5188</v>
      </c>
      <c r="K603" s="266">
        <f t="shared" si="145"/>
        <v>2018</v>
      </c>
      <c r="L603" s="381"/>
      <c r="M603" s="381"/>
      <c r="N603" s="32"/>
      <c r="O603" s="32" t="s">
        <v>1857</v>
      </c>
      <c r="P603" s="278" t="s">
        <v>1861</v>
      </c>
      <c r="Q603" s="233" t="s">
        <v>1860</v>
      </c>
      <c r="R603" s="75">
        <v>7546</v>
      </c>
      <c r="S603" s="75">
        <v>6348</v>
      </c>
      <c r="T603" s="75">
        <v>13894</v>
      </c>
      <c r="U603" s="200">
        <v>4232</v>
      </c>
      <c r="V603" s="287">
        <f t="shared" ca="1" si="146"/>
        <v>10</v>
      </c>
      <c r="W603" s="75">
        <f t="shared" ca="1" si="147"/>
        <v>37030</v>
      </c>
      <c r="X603" s="200">
        <f t="shared" ca="1" si="148"/>
        <v>47750</v>
      </c>
      <c r="Y603" s="1">
        <v>0.25</v>
      </c>
      <c r="Z603" s="1"/>
      <c r="AA603" s="219"/>
      <c r="AB603" s="302" t="s">
        <v>6630</v>
      </c>
      <c r="AC603" s="302"/>
      <c r="AD603" s="302"/>
      <c r="AE603" s="302"/>
      <c r="AF603">
        <f t="shared" si="149"/>
        <v>0</v>
      </c>
    </row>
    <row r="604" spans="1:32" ht="26.25" hidden="1" x14ac:dyDescent="0.25">
      <c r="A604" s="322" t="s">
        <v>1862</v>
      </c>
      <c r="B604" s="93" t="str">
        <f t="shared" si="144"/>
        <v>NO</v>
      </c>
      <c r="C604" s="93" t="s">
        <v>5503</v>
      </c>
      <c r="D604" s="4">
        <v>39463</v>
      </c>
      <c r="E604" s="26">
        <v>39569</v>
      </c>
      <c r="F604" s="2">
        <f t="shared" si="150"/>
        <v>43221</v>
      </c>
      <c r="G604" s="6">
        <v>960</v>
      </c>
      <c r="H604" s="7" t="s">
        <v>1807</v>
      </c>
      <c r="I604" s="7" t="s">
        <v>512</v>
      </c>
      <c r="J604" s="105" t="s">
        <v>5188</v>
      </c>
      <c r="K604" s="266">
        <f t="shared" si="145"/>
        <v>2018</v>
      </c>
      <c r="L604" s="381"/>
      <c r="M604" s="381"/>
      <c r="N604" s="32"/>
      <c r="O604" s="32" t="s">
        <v>1857</v>
      </c>
      <c r="P604" s="278" t="s">
        <v>1864</v>
      </c>
      <c r="Q604" s="233" t="s">
        <v>1863</v>
      </c>
      <c r="R604" s="75">
        <v>3500</v>
      </c>
      <c r="S604" s="75">
        <v>3360</v>
      </c>
      <c r="T604" s="75">
        <v>6860</v>
      </c>
      <c r="U604" s="200">
        <v>1920</v>
      </c>
      <c r="V604" s="287">
        <f t="shared" ca="1" si="146"/>
        <v>10</v>
      </c>
      <c r="W604" s="75">
        <f t="shared" ca="1" si="147"/>
        <v>16800</v>
      </c>
      <c r="X604" s="200">
        <f t="shared" ca="1" si="148"/>
        <v>22220</v>
      </c>
      <c r="Y604" s="1">
        <v>0.25</v>
      </c>
      <c r="Z604" s="1"/>
      <c r="AA604" s="219"/>
      <c r="AB604" s="302" t="s">
        <v>6631</v>
      </c>
      <c r="AC604" s="302"/>
      <c r="AD604" s="302"/>
      <c r="AE604" s="302"/>
      <c r="AF604">
        <f t="shared" si="149"/>
        <v>0</v>
      </c>
    </row>
    <row r="605" spans="1:32" ht="26.25" hidden="1" x14ac:dyDescent="0.25">
      <c r="A605" s="322" t="s">
        <v>1865</v>
      </c>
      <c r="B605" s="93" t="str">
        <f t="shared" si="144"/>
        <v>NO</v>
      </c>
      <c r="C605" s="93" t="s">
        <v>5503</v>
      </c>
      <c r="D605" s="4">
        <v>39463</v>
      </c>
      <c r="E605" s="26">
        <v>39569</v>
      </c>
      <c r="F605" s="2">
        <f t="shared" si="150"/>
        <v>43221</v>
      </c>
      <c r="G605" s="6">
        <v>1035.1199999999999</v>
      </c>
      <c r="H605" s="7" t="s">
        <v>1807</v>
      </c>
      <c r="I605" s="7" t="s">
        <v>512</v>
      </c>
      <c r="J605" s="105" t="s">
        <v>5188</v>
      </c>
      <c r="K605" s="266">
        <f t="shared" si="145"/>
        <v>2018</v>
      </c>
      <c r="L605" s="381"/>
      <c r="M605" s="381"/>
      <c r="N605" s="32"/>
      <c r="O605" s="32" t="s">
        <v>1857</v>
      </c>
      <c r="P605" s="278" t="s">
        <v>1867</v>
      </c>
      <c r="Q605" s="233" t="s">
        <v>1866</v>
      </c>
      <c r="R605" s="75">
        <v>3766</v>
      </c>
      <c r="S605" s="75">
        <v>3108</v>
      </c>
      <c r="T605" s="75">
        <v>6874</v>
      </c>
      <c r="U605" s="200">
        <v>2072</v>
      </c>
      <c r="V605" s="287">
        <f t="shared" ca="1" si="146"/>
        <v>10</v>
      </c>
      <c r="W605" s="75">
        <f t="shared" ca="1" si="147"/>
        <v>18130</v>
      </c>
      <c r="X605" s="200">
        <f t="shared" ca="1" si="148"/>
        <v>23450</v>
      </c>
      <c r="Y605" s="1">
        <v>0.25</v>
      </c>
      <c r="Z605" s="1"/>
      <c r="AA605" s="219"/>
      <c r="AB605" s="302" t="s">
        <v>6632</v>
      </c>
      <c r="AC605" s="302"/>
      <c r="AD605" s="302"/>
      <c r="AE605" s="302"/>
      <c r="AF605">
        <f t="shared" si="149"/>
        <v>0</v>
      </c>
    </row>
    <row r="606" spans="1:32" ht="26.25" hidden="1" x14ac:dyDescent="0.25">
      <c r="A606" s="322" t="s">
        <v>1868</v>
      </c>
      <c r="B606" s="93" t="str">
        <f t="shared" si="144"/>
        <v>NO</v>
      </c>
      <c r="C606" s="93" t="s">
        <v>5503</v>
      </c>
      <c r="D606" s="4">
        <v>39463</v>
      </c>
      <c r="E606" s="26">
        <v>39569</v>
      </c>
      <c r="F606" s="2">
        <f t="shared" si="150"/>
        <v>43221</v>
      </c>
      <c r="G606" s="6">
        <v>480</v>
      </c>
      <c r="H606" s="7" t="s">
        <v>1807</v>
      </c>
      <c r="I606" s="7" t="s">
        <v>512</v>
      </c>
      <c r="J606" s="105" t="s">
        <v>5188</v>
      </c>
      <c r="K606" s="266">
        <f t="shared" si="145"/>
        <v>2018</v>
      </c>
      <c r="L606" s="381"/>
      <c r="M606" s="381"/>
      <c r="N606" s="32"/>
      <c r="O606" s="32" t="s">
        <v>1857</v>
      </c>
      <c r="P606" s="278" t="s">
        <v>1870</v>
      </c>
      <c r="Q606" s="233" t="s">
        <v>1869</v>
      </c>
      <c r="R606" s="75">
        <v>1820</v>
      </c>
      <c r="S606" s="75">
        <v>2400</v>
      </c>
      <c r="T606" s="75">
        <v>4220</v>
      </c>
      <c r="U606" s="200">
        <v>960</v>
      </c>
      <c r="V606" s="287">
        <f t="shared" ca="1" si="146"/>
        <v>10</v>
      </c>
      <c r="W606" s="75">
        <f t="shared" ca="1" si="147"/>
        <v>8400</v>
      </c>
      <c r="X606" s="200">
        <f t="shared" ca="1" si="148"/>
        <v>11900</v>
      </c>
      <c r="Y606" s="1">
        <v>0.25</v>
      </c>
      <c r="Z606" s="1"/>
      <c r="AA606" s="219"/>
      <c r="AB606" s="302" t="s">
        <v>6633</v>
      </c>
      <c r="AC606" s="302"/>
      <c r="AD606" s="302"/>
      <c r="AE606" s="302"/>
      <c r="AF606">
        <f t="shared" si="149"/>
        <v>0</v>
      </c>
    </row>
    <row r="607" spans="1:32" ht="26.25" hidden="1" x14ac:dyDescent="0.25">
      <c r="A607" s="322" t="s">
        <v>1871</v>
      </c>
      <c r="B607" s="93" t="str">
        <f t="shared" si="144"/>
        <v>NO</v>
      </c>
      <c r="C607" s="93" t="s">
        <v>5503</v>
      </c>
      <c r="D607" s="4">
        <v>39463</v>
      </c>
      <c r="E607" s="26">
        <v>39569</v>
      </c>
      <c r="F607" s="2">
        <f t="shared" si="150"/>
        <v>43221</v>
      </c>
      <c r="G607" s="6">
        <v>1840</v>
      </c>
      <c r="H607" s="7" t="s">
        <v>1807</v>
      </c>
      <c r="I607" s="7" t="s">
        <v>512</v>
      </c>
      <c r="J607" s="105" t="s">
        <v>5188</v>
      </c>
      <c r="K607" s="266">
        <f t="shared" si="145"/>
        <v>2018</v>
      </c>
      <c r="L607" s="381"/>
      <c r="M607" s="381"/>
      <c r="N607" s="32"/>
      <c r="O607" s="32" t="s">
        <v>1857</v>
      </c>
      <c r="P607" s="278" t="s">
        <v>1873</v>
      </c>
      <c r="Q607" s="233" t="s">
        <v>1872</v>
      </c>
      <c r="R607" s="75">
        <v>6580</v>
      </c>
      <c r="S607" s="75">
        <v>6440</v>
      </c>
      <c r="T607" s="75">
        <v>13020</v>
      </c>
      <c r="U607" s="200">
        <v>3680</v>
      </c>
      <c r="V607" s="287">
        <f t="shared" ca="1" si="146"/>
        <v>10</v>
      </c>
      <c r="W607" s="75">
        <f t="shared" ca="1" si="147"/>
        <v>32200</v>
      </c>
      <c r="X607" s="200">
        <f t="shared" ca="1" si="148"/>
        <v>42460</v>
      </c>
      <c r="Y607" s="1">
        <v>0.25</v>
      </c>
      <c r="Z607" s="1"/>
      <c r="AA607" s="219"/>
      <c r="AB607" s="302" t="s">
        <v>6634</v>
      </c>
      <c r="AC607" s="302"/>
      <c r="AD607" s="302"/>
      <c r="AE607" s="302"/>
      <c r="AF607">
        <f t="shared" si="149"/>
        <v>0</v>
      </c>
    </row>
    <row r="608" spans="1:32" ht="26.25" hidden="1" x14ac:dyDescent="0.25">
      <c r="A608" s="322" t="s">
        <v>1874</v>
      </c>
      <c r="B608" s="93" t="str">
        <f t="shared" si="144"/>
        <v>NO</v>
      </c>
      <c r="C608" s="93" t="s">
        <v>5503</v>
      </c>
      <c r="D608" s="4">
        <v>39463</v>
      </c>
      <c r="E608" s="26">
        <v>39569</v>
      </c>
      <c r="F608" s="2">
        <f t="shared" si="150"/>
        <v>43221</v>
      </c>
      <c r="G608" s="6">
        <v>1680</v>
      </c>
      <c r="H608" s="7" t="s">
        <v>1807</v>
      </c>
      <c r="I608" s="7" t="s">
        <v>512</v>
      </c>
      <c r="J608" s="105" t="s">
        <v>5188</v>
      </c>
      <c r="K608" s="266">
        <f t="shared" si="145"/>
        <v>2018</v>
      </c>
      <c r="L608" s="381"/>
      <c r="M608" s="381"/>
      <c r="N608" s="32"/>
      <c r="O608" s="32" t="s">
        <v>1857</v>
      </c>
      <c r="P608" s="278" t="s">
        <v>1876</v>
      </c>
      <c r="Q608" s="233" t="s">
        <v>1875</v>
      </c>
      <c r="R608" s="75">
        <v>6020</v>
      </c>
      <c r="S608" s="75">
        <v>5880</v>
      </c>
      <c r="T608" s="75">
        <v>11900</v>
      </c>
      <c r="U608" s="200">
        <v>3360</v>
      </c>
      <c r="V608" s="287">
        <f t="shared" ca="1" si="146"/>
        <v>10</v>
      </c>
      <c r="W608" s="75">
        <f t="shared" ca="1" si="147"/>
        <v>29400</v>
      </c>
      <c r="X608" s="200">
        <f t="shared" ca="1" si="148"/>
        <v>38780</v>
      </c>
      <c r="Y608" s="1">
        <v>0.25</v>
      </c>
      <c r="Z608" s="1"/>
      <c r="AA608" s="219"/>
      <c r="AB608" s="302" t="s">
        <v>6635</v>
      </c>
      <c r="AC608" s="302"/>
      <c r="AD608" s="302"/>
      <c r="AE608" s="302"/>
      <c r="AF608">
        <f t="shared" si="149"/>
        <v>0</v>
      </c>
    </row>
    <row r="609" spans="1:32" ht="26.25" hidden="1" x14ac:dyDescent="0.25">
      <c r="A609" s="322" t="s">
        <v>1877</v>
      </c>
      <c r="B609" s="93" t="str">
        <f t="shared" si="144"/>
        <v>NO</v>
      </c>
      <c r="C609" s="93" t="s">
        <v>5503</v>
      </c>
      <c r="D609" s="4">
        <v>39463</v>
      </c>
      <c r="E609" s="26">
        <v>39569</v>
      </c>
      <c r="F609" s="2">
        <f t="shared" si="150"/>
        <v>43221</v>
      </c>
      <c r="G609" s="6">
        <v>1917.08</v>
      </c>
      <c r="H609" s="7" t="s">
        <v>1807</v>
      </c>
      <c r="I609" s="7" t="s">
        <v>512</v>
      </c>
      <c r="J609" s="105" t="s">
        <v>5188</v>
      </c>
      <c r="K609" s="266">
        <f t="shared" si="145"/>
        <v>2018</v>
      </c>
      <c r="L609" s="381"/>
      <c r="M609" s="381"/>
      <c r="N609" s="32"/>
      <c r="O609" s="32" t="s">
        <v>1857</v>
      </c>
      <c r="P609" s="278" t="s">
        <v>1879</v>
      </c>
      <c r="Q609" s="233" t="s">
        <v>1878</v>
      </c>
      <c r="R609" s="75">
        <v>6853</v>
      </c>
      <c r="S609" s="75">
        <v>6713</v>
      </c>
      <c r="T609" s="75">
        <v>13566</v>
      </c>
      <c r="U609" s="200">
        <v>3836</v>
      </c>
      <c r="V609" s="287">
        <f t="shared" ca="1" si="146"/>
        <v>10</v>
      </c>
      <c r="W609" s="75">
        <f t="shared" ca="1" si="147"/>
        <v>33565</v>
      </c>
      <c r="X609" s="200">
        <f t="shared" ca="1" si="148"/>
        <v>44254</v>
      </c>
      <c r="Y609" s="1">
        <v>0.25</v>
      </c>
      <c r="Z609" s="1"/>
      <c r="AA609" s="219"/>
      <c r="AB609" s="302" t="s">
        <v>6636</v>
      </c>
      <c r="AC609" s="302"/>
      <c r="AD609" s="302"/>
      <c r="AE609" s="302"/>
      <c r="AF609">
        <f t="shared" si="149"/>
        <v>0</v>
      </c>
    </row>
    <row r="610" spans="1:32" ht="39" hidden="1" x14ac:dyDescent="0.25">
      <c r="A610" s="322" t="s">
        <v>1880</v>
      </c>
      <c r="B610" s="93" t="str">
        <f t="shared" si="144"/>
        <v>NO</v>
      </c>
      <c r="C610" s="93" t="s">
        <v>5503</v>
      </c>
      <c r="D610" s="4">
        <v>39463</v>
      </c>
      <c r="E610" s="26">
        <v>39569</v>
      </c>
      <c r="F610" s="2">
        <f t="shared" si="150"/>
        <v>43221</v>
      </c>
      <c r="G610" s="6">
        <v>560</v>
      </c>
      <c r="H610" s="7" t="s">
        <v>1807</v>
      </c>
      <c r="I610" s="7" t="s">
        <v>512</v>
      </c>
      <c r="J610" s="105" t="s">
        <v>5188</v>
      </c>
      <c r="K610" s="266">
        <f t="shared" si="145"/>
        <v>2018</v>
      </c>
      <c r="L610" s="381"/>
      <c r="M610" s="381"/>
      <c r="N610" s="32"/>
      <c r="O610" s="32" t="s">
        <v>1882</v>
      </c>
      <c r="P610" s="278" t="s">
        <v>1883</v>
      </c>
      <c r="Q610" s="233" t="s">
        <v>1881</v>
      </c>
      <c r="R610" s="75">
        <v>2100</v>
      </c>
      <c r="S610" s="75">
        <v>840</v>
      </c>
      <c r="T610" s="75">
        <v>2940</v>
      </c>
      <c r="U610" s="200">
        <v>1120</v>
      </c>
      <c r="V610" s="287">
        <f t="shared" ca="1" si="146"/>
        <v>10</v>
      </c>
      <c r="W610" s="75">
        <f t="shared" ca="1" si="147"/>
        <v>9800</v>
      </c>
      <c r="X610" s="200">
        <f t="shared" ca="1" si="148"/>
        <v>11900</v>
      </c>
      <c r="Y610" s="1">
        <v>0.25</v>
      </c>
      <c r="Z610" s="1"/>
      <c r="AA610" s="219"/>
      <c r="AB610" s="302" t="s">
        <v>6637</v>
      </c>
      <c r="AC610" s="302"/>
      <c r="AD610" s="302"/>
      <c r="AE610" s="302"/>
      <c r="AF610">
        <f t="shared" si="149"/>
        <v>0</v>
      </c>
    </row>
    <row r="611" spans="1:32" ht="39" hidden="1" x14ac:dyDescent="0.25">
      <c r="A611" s="322" t="s">
        <v>1884</v>
      </c>
      <c r="B611" s="93" t="str">
        <f t="shared" si="144"/>
        <v>NO</v>
      </c>
      <c r="C611" s="93" t="s">
        <v>5503</v>
      </c>
      <c r="D611" s="4">
        <v>39463</v>
      </c>
      <c r="E611" s="26">
        <v>39569</v>
      </c>
      <c r="F611" s="2">
        <f t="shared" si="150"/>
        <v>43221</v>
      </c>
      <c r="G611" s="6">
        <v>1016.96</v>
      </c>
      <c r="H611" s="7" t="s">
        <v>1807</v>
      </c>
      <c r="I611" s="7" t="s">
        <v>512</v>
      </c>
      <c r="J611" s="105" t="s">
        <v>5188</v>
      </c>
      <c r="K611" s="266">
        <f t="shared" si="145"/>
        <v>2018</v>
      </c>
      <c r="L611" s="381"/>
      <c r="M611" s="381"/>
      <c r="N611" s="32"/>
      <c r="O611" s="32" t="s">
        <v>1882</v>
      </c>
      <c r="P611" s="278" t="s">
        <v>1886</v>
      </c>
      <c r="Q611" s="233" t="s">
        <v>1885</v>
      </c>
      <c r="R611" s="75">
        <v>3699.5</v>
      </c>
      <c r="S611" s="75">
        <v>3559.5</v>
      </c>
      <c r="T611" s="75">
        <v>7259</v>
      </c>
      <c r="U611" s="200">
        <v>2034</v>
      </c>
      <c r="V611" s="287">
        <f t="shared" ca="1" si="146"/>
        <v>10</v>
      </c>
      <c r="W611" s="75">
        <f t="shared" ca="1" si="147"/>
        <v>17797.5</v>
      </c>
      <c r="X611" s="200">
        <f t="shared" ca="1" si="148"/>
        <v>23531</v>
      </c>
      <c r="Y611" s="1">
        <v>0.25</v>
      </c>
      <c r="Z611" s="1"/>
      <c r="AA611" s="219"/>
      <c r="AB611" s="302" t="s">
        <v>6638</v>
      </c>
      <c r="AC611" s="302"/>
      <c r="AD611" s="302"/>
      <c r="AE611" s="302"/>
      <c r="AF611">
        <f t="shared" si="149"/>
        <v>0</v>
      </c>
    </row>
    <row r="612" spans="1:32" hidden="1" x14ac:dyDescent="0.25">
      <c r="A612" s="322" t="s">
        <v>1887</v>
      </c>
      <c r="B612" s="93" t="str">
        <f t="shared" si="144"/>
        <v>NO</v>
      </c>
      <c r="C612" s="93" t="s">
        <v>5503</v>
      </c>
      <c r="D612" s="4">
        <v>39463</v>
      </c>
      <c r="E612" s="26">
        <v>39569</v>
      </c>
      <c r="F612" s="2">
        <f t="shared" si="150"/>
        <v>43221</v>
      </c>
      <c r="G612" s="6">
        <v>1057.3699999999999</v>
      </c>
      <c r="H612" s="7" t="s">
        <v>1807</v>
      </c>
      <c r="I612" s="7" t="s">
        <v>512</v>
      </c>
      <c r="J612" s="186"/>
      <c r="K612" s="266">
        <f t="shared" si="145"/>
        <v>2018</v>
      </c>
      <c r="L612" s="386"/>
      <c r="M612" s="386"/>
      <c r="N612" s="32"/>
      <c r="O612" s="32" t="s">
        <v>1882</v>
      </c>
      <c r="P612" s="278" t="s">
        <v>1848</v>
      </c>
      <c r="Q612" s="233" t="s">
        <v>1888</v>
      </c>
      <c r="R612" s="75">
        <v>3843</v>
      </c>
      <c r="S612" s="75">
        <v>5819</v>
      </c>
      <c r="T612" s="75">
        <v>9662</v>
      </c>
      <c r="U612" s="200">
        <v>2116</v>
      </c>
      <c r="V612" s="287">
        <f t="shared" ca="1" si="146"/>
        <v>10</v>
      </c>
      <c r="W612" s="75">
        <f t="shared" ca="1" si="147"/>
        <v>18515</v>
      </c>
      <c r="X612" s="200">
        <f t="shared" ca="1" si="148"/>
        <v>26590</v>
      </c>
      <c r="Y612" s="1">
        <v>0.25</v>
      </c>
      <c r="Z612" s="1"/>
      <c r="AA612" s="219"/>
      <c r="AB612" s="302" t="s">
        <v>6639</v>
      </c>
      <c r="AC612" s="302"/>
      <c r="AD612" s="302"/>
      <c r="AE612" s="302"/>
      <c r="AF612">
        <f t="shared" si="149"/>
        <v>0</v>
      </c>
    </row>
    <row r="613" spans="1:32" hidden="1" x14ac:dyDescent="0.25">
      <c r="A613" s="322" t="s">
        <v>1889</v>
      </c>
      <c r="B613" s="93" t="str">
        <f t="shared" si="144"/>
        <v>NO</v>
      </c>
      <c r="C613" s="93" t="s">
        <v>5503</v>
      </c>
      <c r="D613" s="4">
        <v>39463</v>
      </c>
      <c r="E613" s="26">
        <v>39569</v>
      </c>
      <c r="F613" s="2">
        <f t="shared" si="150"/>
        <v>43221</v>
      </c>
      <c r="G613" s="6">
        <v>360</v>
      </c>
      <c r="H613" s="7" t="s">
        <v>1807</v>
      </c>
      <c r="I613" s="7" t="s">
        <v>512</v>
      </c>
      <c r="J613" s="186"/>
      <c r="K613" s="266">
        <f t="shared" si="145"/>
        <v>2018</v>
      </c>
      <c r="L613" s="386"/>
      <c r="M613" s="386"/>
      <c r="N613" s="32"/>
      <c r="O613" s="32" t="s">
        <v>1882</v>
      </c>
      <c r="P613" s="278" t="s">
        <v>1891</v>
      </c>
      <c r="Q613" s="233" t="s">
        <v>1890</v>
      </c>
      <c r="R613" s="75">
        <v>1400</v>
      </c>
      <c r="S613" s="75">
        <v>540</v>
      </c>
      <c r="T613" s="75">
        <v>1940</v>
      </c>
      <c r="U613" s="200">
        <v>720</v>
      </c>
      <c r="V613" s="287">
        <f t="shared" ca="1" si="146"/>
        <v>10</v>
      </c>
      <c r="W613" s="75">
        <f t="shared" ca="1" si="147"/>
        <v>6300</v>
      </c>
      <c r="X613" s="200">
        <f t="shared" ca="1" si="148"/>
        <v>7700</v>
      </c>
      <c r="Y613" s="1">
        <v>0.25</v>
      </c>
      <c r="Z613" s="1"/>
      <c r="AA613" s="219"/>
      <c r="AB613" s="302" t="s">
        <v>6640</v>
      </c>
      <c r="AC613" s="302"/>
      <c r="AD613" s="302"/>
      <c r="AE613" s="302"/>
      <c r="AF613">
        <f t="shared" si="149"/>
        <v>0</v>
      </c>
    </row>
    <row r="614" spans="1:32" ht="51.75" hidden="1" x14ac:dyDescent="0.25">
      <c r="A614" s="322" t="s">
        <v>1892</v>
      </c>
      <c r="B614" s="93" t="str">
        <f t="shared" si="144"/>
        <v>NO</v>
      </c>
      <c r="C614" s="93" t="s">
        <v>5503</v>
      </c>
      <c r="D614" s="4">
        <v>39463</v>
      </c>
      <c r="E614" s="26">
        <v>39569</v>
      </c>
      <c r="F614" s="2">
        <f t="shared" si="150"/>
        <v>43221</v>
      </c>
      <c r="G614" s="6">
        <v>1120</v>
      </c>
      <c r="H614" s="7" t="s">
        <v>1807</v>
      </c>
      <c r="I614" s="7" t="s">
        <v>512</v>
      </c>
      <c r="J614" s="186"/>
      <c r="K614" s="266">
        <f t="shared" si="145"/>
        <v>2018</v>
      </c>
      <c r="L614" s="386"/>
      <c r="M614" s="386"/>
      <c r="N614" s="32"/>
      <c r="O614" s="32" t="s">
        <v>1894</v>
      </c>
      <c r="P614" s="278" t="s">
        <v>1895</v>
      </c>
      <c r="Q614" s="233" t="s">
        <v>1893</v>
      </c>
      <c r="R614" s="75">
        <v>4060</v>
      </c>
      <c r="S614" s="75">
        <v>12880</v>
      </c>
      <c r="T614" s="75">
        <v>16940</v>
      </c>
      <c r="U614" s="200">
        <v>2240</v>
      </c>
      <c r="V614" s="287">
        <f t="shared" ca="1" si="146"/>
        <v>10</v>
      </c>
      <c r="W614" s="75">
        <f t="shared" ca="1" si="147"/>
        <v>19600</v>
      </c>
      <c r="X614" s="200">
        <f t="shared" ca="1" si="148"/>
        <v>34860</v>
      </c>
      <c r="Y614" s="1">
        <v>0.25</v>
      </c>
      <c r="Z614" s="1"/>
      <c r="AA614" s="219"/>
      <c r="AB614" s="302" t="s">
        <v>6641</v>
      </c>
      <c r="AC614" s="302"/>
      <c r="AD614" s="302"/>
      <c r="AE614" s="302"/>
      <c r="AF614">
        <f t="shared" si="149"/>
        <v>0</v>
      </c>
    </row>
    <row r="615" spans="1:32" hidden="1" x14ac:dyDescent="0.25">
      <c r="A615" s="322" t="s">
        <v>1896</v>
      </c>
      <c r="B615" s="93" t="str">
        <f t="shared" si="144"/>
        <v>NO</v>
      </c>
      <c r="C615" s="93" t="s">
        <v>5503</v>
      </c>
      <c r="D615" s="4">
        <v>39463</v>
      </c>
      <c r="E615" s="26">
        <v>39569</v>
      </c>
      <c r="F615" s="2">
        <f t="shared" si="150"/>
        <v>43221</v>
      </c>
      <c r="G615" s="6">
        <v>2025.18</v>
      </c>
      <c r="H615" s="7" t="s">
        <v>1807</v>
      </c>
      <c r="I615" s="7" t="s">
        <v>512</v>
      </c>
      <c r="J615" s="186"/>
      <c r="K615" s="266">
        <f t="shared" si="145"/>
        <v>2018</v>
      </c>
      <c r="L615" s="386"/>
      <c r="M615" s="386"/>
      <c r="N615" s="32"/>
      <c r="O615" s="32" t="s">
        <v>1894</v>
      </c>
      <c r="P615" s="278" t="s">
        <v>1851</v>
      </c>
      <c r="Q615" s="233" t="s">
        <v>1897</v>
      </c>
      <c r="R615" s="75">
        <v>7231</v>
      </c>
      <c r="S615" s="75">
        <v>23299</v>
      </c>
      <c r="T615" s="75">
        <v>30530</v>
      </c>
      <c r="U615" s="200">
        <v>4052</v>
      </c>
      <c r="V615" s="287">
        <f t="shared" ca="1" si="146"/>
        <v>10</v>
      </c>
      <c r="W615" s="75">
        <f t="shared" ca="1" si="147"/>
        <v>35455</v>
      </c>
      <c r="X615" s="200">
        <f t="shared" ca="1" si="148"/>
        <v>62946</v>
      </c>
      <c r="Y615" s="1">
        <v>0.25</v>
      </c>
      <c r="Z615" s="1"/>
      <c r="AA615" s="219"/>
      <c r="AB615" s="302" t="s">
        <v>6642</v>
      </c>
      <c r="AC615" s="302"/>
      <c r="AD615" s="302"/>
      <c r="AE615" s="302"/>
      <c r="AF615">
        <f t="shared" si="149"/>
        <v>0</v>
      </c>
    </row>
    <row r="616" spans="1:32" ht="26.25" hidden="1" x14ac:dyDescent="0.25">
      <c r="A616" s="322" t="s">
        <v>1898</v>
      </c>
      <c r="B616" s="93" t="str">
        <f t="shared" si="144"/>
        <v>NO</v>
      </c>
      <c r="C616" s="93" t="s">
        <v>5503</v>
      </c>
      <c r="D616" s="4">
        <v>39463</v>
      </c>
      <c r="E616" s="91">
        <v>39508</v>
      </c>
      <c r="F616" s="2">
        <f t="shared" si="150"/>
        <v>43160</v>
      </c>
      <c r="G616" s="6">
        <v>400</v>
      </c>
      <c r="H616" s="7" t="s">
        <v>1807</v>
      </c>
      <c r="I616" s="7" t="s">
        <v>512</v>
      </c>
      <c r="J616" s="186"/>
      <c r="K616" s="266">
        <f t="shared" si="145"/>
        <v>2018</v>
      </c>
      <c r="L616" s="386"/>
      <c r="M616" s="386"/>
      <c r="N616" s="32"/>
      <c r="O616" s="32" t="s">
        <v>1900</v>
      </c>
      <c r="P616" s="278" t="s">
        <v>1901</v>
      </c>
      <c r="Q616" s="233" t="s">
        <v>1899</v>
      </c>
      <c r="R616" s="75">
        <v>1540</v>
      </c>
      <c r="S616" s="75">
        <v>12000</v>
      </c>
      <c r="T616" s="75">
        <v>13540</v>
      </c>
      <c r="U616" s="200">
        <v>800</v>
      </c>
      <c r="V616" s="287">
        <f t="shared" ca="1" si="146"/>
        <v>10</v>
      </c>
      <c r="W616" s="75">
        <f t="shared" ca="1" si="147"/>
        <v>7000</v>
      </c>
      <c r="X616" s="200">
        <f t="shared" ca="1" si="148"/>
        <v>19940</v>
      </c>
      <c r="Y616" s="1">
        <v>0.25</v>
      </c>
      <c r="Z616" s="1"/>
      <c r="AA616" s="219"/>
      <c r="AB616" s="302" t="s">
        <v>6643</v>
      </c>
      <c r="AC616" s="302"/>
      <c r="AD616" s="302"/>
      <c r="AE616" s="302"/>
      <c r="AF616">
        <f t="shared" si="149"/>
        <v>0</v>
      </c>
    </row>
    <row r="617" spans="1:32" ht="39" hidden="1" x14ac:dyDescent="0.25">
      <c r="A617" s="322" t="s">
        <v>1902</v>
      </c>
      <c r="B617" s="93" t="str">
        <f t="shared" ref="B617:B646" si="151">IF(COUNTIF(GIS,A617),"YES","NO")</f>
        <v>NO</v>
      </c>
      <c r="C617" s="93" t="s">
        <v>5503</v>
      </c>
      <c r="D617" s="4">
        <v>39463</v>
      </c>
      <c r="E617" s="91">
        <v>39508</v>
      </c>
      <c r="F617" s="2">
        <f t="shared" si="150"/>
        <v>43160</v>
      </c>
      <c r="G617" s="6">
        <v>868.12</v>
      </c>
      <c r="H617" s="7" t="s">
        <v>1807</v>
      </c>
      <c r="I617" s="7" t="s">
        <v>512</v>
      </c>
      <c r="J617" s="186"/>
      <c r="K617" s="266">
        <f t="shared" ref="K617:K646" si="152">YEAR(F617)</f>
        <v>2018</v>
      </c>
      <c r="L617" s="386"/>
      <c r="M617" s="386"/>
      <c r="N617" s="32"/>
      <c r="O617" s="32" t="s">
        <v>1900</v>
      </c>
      <c r="P617" s="278" t="s">
        <v>1904</v>
      </c>
      <c r="Q617" s="233" t="s">
        <v>1903</v>
      </c>
      <c r="R617" s="75">
        <v>3181.5</v>
      </c>
      <c r="S617" s="75">
        <v>16511</v>
      </c>
      <c r="T617" s="75">
        <v>19692.5</v>
      </c>
      <c r="U617" s="200">
        <v>1738</v>
      </c>
      <c r="V617" s="287">
        <f t="shared" ref="V617:V646" ca="1" si="153">IF(YEAR($W$3)-YEAR(E617)&gt;9,10,IF(MONTH($W$3)&lt;MONTH(E617),YEAR($W$3)-YEAR(E617),YEAR($W$3)-YEAR(E617)+1))</f>
        <v>10</v>
      </c>
      <c r="W617" s="75">
        <f t="shared" ref="W617:W646" ca="1" si="154">IF(V617&lt;6, ROUNDUP(G617,0)*$W$6*V617, ROUNDUP(G617,0)*($W$6*5 + (V617-5)*$W$7))</f>
        <v>15207.5</v>
      </c>
      <c r="X617" s="200">
        <f t="shared" ca="1" si="148"/>
        <v>33596.5</v>
      </c>
      <c r="Y617" s="1">
        <v>0.25</v>
      </c>
      <c r="Z617" s="1"/>
      <c r="AA617" s="219"/>
      <c r="AB617" s="302" t="s">
        <v>6644</v>
      </c>
      <c r="AC617" s="302"/>
      <c r="AD617" s="302"/>
      <c r="AE617" s="302"/>
      <c r="AF617">
        <f t="shared" si="149"/>
        <v>0</v>
      </c>
    </row>
    <row r="618" spans="1:32" ht="26.25" hidden="1" x14ac:dyDescent="0.25">
      <c r="A618" s="322" t="s">
        <v>1905</v>
      </c>
      <c r="B618" s="93" t="str">
        <f t="shared" si="151"/>
        <v>NO</v>
      </c>
      <c r="C618" s="93" t="s">
        <v>5503</v>
      </c>
      <c r="D618" s="4">
        <v>39463</v>
      </c>
      <c r="E618" s="91">
        <v>39508</v>
      </c>
      <c r="F618" s="2">
        <f t="shared" si="150"/>
        <v>43160</v>
      </c>
      <c r="G618" s="6">
        <v>547.96</v>
      </c>
      <c r="H618" s="7" t="s">
        <v>1807</v>
      </c>
      <c r="I618" s="7" t="s">
        <v>512</v>
      </c>
      <c r="J618" s="186"/>
      <c r="K618" s="266">
        <f t="shared" si="152"/>
        <v>2018</v>
      </c>
      <c r="L618" s="386"/>
      <c r="M618" s="386"/>
      <c r="N618" s="32"/>
      <c r="O618" s="32" t="s">
        <v>1907</v>
      </c>
      <c r="P618" s="278" t="s">
        <v>1908</v>
      </c>
      <c r="Q618" s="233" t="s">
        <v>1906</v>
      </c>
      <c r="R618" s="75">
        <v>2058</v>
      </c>
      <c r="S618" s="75">
        <v>12604</v>
      </c>
      <c r="T618" s="75">
        <v>14662</v>
      </c>
      <c r="U618" s="200">
        <v>1096</v>
      </c>
      <c r="V618" s="287">
        <f t="shared" ca="1" si="153"/>
        <v>10</v>
      </c>
      <c r="W618" s="75">
        <f t="shared" ca="1" si="154"/>
        <v>9590</v>
      </c>
      <c r="X618" s="200">
        <f t="shared" ca="1" si="148"/>
        <v>23430</v>
      </c>
      <c r="Y618" s="1">
        <v>0.25</v>
      </c>
      <c r="Z618" s="1"/>
      <c r="AA618" s="219"/>
      <c r="AB618" s="302" t="s">
        <v>6645</v>
      </c>
      <c r="AC618" s="302"/>
      <c r="AD618" s="302"/>
      <c r="AE618" s="302"/>
      <c r="AF618">
        <f t="shared" si="149"/>
        <v>0</v>
      </c>
    </row>
    <row r="619" spans="1:32" hidden="1" x14ac:dyDescent="0.25">
      <c r="A619" s="322" t="s">
        <v>1909</v>
      </c>
      <c r="B619" s="93" t="str">
        <f t="shared" si="151"/>
        <v>NO</v>
      </c>
      <c r="C619" s="93" t="s">
        <v>5503</v>
      </c>
      <c r="D619" s="4">
        <v>39463</v>
      </c>
      <c r="E619" s="91">
        <v>39508</v>
      </c>
      <c r="F619" s="2">
        <f t="shared" si="150"/>
        <v>43160</v>
      </c>
      <c r="G619" s="6">
        <v>48.18</v>
      </c>
      <c r="H619" s="7" t="s">
        <v>1807</v>
      </c>
      <c r="I619" s="7" t="s">
        <v>512</v>
      </c>
      <c r="J619" s="186"/>
      <c r="K619" s="266">
        <f t="shared" si="152"/>
        <v>2018</v>
      </c>
      <c r="L619" s="386"/>
      <c r="M619" s="386"/>
      <c r="N619" s="32"/>
      <c r="O619" s="32" t="s">
        <v>1907</v>
      </c>
      <c r="P619" s="278" t="s">
        <v>1911</v>
      </c>
      <c r="Q619" s="233" t="s">
        <v>1910</v>
      </c>
      <c r="R619" s="75">
        <v>311.5</v>
      </c>
      <c r="S619" s="75">
        <v>1127</v>
      </c>
      <c r="T619" s="75">
        <v>1438.5</v>
      </c>
      <c r="U619" s="200">
        <v>98</v>
      </c>
      <c r="V619" s="287">
        <f t="shared" ca="1" si="153"/>
        <v>10</v>
      </c>
      <c r="W619" s="75">
        <f t="shared" ca="1" si="154"/>
        <v>857.5</v>
      </c>
      <c r="X619" s="200">
        <f t="shared" ca="1" si="148"/>
        <v>2222.5</v>
      </c>
      <c r="Y619" s="1">
        <v>0.25</v>
      </c>
      <c r="Z619" s="1"/>
      <c r="AA619" s="219"/>
      <c r="AB619" s="302" t="s">
        <v>6646</v>
      </c>
      <c r="AC619" s="302"/>
      <c r="AD619" s="302"/>
      <c r="AE619" s="302"/>
      <c r="AF619">
        <f t="shared" si="149"/>
        <v>0</v>
      </c>
    </row>
    <row r="620" spans="1:32" ht="26.25" hidden="1" x14ac:dyDescent="0.25">
      <c r="A620" s="322" t="s">
        <v>1912</v>
      </c>
      <c r="B620" s="93" t="str">
        <f t="shared" si="151"/>
        <v>NO</v>
      </c>
      <c r="C620" s="93" t="s">
        <v>5503</v>
      </c>
      <c r="D620" s="4">
        <v>39463</v>
      </c>
      <c r="E620" s="26">
        <v>39569</v>
      </c>
      <c r="F620" s="2">
        <f t="shared" si="150"/>
        <v>43221</v>
      </c>
      <c r="G620" s="6">
        <v>640</v>
      </c>
      <c r="H620" s="7" t="s">
        <v>899</v>
      </c>
      <c r="I620" s="7" t="s">
        <v>512</v>
      </c>
      <c r="J620" s="109" t="s">
        <v>1914</v>
      </c>
      <c r="K620" s="266">
        <f t="shared" si="152"/>
        <v>2018</v>
      </c>
      <c r="L620" s="385"/>
      <c r="M620" s="385"/>
      <c r="N620" s="32"/>
      <c r="O620" s="32" t="s">
        <v>1915</v>
      </c>
      <c r="P620" s="278" t="s">
        <v>1916</v>
      </c>
      <c r="Q620" s="233" t="s">
        <v>1913</v>
      </c>
      <c r="R620" s="75">
        <v>2380</v>
      </c>
      <c r="S620" s="75">
        <v>143040</v>
      </c>
      <c r="T620" s="75">
        <v>145420</v>
      </c>
      <c r="U620" s="200">
        <v>1280</v>
      </c>
      <c r="V620" s="287">
        <f t="shared" ca="1" si="153"/>
        <v>10</v>
      </c>
      <c r="W620" s="75">
        <f t="shared" ca="1" si="154"/>
        <v>11200</v>
      </c>
      <c r="X620" s="200">
        <f t="shared" ca="1" si="148"/>
        <v>155660</v>
      </c>
      <c r="Y620" s="1">
        <v>0.25</v>
      </c>
      <c r="Z620" s="1"/>
      <c r="AA620" s="219"/>
      <c r="AB620" s="302" t="s">
        <v>5401</v>
      </c>
      <c r="AC620" s="308">
        <v>42829</v>
      </c>
      <c r="AD620" s="309">
        <v>0.25</v>
      </c>
      <c r="AE620" s="312" t="s">
        <v>6239</v>
      </c>
      <c r="AF620">
        <f t="shared" si="149"/>
        <v>0</v>
      </c>
    </row>
    <row r="621" spans="1:32" hidden="1" x14ac:dyDescent="0.25">
      <c r="A621" s="322" t="s">
        <v>1917</v>
      </c>
      <c r="B621" s="93" t="str">
        <f t="shared" si="151"/>
        <v>NO</v>
      </c>
      <c r="C621" s="93" t="s">
        <v>5503</v>
      </c>
      <c r="D621" s="4">
        <v>39463</v>
      </c>
      <c r="E621" s="26">
        <v>39569</v>
      </c>
      <c r="F621" s="2">
        <f t="shared" si="150"/>
        <v>43221</v>
      </c>
      <c r="G621" s="6">
        <v>625.98</v>
      </c>
      <c r="H621" s="7" t="s">
        <v>1919</v>
      </c>
      <c r="I621" s="7" t="s">
        <v>512</v>
      </c>
      <c r="J621" s="186"/>
      <c r="K621" s="266">
        <f t="shared" si="152"/>
        <v>2018</v>
      </c>
      <c r="L621" s="386"/>
      <c r="M621" s="386"/>
      <c r="N621" s="32"/>
      <c r="O621" s="32" t="s">
        <v>1920</v>
      </c>
      <c r="P621" s="278" t="s">
        <v>1921</v>
      </c>
      <c r="Q621" s="233" t="s">
        <v>1918</v>
      </c>
      <c r="R621" s="75">
        <v>2331</v>
      </c>
      <c r="S621" s="75">
        <v>313</v>
      </c>
      <c r="T621" s="75">
        <v>2644</v>
      </c>
      <c r="U621" s="200">
        <v>1252</v>
      </c>
      <c r="V621" s="287">
        <f t="shared" ca="1" si="153"/>
        <v>10</v>
      </c>
      <c r="W621" s="75">
        <f t="shared" ca="1" si="154"/>
        <v>10955</v>
      </c>
      <c r="X621" s="200">
        <f t="shared" ca="1" si="148"/>
        <v>12660</v>
      </c>
      <c r="Y621" s="1">
        <v>0.25</v>
      </c>
      <c r="Z621" s="1"/>
      <c r="AA621" s="219"/>
      <c r="AB621" s="302" t="s">
        <v>6647</v>
      </c>
      <c r="AC621" s="302"/>
      <c r="AD621" s="302"/>
      <c r="AE621" s="302"/>
      <c r="AF621">
        <f t="shared" si="149"/>
        <v>0</v>
      </c>
    </row>
    <row r="622" spans="1:32" ht="39" hidden="1" x14ac:dyDescent="0.25">
      <c r="A622" s="322" t="s">
        <v>1922</v>
      </c>
      <c r="B622" s="93" t="str">
        <f t="shared" si="151"/>
        <v>NO</v>
      </c>
      <c r="C622" s="93" t="s">
        <v>5503</v>
      </c>
      <c r="D622" s="4">
        <v>39463</v>
      </c>
      <c r="E622" s="26">
        <v>39569</v>
      </c>
      <c r="F622" s="2">
        <f t="shared" si="150"/>
        <v>43221</v>
      </c>
      <c r="G622" s="6">
        <v>2547.62</v>
      </c>
      <c r="H622" s="7" t="s">
        <v>1919</v>
      </c>
      <c r="I622" s="7" t="s">
        <v>512</v>
      </c>
      <c r="J622" s="186"/>
      <c r="K622" s="266">
        <f t="shared" si="152"/>
        <v>2018</v>
      </c>
      <c r="L622" s="386"/>
      <c r="M622" s="386"/>
      <c r="N622" s="32"/>
      <c r="O622" s="32" t="s">
        <v>1924</v>
      </c>
      <c r="P622" s="278" t="s">
        <v>1925</v>
      </c>
      <c r="Q622" s="233" t="s">
        <v>1923</v>
      </c>
      <c r="R622" s="75">
        <v>9058</v>
      </c>
      <c r="S622" s="75">
        <v>1274</v>
      </c>
      <c r="T622" s="75">
        <v>10332</v>
      </c>
      <c r="U622" s="200">
        <v>5096</v>
      </c>
      <c r="V622" s="287">
        <f t="shared" ca="1" si="153"/>
        <v>10</v>
      </c>
      <c r="W622" s="75">
        <f t="shared" ca="1" si="154"/>
        <v>44590</v>
      </c>
      <c r="X622" s="200">
        <f t="shared" ca="1" si="148"/>
        <v>51100</v>
      </c>
      <c r="Y622" s="1">
        <v>0.25</v>
      </c>
      <c r="Z622" s="1"/>
      <c r="AA622" s="219"/>
      <c r="AB622" s="302" t="s">
        <v>6648</v>
      </c>
      <c r="AC622" s="302"/>
      <c r="AD622" s="302"/>
      <c r="AE622" s="302"/>
      <c r="AF622">
        <f t="shared" si="149"/>
        <v>0</v>
      </c>
    </row>
    <row r="623" spans="1:32" hidden="1" x14ac:dyDescent="0.25">
      <c r="A623" s="322" t="s">
        <v>1926</v>
      </c>
      <c r="B623" s="93" t="str">
        <f t="shared" si="151"/>
        <v>NO</v>
      </c>
      <c r="C623" s="93" t="s">
        <v>5503</v>
      </c>
      <c r="D623" s="4">
        <v>39463</v>
      </c>
      <c r="E623" s="26">
        <v>39569</v>
      </c>
      <c r="F623" s="2">
        <f t="shared" si="150"/>
        <v>43221</v>
      </c>
      <c r="G623" s="6">
        <v>960</v>
      </c>
      <c r="H623" s="7" t="s">
        <v>1919</v>
      </c>
      <c r="I623" s="7" t="s">
        <v>512</v>
      </c>
      <c r="J623" s="186"/>
      <c r="K623" s="266">
        <f t="shared" si="152"/>
        <v>2018</v>
      </c>
      <c r="L623" s="386"/>
      <c r="M623" s="386"/>
      <c r="N623" s="32"/>
      <c r="O623" s="32" t="s">
        <v>1924</v>
      </c>
      <c r="P623" s="278" t="s">
        <v>1928</v>
      </c>
      <c r="Q623" s="233" t="s">
        <v>1927</v>
      </c>
      <c r="R623" s="75">
        <v>3500</v>
      </c>
      <c r="S623" s="75">
        <v>480</v>
      </c>
      <c r="T623" s="75">
        <v>3980</v>
      </c>
      <c r="U623" s="200">
        <v>1920</v>
      </c>
      <c r="V623" s="287">
        <f t="shared" ca="1" si="153"/>
        <v>10</v>
      </c>
      <c r="W623" s="75">
        <f t="shared" ca="1" si="154"/>
        <v>16800</v>
      </c>
      <c r="X623" s="200">
        <f t="shared" ca="1" si="148"/>
        <v>19340</v>
      </c>
      <c r="Y623" s="1">
        <v>0.25</v>
      </c>
      <c r="Z623" s="1"/>
      <c r="AA623" s="219"/>
      <c r="AB623" s="302" t="s">
        <v>6649</v>
      </c>
      <c r="AC623" s="302"/>
      <c r="AD623" s="302"/>
      <c r="AE623" s="302"/>
      <c r="AF623">
        <f t="shared" si="149"/>
        <v>0</v>
      </c>
    </row>
    <row r="624" spans="1:32" ht="26.25" hidden="1" x14ac:dyDescent="0.25">
      <c r="A624" s="322" t="s">
        <v>1929</v>
      </c>
      <c r="B624" s="93" t="str">
        <f t="shared" si="151"/>
        <v>NO</v>
      </c>
      <c r="C624" s="93" t="s">
        <v>5503</v>
      </c>
      <c r="D624" s="4">
        <v>39463</v>
      </c>
      <c r="E624" s="26">
        <v>39569</v>
      </c>
      <c r="F624" s="2">
        <f t="shared" si="150"/>
        <v>43221</v>
      </c>
      <c r="G624" s="6">
        <v>1920</v>
      </c>
      <c r="H624" s="7" t="s">
        <v>1919</v>
      </c>
      <c r="I624" s="7" t="s">
        <v>512</v>
      </c>
      <c r="J624" s="186"/>
      <c r="K624" s="266">
        <f t="shared" si="152"/>
        <v>2018</v>
      </c>
      <c r="L624" s="386"/>
      <c r="M624" s="386"/>
      <c r="N624" s="32"/>
      <c r="O624" s="32" t="s">
        <v>1924</v>
      </c>
      <c r="P624" s="278" t="s">
        <v>1931</v>
      </c>
      <c r="Q624" s="233" t="s">
        <v>1930</v>
      </c>
      <c r="R624" s="75">
        <v>6860</v>
      </c>
      <c r="S624" s="75">
        <v>960</v>
      </c>
      <c r="T624" s="75">
        <v>7820</v>
      </c>
      <c r="U624" s="200">
        <v>3840</v>
      </c>
      <c r="V624" s="287">
        <f t="shared" ca="1" si="153"/>
        <v>10</v>
      </c>
      <c r="W624" s="75">
        <f t="shared" ca="1" si="154"/>
        <v>33600</v>
      </c>
      <c r="X624" s="200">
        <f t="shared" ca="1" si="148"/>
        <v>38540</v>
      </c>
      <c r="Y624" s="1">
        <v>0.25</v>
      </c>
      <c r="Z624" s="1"/>
      <c r="AA624" s="219"/>
      <c r="AB624" s="302" t="s">
        <v>6650</v>
      </c>
      <c r="AC624" s="302"/>
      <c r="AD624" s="302"/>
      <c r="AE624" s="302"/>
      <c r="AF624">
        <f t="shared" si="149"/>
        <v>0</v>
      </c>
    </row>
    <row r="625" spans="1:32" ht="26.25" hidden="1" x14ac:dyDescent="0.25">
      <c r="A625" s="322" t="s">
        <v>1932</v>
      </c>
      <c r="B625" s="93" t="str">
        <f t="shared" si="151"/>
        <v>NO</v>
      </c>
      <c r="C625" s="93" t="s">
        <v>5503</v>
      </c>
      <c r="D625" s="4">
        <v>39463</v>
      </c>
      <c r="E625" s="26">
        <v>39569</v>
      </c>
      <c r="F625" s="2">
        <f t="shared" si="150"/>
        <v>43221</v>
      </c>
      <c r="G625" s="6">
        <v>654.70000000000005</v>
      </c>
      <c r="H625" s="7" t="s">
        <v>1919</v>
      </c>
      <c r="I625" s="7" t="s">
        <v>512</v>
      </c>
      <c r="J625" s="186"/>
      <c r="K625" s="266">
        <f t="shared" si="152"/>
        <v>2018</v>
      </c>
      <c r="L625" s="386"/>
      <c r="M625" s="386"/>
      <c r="N625" s="32"/>
      <c r="O625" s="32" t="s">
        <v>1934</v>
      </c>
      <c r="P625" s="278" t="s">
        <v>1935</v>
      </c>
      <c r="Q625" s="233" t="s">
        <v>1933</v>
      </c>
      <c r="R625" s="75">
        <v>2432.5</v>
      </c>
      <c r="S625" s="75">
        <v>327.5</v>
      </c>
      <c r="T625" s="75">
        <v>2760</v>
      </c>
      <c r="U625" s="200">
        <v>1310</v>
      </c>
      <c r="V625" s="287">
        <f t="shared" ca="1" si="153"/>
        <v>10</v>
      </c>
      <c r="W625" s="75">
        <f t="shared" ca="1" si="154"/>
        <v>11462.5</v>
      </c>
      <c r="X625" s="200">
        <f t="shared" ca="1" si="148"/>
        <v>13240</v>
      </c>
      <c r="Y625" s="1">
        <v>0.25</v>
      </c>
      <c r="Z625" s="1"/>
      <c r="AA625" s="219"/>
      <c r="AB625" s="302" t="s">
        <v>6651</v>
      </c>
      <c r="AC625" s="302"/>
      <c r="AD625" s="302"/>
      <c r="AE625" s="302"/>
      <c r="AF625">
        <f t="shared" si="149"/>
        <v>0</v>
      </c>
    </row>
    <row r="626" spans="1:32" ht="26.25" hidden="1" x14ac:dyDescent="0.25">
      <c r="A626" s="322" t="s">
        <v>1936</v>
      </c>
      <c r="B626" s="93" t="str">
        <f t="shared" si="151"/>
        <v>NO</v>
      </c>
      <c r="C626" s="93" t="s">
        <v>5503</v>
      </c>
      <c r="D626" s="4">
        <v>39463</v>
      </c>
      <c r="E626" s="26">
        <v>39569</v>
      </c>
      <c r="F626" s="2">
        <f t="shared" si="150"/>
        <v>43221</v>
      </c>
      <c r="G626" s="6">
        <v>1913.76</v>
      </c>
      <c r="H626" s="7" t="s">
        <v>1919</v>
      </c>
      <c r="I626" s="7" t="s">
        <v>512</v>
      </c>
      <c r="J626" s="186"/>
      <c r="K626" s="266">
        <f t="shared" si="152"/>
        <v>2018</v>
      </c>
      <c r="L626" s="386"/>
      <c r="M626" s="386"/>
      <c r="N626" s="32"/>
      <c r="O626" s="32" t="s">
        <v>1934</v>
      </c>
      <c r="P626" s="278" t="s">
        <v>1938</v>
      </c>
      <c r="Q626" s="233" t="s">
        <v>1937</v>
      </c>
      <c r="R626" s="75">
        <v>6839</v>
      </c>
      <c r="S626" s="75">
        <v>957</v>
      </c>
      <c r="T626" s="75">
        <v>7796</v>
      </c>
      <c r="U626" s="200">
        <v>3828</v>
      </c>
      <c r="V626" s="287">
        <f t="shared" ca="1" si="153"/>
        <v>10</v>
      </c>
      <c r="W626" s="75">
        <f t="shared" ca="1" si="154"/>
        <v>33495</v>
      </c>
      <c r="X626" s="200">
        <f t="shared" ca="1" si="148"/>
        <v>38420</v>
      </c>
      <c r="Y626" s="1">
        <v>0.25</v>
      </c>
      <c r="Z626" s="1"/>
      <c r="AA626" s="219"/>
      <c r="AB626" s="302" t="s">
        <v>6652</v>
      </c>
      <c r="AC626" s="302"/>
      <c r="AD626" s="302"/>
      <c r="AE626" s="302"/>
      <c r="AF626">
        <f t="shared" si="149"/>
        <v>0</v>
      </c>
    </row>
    <row r="627" spans="1:32" hidden="1" x14ac:dyDescent="0.25">
      <c r="A627" s="322" t="s">
        <v>1939</v>
      </c>
      <c r="B627" s="93" t="str">
        <f t="shared" si="151"/>
        <v>NO</v>
      </c>
      <c r="C627" s="93" t="s">
        <v>5503</v>
      </c>
      <c r="D627" s="4">
        <v>39463</v>
      </c>
      <c r="E627" s="26">
        <v>39569</v>
      </c>
      <c r="F627" s="2">
        <f t="shared" si="150"/>
        <v>43221</v>
      </c>
      <c r="G627" s="6">
        <v>647.09</v>
      </c>
      <c r="H627" s="7" t="s">
        <v>1919</v>
      </c>
      <c r="I627" s="7" t="s">
        <v>512</v>
      </c>
      <c r="J627" s="186"/>
      <c r="K627" s="266">
        <f t="shared" si="152"/>
        <v>2018</v>
      </c>
      <c r="L627" s="386"/>
      <c r="M627" s="386"/>
      <c r="N627" s="32"/>
      <c r="O627" s="32" t="s">
        <v>1934</v>
      </c>
      <c r="P627" s="278" t="s">
        <v>1941</v>
      </c>
      <c r="Q627" s="233" t="s">
        <v>1940</v>
      </c>
      <c r="R627" s="75">
        <v>2408</v>
      </c>
      <c r="S627" s="75">
        <v>324</v>
      </c>
      <c r="T627" s="75">
        <v>2732</v>
      </c>
      <c r="U627" s="200">
        <v>1296</v>
      </c>
      <c r="V627" s="287">
        <f t="shared" ca="1" si="153"/>
        <v>10</v>
      </c>
      <c r="W627" s="75">
        <f t="shared" ca="1" si="154"/>
        <v>11340</v>
      </c>
      <c r="X627" s="200">
        <f t="shared" ca="1" si="148"/>
        <v>13100</v>
      </c>
      <c r="Y627" s="1">
        <v>0.25</v>
      </c>
      <c r="Z627" s="1"/>
      <c r="AA627" s="219"/>
      <c r="AB627" s="302" t="s">
        <v>6653</v>
      </c>
      <c r="AC627" s="302"/>
      <c r="AD627" s="302"/>
      <c r="AE627" s="302"/>
      <c r="AF627">
        <f t="shared" si="149"/>
        <v>0</v>
      </c>
    </row>
    <row r="628" spans="1:32" ht="26.25" hidden="1" x14ac:dyDescent="0.25">
      <c r="A628" s="322" t="s">
        <v>1942</v>
      </c>
      <c r="B628" s="93" t="str">
        <f t="shared" si="151"/>
        <v>NO</v>
      </c>
      <c r="C628" s="93" t="s">
        <v>5503</v>
      </c>
      <c r="D628" s="4">
        <v>39463</v>
      </c>
      <c r="E628" s="26">
        <v>39569</v>
      </c>
      <c r="F628" s="2">
        <f t="shared" si="150"/>
        <v>43221</v>
      </c>
      <c r="G628" s="6">
        <v>2068.48</v>
      </c>
      <c r="H628" s="7" t="s">
        <v>1919</v>
      </c>
      <c r="I628" s="7" t="s">
        <v>512</v>
      </c>
      <c r="J628" s="186"/>
      <c r="K628" s="266">
        <f t="shared" si="152"/>
        <v>2018</v>
      </c>
      <c r="L628" s="386"/>
      <c r="M628" s="386"/>
      <c r="N628" s="32"/>
      <c r="O628" s="32" t="s">
        <v>1944</v>
      </c>
      <c r="P628" s="278" t="s">
        <v>1945</v>
      </c>
      <c r="Q628" s="233" t="s">
        <v>1943</v>
      </c>
      <c r="R628" s="75">
        <v>7381.5</v>
      </c>
      <c r="S628" s="75">
        <v>1034.5</v>
      </c>
      <c r="T628" s="75">
        <v>8416</v>
      </c>
      <c r="U628" s="200">
        <v>4138</v>
      </c>
      <c r="V628" s="287">
        <f t="shared" ca="1" si="153"/>
        <v>10</v>
      </c>
      <c r="W628" s="75">
        <f t="shared" ca="1" si="154"/>
        <v>36207.5</v>
      </c>
      <c r="X628" s="200">
        <f t="shared" ca="1" si="148"/>
        <v>41520</v>
      </c>
      <c r="Y628" s="1">
        <v>0.25</v>
      </c>
      <c r="Z628" s="1"/>
      <c r="AA628" s="219"/>
      <c r="AB628" s="302" t="s">
        <v>6654</v>
      </c>
      <c r="AC628" s="302"/>
      <c r="AD628" s="302"/>
      <c r="AE628" s="302"/>
      <c r="AF628">
        <f t="shared" si="149"/>
        <v>0</v>
      </c>
    </row>
    <row r="629" spans="1:32" ht="26.25" hidden="1" x14ac:dyDescent="0.25">
      <c r="A629" s="322" t="s">
        <v>1946</v>
      </c>
      <c r="B629" s="93" t="str">
        <f t="shared" si="151"/>
        <v>NO</v>
      </c>
      <c r="C629" s="93" t="s">
        <v>5503</v>
      </c>
      <c r="D629" s="4">
        <v>39463</v>
      </c>
      <c r="E629" s="26">
        <v>39569</v>
      </c>
      <c r="F629" s="2">
        <f t="shared" si="150"/>
        <v>43221</v>
      </c>
      <c r="G629" s="6">
        <v>1920.64</v>
      </c>
      <c r="H629" s="7" t="s">
        <v>1919</v>
      </c>
      <c r="I629" s="7" t="s">
        <v>512</v>
      </c>
      <c r="J629" s="186"/>
      <c r="K629" s="266">
        <f t="shared" si="152"/>
        <v>2018</v>
      </c>
      <c r="L629" s="386"/>
      <c r="M629" s="386"/>
      <c r="N629" s="32"/>
      <c r="O629" s="32" t="s">
        <v>1948</v>
      </c>
      <c r="P629" s="278" t="s">
        <v>1949</v>
      </c>
      <c r="Q629" s="233" t="s">
        <v>1947</v>
      </c>
      <c r="R629" s="75">
        <v>6863.5</v>
      </c>
      <c r="S629" s="75">
        <v>960.5</v>
      </c>
      <c r="T629" s="75">
        <v>7824</v>
      </c>
      <c r="U629" s="200">
        <v>3842</v>
      </c>
      <c r="V629" s="287">
        <f t="shared" ca="1" si="153"/>
        <v>10</v>
      </c>
      <c r="W629" s="75">
        <f t="shared" ca="1" si="154"/>
        <v>33617.5</v>
      </c>
      <c r="X629" s="200">
        <f t="shared" ca="1" si="148"/>
        <v>38560</v>
      </c>
      <c r="Y629" s="1">
        <v>0.25</v>
      </c>
      <c r="Z629" s="1"/>
      <c r="AA629" s="219"/>
      <c r="AB629" s="302" t="s">
        <v>6655</v>
      </c>
      <c r="AC629" s="302"/>
      <c r="AD629" s="302"/>
      <c r="AE629" s="302"/>
      <c r="AF629">
        <f t="shared" si="149"/>
        <v>0</v>
      </c>
    </row>
    <row r="630" spans="1:32" ht="26.25" hidden="1" x14ac:dyDescent="0.25">
      <c r="A630" s="322" t="s">
        <v>1950</v>
      </c>
      <c r="B630" s="93" t="str">
        <f t="shared" si="151"/>
        <v>NO</v>
      </c>
      <c r="C630" s="93" t="s">
        <v>5503</v>
      </c>
      <c r="D630" s="4">
        <v>39463</v>
      </c>
      <c r="E630" s="26">
        <v>39569</v>
      </c>
      <c r="F630" s="2">
        <f t="shared" si="150"/>
        <v>43221</v>
      </c>
      <c r="G630" s="6">
        <v>1602.54</v>
      </c>
      <c r="H630" s="7" t="s">
        <v>1919</v>
      </c>
      <c r="I630" s="7" t="s">
        <v>512</v>
      </c>
      <c r="J630" s="186"/>
      <c r="K630" s="266">
        <f t="shared" si="152"/>
        <v>2018</v>
      </c>
      <c r="L630" s="386"/>
      <c r="M630" s="386"/>
      <c r="N630" s="32"/>
      <c r="O630" s="32" t="s">
        <v>1948</v>
      </c>
      <c r="P630" s="278" t="s">
        <v>1952</v>
      </c>
      <c r="Q630" s="233" t="s">
        <v>1951</v>
      </c>
      <c r="R630" s="75">
        <v>5750.5</v>
      </c>
      <c r="S630" s="75">
        <v>801.5</v>
      </c>
      <c r="T630" s="75">
        <v>6552</v>
      </c>
      <c r="U630" s="200">
        <v>3206</v>
      </c>
      <c r="V630" s="287">
        <f t="shared" ca="1" si="153"/>
        <v>10</v>
      </c>
      <c r="W630" s="75">
        <f t="shared" ca="1" si="154"/>
        <v>28052.5</v>
      </c>
      <c r="X630" s="200">
        <f t="shared" ca="1" si="148"/>
        <v>32200</v>
      </c>
      <c r="Y630" s="1">
        <v>0.25</v>
      </c>
      <c r="Z630" s="1"/>
      <c r="AA630" s="219"/>
      <c r="AB630" s="302" t="s">
        <v>6656</v>
      </c>
      <c r="AC630" s="302"/>
      <c r="AD630" s="302"/>
      <c r="AE630" s="302"/>
      <c r="AF630">
        <f t="shared" si="149"/>
        <v>0</v>
      </c>
    </row>
    <row r="631" spans="1:32" ht="39" hidden="1" x14ac:dyDescent="0.25">
      <c r="A631" s="322" t="s">
        <v>1953</v>
      </c>
      <c r="B631" s="93" t="str">
        <f t="shared" si="151"/>
        <v>NO</v>
      </c>
      <c r="C631" s="93" t="s">
        <v>5503</v>
      </c>
      <c r="D631" s="4">
        <v>39463</v>
      </c>
      <c r="E631" s="26">
        <v>39569</v>
      </c>
      <c r="F631" s="2">
        <f t="shared" si="150"/>
        <v>43221</v>
      </c>
      <c r="G631" s="6">
        <v>2541.2399999999998</v>
      </c>
      <c r="H631" s="7" t="s">
        <v>1919</v>
      </c>
      <c r="I631" s="7" t="s">
        <v>512</v>
      </c>
      <c r="J631" s="186"/>
      <c r="K631" s="266">
        <f t="shared" si="152"/>
        <v>2018</v>
      </c>
      <c r="L631" s="386"/>
      <c r="M631" s="386"/>
      <c r="N631" s="32"/>
      <c r="O631" s="32" t="s">
        <v>1948</v>
      </c>
      <c r="P631" s="278" t="s">
        <v>1955</v>
      </c>
      <c r="Q631" s="233" t="s">
        <v>1954</v>
      </c>
      <c r="R631" s="75">
        <v>9037</v>
      </c>
      <c r="S631" s="75">
        <v>1271</v>
      </c>
      <c r="T631" s="75">
        <v>10308</v>
      </c>
      <c r="U631" s="200">
        <v>5084</v>
      </c>
      <c r="V631" s="287">
        <f t="shared" ca="1" si="153"/>
        <v>10</v>
      </c>
      <c r="W631" s="75">
        <f t="shared" ca="1" si="154"/>
        <v>44485</v>
      </c>
      <c r="X631" s="200">
        <f t="shared" ca="1" si="148"/>
        <v>50980</v>
      </c>
      <c r="Y631" s="1">
        <v>0.25</v>
      </c>
      <c r="Z631" s="1"/>
      <c r="AA631" s="219"/>
      <c r="AB631" s="302" t="s">
        <v>6657</v>
      </c>
      <c r="AC631" s="302"/>
      <c r="AD631" s="302"/>
      <c r="AE631" s="302"/>
      <c r="AF631">
        <f t="shared" si="149"/>
        <v>0</v>
      </c>
    </row>
    <row r="632" spans="1:32" hidden="1" x14ac:dyDescent="0.25">
      <c r="A632" s="322" t="s">
        <v>1956</v>
      </c>
      <c r="B632" s="93" t="str">
        <f t="shared" si="151"/>
        <v>NO</v>
      </c>
      <c r="C632" s="93" t="s">
        <v>5503</v>
      </c>
      <c r="D632" s="4">
        <v>39463</v>
      </c>
      <c r="E632" s="26">
        <v>39569</v>
      </c>
      <c r="F632" s="2">
        <f t="shared" si="150"/>
        <v>43221</v>
      </c>
      <c r="G632" s="6">
        <v>1600</v>
      </c>
      <c r="H632" s="7" t="s">
        <v>1919</v>
      </c>
      <c r="I632" s="7" t="s">
        <v>512</v>
      </c>
      <c r="J632" s="186"/>
      <c r="K632" s="266">
        <f t="shared" si="152"/>
        <v>2018</v>
      </c>
      <c r="L632" s="386"/>
      <c r="M632" s="386"/>
      <c r="N632" s="32"/>
      <c r="O632" s="32" t="s">
        <v>1958</v>
      </c>
      <c r="P632" s="278" t="s">
        <v>1959</v>
      </c>
      <c r="Q632" s="233" t="s">
        <v>1957</v>
      </c>
      <c r="R632" s="75">
        <v>5740</v>
      </c>
      <c r="S632" s="75">
        <v>800</v>
      </c>
      <c r="T632" s="75">
        <v>6540</v>
      </c>
      <c r="U632" s="200">
        <v>3200</v>
      </c>
      <c r="V632" s="287">
        <f t="shared" ca="1" si="153"/>
        <v>10</v>
      </c>
      <c r="W632" s="75">
        <f t="shared" ca="1" si="154"/>
        <v>28000</v>
      </c>
      <c r="X632" s="200">
        <f t="shared" ca="1" si="148"/>
        <v>32140</v>
      </c>
      <c r="Y632" s="1">
        <v>0.25</v>
      </c>
      <c r="Z632" s="1"/>
      <c r="AA632" s="219"/>
      <c r="AB632" s="302" t="s">
        <v>6658</v>
      </c>
      <c r="AC632" s="302"/>
      <c r="AD632" s="302"/>
      <c r="AE632" s="302"/>
      <c r="AF632">
        <f t="shared" si="149"/>
        <v>0</v>
      </c>
    </row>
    <row r="633" spans="1:32" hidden="1" x14ac:dyDescent="0.25">
      <c r="A633" s="322" t="s">
        <v>1960</v>
      </c>
      <c r="B633" s="93" t="str">
        <f t="shared" si="151"/>
        <v>NO</v>
      </c>
      <c r="C633" s="93" t="s">
        <v>5503</v>
      </c>
      <c r="D633" s="4">
        <v>39463</v>
      </c>
      <c r="E633" s="26">
        <v>39569</v>
      </c>
      <c r="F633" s="2">
        <f t="shared" si="150"/>
        <v>43221</v>
      </c>
      <c r="G633" s="6">
        <v>1292.03</v>
      </c>
      <c r="H633" s="7" t="s">
        <v>1919</v>
      </c>
      <c r="I633" s="7" t="s">
        <v>512</v>
      </c>
      <c r="J633" s="186"/>
      <c r="K633" s="266">
        <f t="shared" si="152"/>
        <v>2018</v>
      </c>
      <c r="L633" s="386"/>
      <c r="M633" s="386"/>
      <c r="N633" s="32"/>
      <c r="O633" s="32" t="s">
        <v>1958</v>
      </c>
      <c r="P633" s="278" t="s">
        <v>1962</v>
      </c>
      <c r="Q633" s="233" t="s">
        <v>1961</v>
      </c>
      <c r="R633" s="75">
        <v>4665.5</v>
      </c>
      <c r="S633" s="75">
        <v>646.5</v>
      </c>
      <c r="T633" s="75">
        <v>5312</v>
      </c>
      <c r="U633" s="200">
        <v>2586</v>
      </c>
      <c r="V633" s="287">
        <f t="shared" ca="1" si="153"/>
        <v>10</v>
      </c>
      <c r="W633" s="75">
        <f t="shared" ca="1" si="154"/>
        <v>22627.5</v>
      </c>
      <c r="X633" s="200">
        <f t="shared" ca="1" si="148"/>
        <v>26000</v>
      </c>
      <c r="Y633" s="1">
        <v>0.25</v>
      </c>
      <c r="Z633" s="1"/>
      <c r="AA633" s="219"/>
      <c r="AB633" s="302" t="s">
        <v>6659</v>
      </c>
      <c r="AC633" s="302"/>
      <c r="AD633" s="302"/>
      <c r="AE633" s="302"/>
      <c r="AF633">
        <f t="shared" si="149"/>
        <v>0</v>
      </c>
    </row>
    <row r="634" spans="1:32" hidden="1" x14ac:dyDescent="0.25">
      <c r="A634" s="322" t="s">
        <v>1963</v>
      </c>
      <c r="B634" s="93" t="str">
        <f t="shared" si="151"/>
        <v>NO</v>
      </c>
      <c r="C634" s="93" t="s">
        <v>5503</v>
      </c>
      <c r="D634" s="4">
        <v>39463</v>
      </c>
      <c r="E634" s="26">
        <v>39569</v>
      </c>
      <c r="F634" s="2">
        <f t="shared" si="150"/>
        <v>43221</v>
      </c>
      <c r="G634" s="6">
        <v>1280</v>
      </c>
      <c r="H634" s="7" t="s">
        <v>1919</v>
      </c>
      <c r="I634" s="7" t="s">
        <v>512</v>
      </c>
      <c r="J634" s="186"/>
      <c r="K634" s="266">
        <f t="shared" si="152"/>
        <v>2018</v>
      </c>
      <c r="L634" s="386"/>
      <c r="M634" s="386"/>
      <c r="N634" s="32"/>
      <c r="O634" s="32" t="s">
        <v>1958</v>
      </c>
      <c r="P634" s="278" t="s">
        <v>1965</v>
      </c>
      <c r="Q634" s="233" t="s">
        <v>1964</v>
      </c>
      <c r="R634" s="75">
        <v>4620</v>
      </c>
      <c r="S634" s="75">
        <v>640</v>
      </c>
      <c r="T634" s="75">
        <v>5260</v>
      </c>
      <c r="U634" s="200">
        <v>2560</v>
      </c>
      <c r="V634" s="287">
        <f t="shared" ca="1" si="153"/>
        <v>10</v>
      </c>
      <c r="W634" s="75">
        <f t="shared" ca="1" si="154"/>
        <v>22400</v>
      </c>
      <c r="X634" s="200">
        <f t="shared" ca="1" si="148"/>
        <v>25740</v>
      </c>
      <c r="Y634" s="1">
        <v>0.25</v>
      </c>
      <c r="Z634" s="1"/>
      <c r="AA634" s="219"/>
      <c r="AB634" s="302" t="s">
        <v>6660</v>
      </c>
      <c r="AC634" s="302"/>
      <c r="AD634" s="302"/>
      <c r="AE634" s="302"/>
      <c r="AF634">
        <f t="shared" si="149"/>
        <v>0</v>
      </c>
    </row>
    <row r="635" spans="1:32" ht="26.25" hidden="1" x14ac:dyDescent="0.25">
      <c r="A635" s="322" t="s">
        <v>1966</v>
      </c>
      <c r="B635" s="93" t="str">
        <f t="shared" si="151"/>
        <v>NO</v>
      </c>
      <c r="C635" s="93" t="s">
        <v>5503</v>
      </c>
      <c r="D635" s="4">
        <v>39463</v>
      </c>
      <c r="E635" s="26">
        <v>39569</v>
      </c>
      <c r="F635" s="2">
        <f t="shared" si="150"/>
        <v>43221</v>
      </c>
      <c r="G635" s="6">
        <v>1920.56</v>
      </c>
      <c r="H635" s="7" t="s">
        <v>1919</v>
      </c>
      <c r="I635" s="7" t="s">
        <v>512</v>
      </c>
      <c r="J635" s="186"/>
      <c r="K635" s="266">
        <f t="shared" si="152"/>
        <v>2018</v>
      </c>
      <c r="L635" s="386"/>
      <c r="M635" s="386"/>
      <c r="N635" s="32"/>
      <c r="O635" s="32" t="s">
        <v>1968</v>
      </c>
      <c r="P635" s="278" t="s">
        <v>1949</v>
      </c>
      <c r="Q635" s="233" t="s">
        <v>1967</v>
      </c>
      <c r="R635" s="75">
        <v>6863.5</v>
      </c>
      <c r="S635" s="75">
        <v>960.5</v>
      </c>
      <c r="T635" s="75">
        <v>7824</v>
      </c>
      <c r="U635" s="200">
        <v>3842</v>
      </c>
      <c r="V635" s="287">
        <f t="shared" ca="1" si="153"/>
        <v>10</v>
      </c>
      <c r="W635" s="75">
        <f t="shared" ca="1" si="154"/>
        <v>33617.5</v>
      </c>
      <c r="X635" s="200">
        <f t="shared" ca="1" si="148"/>
        <v>38560</v>
      </c>
      <c r="Y635" s="1">
        <v>0.25</v>
      </c>
      <c r="Z635" s="1"/>
      <c r="AA635" s="219"/>
      <c r="AB635" s="302" t="s">
        <v>6661</v>
      </c>
      <c r="AC635" s="302"/>
      <c r="AD635" s="302"/>
      <c r="AE635" s="302"/>
      <c r="AF635">
        <f t="shared" si="149"/>
        <v>0</v>
      </c>
    </row>
    <row r="636" spans="1:32" ht="26.25" hidden="1" x14ac:dyDescent="0.25">
      <c r="A636" s="322" t="s">
        <v>1969</v>
      </c>
      <c r="B636" s="93" t="str">
        <f t="shared" si="151"/>
        <v>NO</v>
      </c>
      <c r="C636" s="93" t="s">
        <v>5503</v>
      </c>
      <c r="D636" s="4">
        <v>39463</v>
      </c>
      <c r="E636" s="26">
        <v>39569</v>
      </c>
      <c r="F636" s="2">
        <f t="shared" si="150"/>
        <v>43221</v>
      </c>
      <c r="G636" s="6">
        <v>1927.52</v>
      </c>
      <c r="H636" s="7" t="s">
        <v>1919</v>
      </c>
      <c r="I636" s="7" t="s">
        <v>512</v>
      </c>
      <c r="J636" s="186"/>
      <c r="K636" s="266">
        <f t="shared" si="152"/>
        <v>2018</v>
      </c>
      <c r="L636" s="386"/>
      <c r="M636" s="386"/>
      <c r="N636" s="32"/>
      <c r="O636" s="32" t="s">
        <v>1968</v>
      </c>
      <c r="P636" s="278" t="s">
        <v>1971</v>
      </c>
      <c r="Q636" s="233" t="s">
        <v>1970</v>
      </c>
      <c r="R636" s="75">
        <v>6888</v>
      </c>
      <c r="S636" s="75">
        <v>964</v>
      </c>
      <c r="T636" s="75">
        <v>7852</v>
      </c>
      <c r="U636" s="200">
        <v>3856</v>
      </c>
      <c r="V636" s="287">
        <f t="shared" ca="1" si="153"/>
        <v>10</v>
      </c>
      <c r="W636" s="75">
        <f t="shared" ca="1" si="154"/>
        <v>33740</v>
      </c>
      <c r="X636" s="200">
        <f t="shared" ca="1" si="148"/>
        <v>38700</v>
      </c>
      <c r="Y636" s="1">
        <v>0.25</v>
      </c>
      <c r="Z636" s="1"/>
      <c r="AA636" s="219"/>
      <c r="AB636" s="302" t="s">
        <v>6662</v>
      </c>
      <c r="AC636" s="302"/>
      <c r="AD636" s="302"/>
      <c r="AE636" s="302"/>
      <c r="AF636">
        <f t="shared" si="149"/>
        <v>0</v>
      </c>
    </row>
    <row r="637" spans="1:32" hidden="1" x14ac:dyDescent="0.25">
      <c r="A637" s="322" t="s">
        <v>1972</v>
      </c>
      <c r="B637" s="93" t="str">
        <f t="shared" si="151"/>
        <v>NO</v>
      </c>
      <c r="C637" s="93" t="s">
        <v>5503</v>
      </c>
      <c r="D637" s="4">
        <v>39463</v>
      </c>
      <c r="E637" s="26">
        <v>39569</v>
      </c>
      <c r="F637" s="2">
        <f t="shared" si="150"/>
        <v>43221</v>
      </c>
      <c r="G637" s="6">
        <v>640</v>
      </c>
      <c r="H637" s="7" t="s">
        <v>1919</v>
      </c>
      <c r="I637" s="7" t="s">
        <v>512</v>
      </c>
      <c r="J637" s="186"/>
      <c r="K637" s="266">
        <f t="shared" si="152"/>
        <v>2018</v>
      </c>
      <c r="L637" s="386"/>
      <c r="M637" s="386"/>
      <c r="N637" s="32"/>
      <c r="O637" s="32" t="s">
        <v>1968</v>
      </c>
      <c r="P637" s="278" t="s">
        <v>736</v>
      </c>
      <c r="Q637" s="233" t="s">
        <v>1973</v>
      </c>
      <c r="R637" s="75">
        <v>2380</v>
      </c>
      <c r="S637" s="75">
        <v>320</v>
      </c>
      <c r="T637" s="75">
        <v>2700</v>
      </c>
      <c r="U637" s="200">
        <v>1280</v>
      </c>
      <c r="V637" s="287">
        <f t="shared" ca="1" si="153"/>
        <v>10</v>
      </c>
      <c r="W637" s="75">
        <f t="shared" ca="1" si="154"/>
        <v>11200</v>
      </c>
      <c r="X637" s="200">
        <f t="shared" ca="1" si="148"/>
        <v>12940</v>
      </c>
      <c r="Y637" s="1">
        <v>0.25</v>
      </c>
      <c r="Z637" s="1"/>
      <c r="AA637" s="219"/>
      <c r="AB637" s="302" t="s">
        <v>6663</v>
      </c>
      <c r="AC637" s="302"/>
      <c r="AD637" s="302"/>
      <c r="AE637" s="302"/>
      <c r="AF637">
        <f t="shared" si="149"/>
        <v>0</v>
      </c>
    </row>
    <row r="638" spans="1:32" hidden="1" x14ac:dyDescent="0.25">
      <c r="A638" s="322" t="s">
        <v>1974</v>
      </c>
      <c r="B638" s="93" t="str">
        <f t="shared" si="151"/>
        <v>NO</v>
      </c>
      <c r="C638" s="93" t="s">
        <v>5503</v>
      </c>
      <c r="D638" s="4">
        <v>39463</v>
      </c>
      <c r="E638" s="91">
        <v>39508</v>
      </c>
      <c r="F638" s="2">
        <f t="shared" si="150"/>
        <v>43160</v>
      </c>
      <c r="G638" s="6">
        <v>1120</v>
      </c>
      <c r="H638" s="7" t="s">
        <v>564</v>
      </c>
      <c r="I638" s="7" t="s">
        <v>512</v>
      </c>
      <c r="J638" s="186"/>
      <c r="K638" s="266">
        <f t="shared" si="152"/>
        <v>2018</v>
      </c>
      <c r="L638" s="386"/>
      <c r="M638" s="386"/>
      <c r="N638" s="32"/>
      <c r="O638" s="32" t="s">
        <v>1976</v>
      </c>
      <c r="P638" s="278" t="s">
        <v>1977</v>
      </c>
      <c r="Q638" s="233" t="s">
        <v>1975</v>
      </c>
      <c r="R638" s="75">
        <v>4060</v>
      </c>
      <c r="S638" s="75">
        <v>11200</v>
      </c>
      <c r="T638" s="75">
        <v>15260</v>
      </c>
      <c r="U638" s="200">
        <v>2240</v>
      </c>
      <c r="V638" s="287">
        <f t="shared" ca="1" si="153"/>
        <v>10</v>
      </c>
      <c r="W638" s="75">
        <f t="shared" ca="1" si="154"/>
        <v>19600</v>
      </c>
      <c r="X638" s="200">
        <f t="shared" ca="1" si="148"/>
        <v>33180</v>
      </c>
      <c r="Y638" s="1">
        <v>0.25</v>
      </c>
      <c r="Z638" s="1"/>
      <c r="AA638" s="219"/>
      <c r="AB638" s="302" t="s">
        <v>6664</v>
      </c>
      <c r="AC638" s="302"/>
      <c r="AD638" s="302"/>
      <c r="AE638" s="302"/>
      <c r="AF638">
        <f t="shared" si="149"/>
        <v>0</v>
      </c>
    </row>
    <row r="639" spans="1:32" hidden="1" x14ac:dyDescent="0.25">
      <c r="A639" s="322" t="s">
        <v>1978</v>
      </c>
      <c r="B639" s="93" t="str">
        <f t="shared" si="151"/>
        <v>NO</v>
      </c>
      <c r="C639" s="93" t="s">
        <v>5503</v>
      </c>
      <c r="D639" s="4">
        <v>39463</v>
      </c>
      <c r="E639" s="91">
        <v>39508</v>
      </c>
      <c r="F639" s="2">
        <f t="shared" si="150"/>
        <v>43160</v>
      </c>
      <c r="G639" s="6">
        <v>637.12</v>
      </c>
      <c r="H639" s="7" t="s">
        <v>564</v>
      </c>
      <c r="I639" s="7" t="s">
        <v>512</v>
      </c>
      <c r="J639" s="186"/>
      <c r="K639" s="266">
        <f t="shared" si="152"/>
        <v>2018</v>
      </c>
      <c r="L639" s="386"/>
      <c r="M639" s="386"/>
      <c r="N639" s="32"/>
      <c r="O639" s="32" t="s">
        <v>1980</v>
      </c>
      <c r="P639" s="278" t="s">
        <v>1981</v>
      </c>
      <c r="Q639" s="233" t="s">
        <v>1979</v>
      </c>
      <c r="R639" s="75">
        <v>2373</v>
      </c>
      <c r="S639" s="75">
        <v>5742</v>
      </c>
      <c r="T639" s="75">
        <v>8115</v>
      </c>
      <c r="U639" s="200">
        <v>1276</v>
      </c>
      <c r="V639" s="287">
        <f t="shared" ca="1" si="153"/>
        <v>10</v>
      </c>
      <c r="W639" s="75">
        <f t="shared" ca="1" si="154"/>
        <v>11165</v>
      </c>
      <c r="X639" s="200">
        <f t="shared" ca="1" si="148"/>
        <v>18323</v>
      </c>
      <c r="Y639" s="1">
        <v>0.25</v>
      </c>
      <c r="Z639" s="1"/>
      <c r="AA639" s="219"/>
      <c r="AB639" s="302" t="s">
        <v>6665</v>
      </c>
      <c r="AC639" s="302"/>
      <c r="AD639" s="302"/>
      <c r="AE639" s="302"/>
      <c r="AF639">
        <f t="shared" si="149"/>
        <v>0</v>
      </c>
    </row>
    <row r="640" spans="1:32" hidden="1" x14ac:dyDescent="0.25">
      <c r="A640" s="322" t="s">
        <v>1982</v>
      </c>
      <c r="B640" s="93" t="str">
        <f t="shared" si="151"/>
        <v>NO</v>
      </c>
      <c r="C640" s="93" t="s">
        <v>5503</v>
      </c>
      <c r="D640" s="4">
        <v>39463</v>
      </c>
      <c r="E640" s="26">
        <v>39569</v>
      </c>
      <c r="F640" s="2">
        <f t="shared" si="150"/>
        <v>43221</v>
      </c>
      <c r="G640" s="6">
        <v>11.12</v>
      </c>
      <c r="H640" s="7" t="s">
        <v>982</v>
      </c>
      <c r="I640" s="7" t="s">
        <v>198</v>
      </c>
      <c r="J640" s="186"/>
      <c r="K640" s="266">
        <f t="shared" si="152"/>
        <v>2018</v>
      </c>
      <c r="L640" s="386"/>
      <c r="M640" s="386"/>
      <c r="N640" s="32"/>
      <c r="O640" s="32" t="s">
        <v>1984</v>
      </c>
      <c r="P640" s="278" t="s">
        <v>1985</v>
      </c>
      <c r="Q640" s="233" t="s">
        <v>1983</v>
      </c>
      <c r="R640" s="75">
        <v>182</v>
      </c>
      <c r="S640" s="75">
        <v>2076</v>
      </c>
      <c r="T640" s="75">
        <v>2258</v>
      </c>
      <c r="U640" s="200">
        <v>24</v>
      </c>
      <c r="V640" s="287">
        <f t="shared" ca="1" si="153"/>
        <v>10</v>
      </c>
      <c r="W640" s="75">
        <f t="shared" ca="1" si="154"/>
        <v>210</v>
      </c>
      <c r="X640" s="200">
        <f t="shared" ca="1" si="148"/>
        <v>2450</v>
      </c>
      <c r="Y640" s="1">
        <v>0.25</v>
      </c>
      <c r="Z640" s="1"/>
      <c r="AA640" s="219"/>
      <c r="AB640" s="302" t="s">
        <v>6666</v>
      </c>
      <c r="AC640" s="302"/>
      <c r="AD640" s="302"/>
      <c r="AE640" s="302"/>
      <c r="AF640">
        <f t="shared" si="149"/>
        <v>0</v>
      </c>
    </row>
    <row r="641" spans="1:32" ht="26.25" hidden="1" x14ac:dyDescent="0.25">
      <c r="A641" s="322" t="s">
        <v>1986</v>
      </c>
      <c r="B641" s="93" t="str">
        <f t="shared" si="151"/>
        <v>NO</v>
      </c>
      <c r="C641" s="93" t="s">
        <v>5503</v>
      </c>
      <c r="D641" s="4">
        <v>39463</v>
      </c>
      <c r="E641" s="26">
        <v>39569</v>
      </c>
      <c r="F641" s="2">
        <f t="shared" si="150"/>
        <v>43221</v>
      </c>
      <c r="G641" s="6">
        <v>974.6</v>
      </c>
      <c r="H641" s="7" t="s">
        <v>1988</v>
      </c>
      <c r="I641" s="7" t="s">
        <v>198</v>
      </c>
      <c r="J641" s="186"/>
      <c r="K641" s="266">
        <f t="shared" si="152"/>
        <v>2018</v>
      </c>
      <c r="L641" s="386"/>
      <c r="M641" s="386"/>
      <c r="N641" s="32"/>
      <c r="O641" s="32" t="s">
        <v>1989</v>
      </c>
      <c r="P641" s="278" t="s">
        <v>1990</v>
      </c>
      <c r="Q641" s="233" t="s">
        <v>1987</v>
      </c>
      <c r="R641" s="75">
        <v>3552.5</v>
      </c>
      <c r="S641" s="75">
        <v>52162.5</v>
      </c>
      <c r="T641" s="75">
        <v>55715</v>
      </c>
      <c r="U641" s="200">
        <v>1950</v>
      </c>
      <c r="V641" s="287">
        <f t="shared" ca="1" si="153"/>
        <v>10</v>
      </c>
      <c r="W641" s="75">
        <f t="shared" ca="1" si="154"/>
        <v>17062.5</v>
      </c>
      <c r="X641" s="200">
        <f t="shared" ca="1" si="148"/>
        <v>71315</v>
      </c>
      <c r="Y641" s="1">
        <v>0.25</v>
      </c>
      <c r="Z641" s="1"/>
      <c r="AA641" s="219"/>
      <c r="AB641" s="302" t="s">
        <v>6667</v>
      </c>
      <c r="AC641" s="302"/>
      <c r="AD641" s="302"/>
      <c r="AE641" s="302"/>
      <c r="AF641">
        <f t="shared" si="149"/>
        <v>0</v>
      </c>
    </row>
    <row r="642" spans="1:32" ht="26.25" hidden="1" x14ac:dyDescent="0.25">
      <c r="A642" s="322" t="s">
        <v>1991</v>
      </c>
      <c r="B642" s="93" t="str">
        <f t="shared" si="151"/>
        <v>NO</v>
      </c>
      <c r="C642" s="93" t="s">
        <v>5503</v>
      </c>
      <c r="D642" s="4">
        <v>39463</v>
      </c>
      <c r="E642" s="91">
        <v>39508</v>
      </c>
      <c r="F642" s="2">
        <f t="shared" si="150"/>
        <v>43160</v>
      </c>
      <c r="G642" s="6">
        <v>1246.3499999999999</v>
      </c>
      <c r="H642" s="7" t="s">
        <v>1988</v>
      </c>
      <c r="I642" s="7" t="s">
        <v>198</v>
      </c>
      <c r="J642" s="186"/>
      <c r="K642" s="266">
        <f t="shared" si="152"/>
        <v>2018</v>
      </c>
      <c r="L642" s="386"/>
      <c r="M642" s="386"/>
      <c r="N642" s="32"/>
      <c r="O642" s="32" t="s">
        <v>1993</v>
      </c>
      <c r="P642" s="278" t="s">
        <v>1994</v>
      </c>
      <c r="Q642" s="233" t="s">
        <v>1992</v>
      </c>
      <c r="R642" s="75">
        <v>4504.5</v>
      </c>
      <c r="S642" s="75">
        <v>0</v>
      </c>
      <c r="T642" s="75">
        <v>4504.5</v>
      </c>
      <c r="U642" s="200">
        <v>2494</v>
      </c>
      <c r="V642" s="287">
        <f t="shared" ca="1" si="153"/>
        <v>10</v>
      </c>
      <c r="W642" s="75">
        <f t="shared" ca="1" si="154"/>
        <v>21822.5</v>
      </c>
      <c r="X642" s="200">
        <f t="shared" ca="1" si="148"/>
        <v>24456.5</v>
      </c>
      <c r="Y642" s="1">
        <v>0.25</v>
      </c>
      <c r="Z642" s="1"/>
      <c r="AA642" s="219"/>
      <c r="AB642" s="302" t="s">
        <v>6668</v>
      </c>
      <c r="AC642" s="302"/>
      <c r="AD642" s="302"/>
      <c r="AE642" s="302"/>
      <c r="AF642">
        <f t="shared" si="149"/>
        <v>0</v>
      </c>
    </row>
    <row r="643" spans="1:32" ht="26.25" hidden="1" x14ac:dyDescent="0.25">
      <c r="A643" s="322" t="s">
        <v>1995</v>
      </c>
      <c r="B643" s="93" t="str">
        <f t="shared" si="151"/>
        <v>NO</v>
      </c>
      <c r="C643" s="93" t="s">
        <v>5503</v>
      </c>
      <c r="D643" s="4">
        <v>39463</v>
      </c>
      <c r="E643" s="91">
        <v>39508</v>
      </c>
      <c r="F643" s="2">
        <f t="shared" si="150"/>
        <v>43160</v>
      </c>
      <c r="G643" s="6">
        <v>1959.97</v>
      </c>
      <c r="H643" s="7" t="s">
        <v>37</v>
      </c>
      <c r="I643" s="7" t="s">
        <v>15</v>
      </c>
      <c r="J643" s="186"/>
      <c r="K643" s="266">
        <f t="shared" si="152"/>
        <v>2018</v>
      </c>
      <c r="L643" s="386"/>
      <c r="M643" s="386"/>
      <c r="N643" s="32" t="s">
        <v>1997</v>
      </c>
      <c r="O643" s="32" t="s">
        <v>1998</v>
      </c>
      <c r="P643" s="278" t="s">
        <v>1999</v>
      </c>
      <c r="Q643" s="233" t="s">
        <v>1996</v>
      </c>
      <c r="R643" s="75">
        <v>7000</v>
      </c>
      <c r="S643" s="75">
        <v>74480</v>
      </c>
      <c r="T643" s="75">
        <v>81480</v>
      </c>
      <c r="U643" s="200">
        <v>3920</v>
      </c>
      <c r="V643" s="287">
        <f t="shared" ca="1" si="153"/>
        <v>10</v>
      </c>
      <c r="W643" s="75">
        <f t="shared" ca="1" si="154"/>
        <v>34300</v>
      </c>
      <c r="X643" s="200">
        <f t="shared" ca="1" si="148"/>
        <v>112840</v>
      </c>
      <c r="Y643" s="1">
        <v>0.25</v>
      </c>
      <c r="Z643" s="1"/>
      <c r="AA643" s="219"/>
      <c r="AB643" s="302" t="s">
        <v>6669</v>
      </c>
      <c r="AC643" s="302"/>
      <c r="AD643" s="302"/>
      <c r="AE643" s="302"/>
      <c r="AF643">
        <f t="shared" si="149"/>
        <v>0</v>
      </c>
    </row>
    <row r="644" spans="1:32" ht="26.25" hidden="1" x14ac:dyDescent="0.25">
      <c r="A644" s="322" t="s">
        <v>2000</v>
      </c>
      <c r="B644" s="93" t="str">
        <f t="shared" si="151"/>
        <v>NO</v>
      </c>
      <c r="C644" s="93" t="s">
        <v>5503</v>
      </c>
      <c r="D644" s="4">
        <v>39463</v>
      </c>
      <c r="E644" s="91">
        <v>39508</v>
      </c>
      <c r="F644" s="2">
        <f t="shared" si="150"/>
        <v>43160</v>
      </c>
      <c r="G644" s="6">
        <v>2293.69</v>
      </c>
      <c r="H644" s="7" t="s">
        <v>37</v>
      </c>
      <c r="I644" s="7" t="s">
        <v>15</v>
      </c>
      <c r="J644" s="186"/>
      <c r="K644" s="266">
        <f t="shared" si="152"/>
        <v>2018</v>
      </c>
      <c r="L644" s="386"/>
      <c r="M644" s="386"/>
      <c r="N644" s="32" t="s">
        <v>1997</v>
      </c>
      <c r="O644" s="32" t="s">
        <v>2002</v>
      </c>
      <c r="P644" s="278" t="s">
        <v>1999</v>
      </c>
      <c r="Q644" s="233" t="s">
        <v>2001</v>
      </c>
      <c r="R644" s="75">
        <v>8169</v>
      </c>
      <c r="S644" s="75">
        <v>87172</v>
      </c>
      <c r="T644" s="75">
        <v>95341</v>
      </c>
      <c r="U644" s="200">
        <v>4588</v>
      </c>
      <c r="V644" s="287">
        <f t="shared" ca="1" si="153"/>
        <v>10</v>
      </c>
      <c r="W644" s="75">
        <f t="shared" ca="1" si="154"/>
        <v>40145</v>
      </c>
      <c r="X644" s="200">
        <f t="shared" ca="1" si="148"/>
        <v>132045</v>
      </c>
      <c r="Y644" s="1">
        <v>0.25</v>
      </c>
      <c r="Z644" s="1"/>
      <c r="AA644" s="219"/>
      <c r="AB644" s="302" t="s">
        <v>6670</v>
      </c>
      <c r="AC644" s="302"/>
      <c r="AD644" s="302"/>
      <c r="AE644" s="302"/>
      <c r="AF644">
        <f t="shared" si="149"/>
        <v>0</v>
      </c>
    </row>
    <row r="645" spans="1:32" ht="26.25" hidden="1" x14ac:dyDescent="0.25">
      <c r="A645" s="322" t="s">
        <v>2003</v>
      </c>
      <c r="B645" s="93" t="str">
        <f t="shared" si="151"/>
        <v>NO</v>
      </c>
      <c r="C645" s="93" t="s">
        <v>5503</v>
      </c>
      <c r="D645" s="4">
        <v>39463</v>
      </c>
      <c r="E645" s="91">
        <v>39508</v>
      </c>
      <c r="F645" s="2">
        <f t="shared" si="150"/>
        <v>43160</v>
      </c>
      <c r="G645" s="6">
        <v>2419.69</v>
      </c>
      <c r="H645" s="7" t="s">
        <v>37</v>
      </c>
      <c r="I645" s="7" t="s">
        <v>15</v>
      </c>
      <c r="J645" s="186"/>
      <c r="K645" s="266">
        <f t="shared" si="152"/>
        <v>2018</v>
      </c>
      <c r="L645" s="386"/>
      <c r="M645" s="386"/>
      <c r="N645" s="32" t="s">
        <v>1997</v>
      </c>
      <c r="O645" s="32" t="s">
        <v>2005</v>
      </c>
      <c r="P645" s="278" t="s">
        <v>1999</v>
      </c>
      <c r="Q645" s="233" t="s">
        <v>2004</v>
      </c>
      <c r="R645" s="75">
        <v>8610</v>
      </c>
      <c r="S645" s="75">
        <v>212960</v>
      </c>
      <c r="T645" s="75">
        <v>221570</v>
      </c>
      <c r="U645" s="200">
        <v>4840</v>
      </c>
      <c r="V645" s="287">
        <f t="shared" ca="1" si="153"/>
        <v>10</v>
      </c>
      <c r="W645" s="75">
        <f t="shared" ca="1" si="154"/>
        <v>42350</v>
      </c>
      <c r="X645" s="200">
        <f t="shared" ca="1" si="148"/>
        <v>260290</v>
      </c>
      <c r="Y645" s="1">
        <v>0.25</v>
      </c>
      <c r="Z645" s="1"/>
      <c r="AA645" s="219"/>
      <c r="AB645" s="302" t="s">
        <v>6671</v>
      </c>
      <c r="AC645" s="302"/>
      <c r="AD645" s="302"/>
      <c r="AE645" s="302"/>
      <c r="AF645">
        <f t="shared" si="149"/>
        <v>0</v>
      </c>
    </row>
    <row r="646" spans="1:32" ht="26.25" hidden="1" x14ac:dyDescent="0.25">
      <c r="A646" s="322" t="s">
        <v>2006</v>
      </c>
      <c r="B646" s="93" t="str">
        <f t="shared" si="151"/>
        <v>NO</v>
      </c>
      <c r="C646" s="93" t="s">
        <v>5503</v>
      </c>
      <c r="D646" s="4">
        <v>39463</v>
      </c>
      <c r="E646" s="91">
        <v>39508</v>
      </c>
      <c r="F646" s="2">
        <f t="shared" si="150"/>
        <v>43160</v>
      </c>
      <c r="G646" s="6">
        <v>316.45</v>
      </c>
      <c r="H646" s="7" t="s">
        <v>1398</v>
      </c>
      <c r="I646" s="7" t="s">
        <v>15</v>
      </c>
      <c r="J646" s="105" t="s">
        <v>5183</v>
      </c>
      <c r="K646" s="266">
        <f t="shared" si="152"/>
        <v>2018</v>
      </c>
      <c r="L646" s="381"/>
      <c r="M646" s="381"/>
      <c r="N646" s="32" t="s">
        <v>991</v>
      </c>
      <c r="O646" s="32" t="s">
        <v>2008</v>
      </c>
      <c r="P646" s="278" t="s">
        <v>2009</v>
      </c>
      <c r="Q646" s="233" t="s">
        <v>2007</v>
      </c>
      <c r="R646" s="75">
        <v>1249.5</v>
      </c>
      <c r="S646" s="75">
        <v>15216</v>
      </c>
      <c r="T646" s="75">
        <v>16465.5</v>
      </c>
      <c r="U646" s="200">
        <v>634</v>
      </c>
      <c r="V646" s="287">
        <f t="shared" ca="1" si="153"/>
        <v>10</v>
      </c>
      <c r="W646" s="75">
        <f t="shared" ca="1" si="154"/>
        <v>5547.5</v>
      </c>
      <c r="X646" s="200">
        <f t="shared" ca="1" si="148"/>
        <v>21537.5</v>
      </c>
      <c r="Y646" s="1">
        <v>0.25</v>
      </c>
      <c r="Z646" s="1"/>
      <c r="AA646" s="219"/>
      <c r="AB646" s="302" t="s">
        <v>6672</v>
      </c>
      <c r="AC646" s="302"/>
      <c r="AD646" s="302"/>
      <c r="AE646" s="302"/>
      <c r="AF646">
        <f t="shared" si="149"/>
        <v>0</v>
      </c>
    </row>
    <row r="647" spans="1:32" ht="15.75" hidden="1" thickBot="1" x14ac:dyDescent="0.3">
      <c r="A647" s="323"/>
      <c r="D647" s="4"/>
      <c r="E647" s="2"/>
      <c r="F647" s="2"/>
      <c r="G647" s="6"/>
      <c r="H647" s="7"/>
      <c r="I647" s="7"/>
      <c r="J647" s="186"/>
      <c r="K647" s="186"/>
      <c r="L647" s="386"/>
      <c r="M647" s="386"/>
      <c r="N647" s="32"/>
      <c r="O647" s="32"/>
      <c r="P647" s="278"/>
      <c r="Q647" s="233"/>
      <c r="R647" s="76">
        <v>283230.5</v>
      </c>
      <c r="S647" s="76">
        <v>885326</v>
      </c>
      <c r="T647" s="76">
        <v>1168556.5</v>
      </c>
      <c r="U647" s="200"/>
      <c r="V647" s="75"/>
      <c r="W647" s="75"/>
      <c r="X647" s="200"/>
      <c r="Y647" s="1"/>
      <c r="Z647" s="1"/>
      <c r="AA647" s="219"/>
      <c r="AB647" s="302"/>
      <c r="AC647" s="302"/>
      <c r="AD647" s="302"/>
      <c r="AE647" s="302"/>
      <c r="AF647">
        <f t="shared" si="149"/>
        <v>0</v>
      </c>
    </row>
    <row r="648" spans="1:32" hidden="1" x14ac:dyDescent="0.25">
      <c r="A648" s="323"/>
      <c r="D648" s="4"/>
      <c r="E648" s="2"/>
      <c r="F648" s="2"/>
      <c r="G648" s="6"/>
      <c r="H648" s="7"/>
      <c r="I648" s="7"/>
      <c r="J648" s="186"/>
      <c r="K648" s="186"/>
      <c r="L648" s="386"/>
      <c r="M648" s="386"/>
      <c r="N648" s="32"/>
      <c r="O648" s="32"/>
      <c r="P648" s="278"/>
      <c r="Q648" s="233" t="s">
        <v>2010</v>
      </c>
      <c r="R648" s="75">
        <v>-184000</v>
      </c>
      <c r="S648" s="75"/>
      <c r="T648" s="75">
        <v>-184000</v>
      </c>
      <c r="U648" s="200"/>
      <c r="V648" s="75"/>
      <c r="W648" s="75"/>
      <c r="X648" s="200"/>
      <c r="Y648" s="1"/>
      <c r="Z648" s="1"/>
      <c r="AA648" s="219"/>
      <c r="AB648" s="302"/>
      <c r="AC648" s="302"/>
      <c r="AD648" s="302"/>
      <c r="AE648" s="302"/>
      <c r="AF648">
        <f t="shared" si="149"/>
        <v>0</v>
      </c>
    </row>
    <row r="649" spans="1:32" hidden="1" x14ac:dyDescent="0.25">
      <c r="A649" s="323"/>
      <c r="D649" s="4"/>
      <c r="E649" s="2"/>
      <c r="F649" s="2"/>
      <c r="G649" s="6"/>
      <c r="H649" s="7"/>
      <c r="I649" s="7"/>
      <c r="J649" s="186"/>
      <c r="K649" s="186"/>
      <c r="L649" s="386"/>
      <c r="M649" s="386"/>
      <c r="N649" s="32"/>
      <c r="O649" s="32"/>
      <c r="P649" s="278"/>
      <c r="Q649" s="233" t="s">
        <v>2011</v>
      </c>
      <c r="R649" s="75">
        <v>-99230.5</v>
      </c>
      <c r="S649" s="75"/>
      <c r="T649" s="75">
        <v>-99230.5</v>
      </c>
      <c r="U649" s="200"/>
      <c r="V649" s="75"/>
      <c r="W649" s="75"/>
      <c r="X649" s="200"/>
      <c r="Y649" s="1"/>
      <c r="Z649" s="1"/>
      <c r="AA649" s="219"/>
      <c r="AB649" s="302"/>
      <c r="AC649" s="302"/>
      <c r="AD649" s="302"/>
      <c r="AE649" s="302"/>
      <c r="AF649">
        <f t="shared" si="149"/>
        <v>0</v>
      </c>
    </row>
    <row r="650" spans="1:32" hidden="1" x14ac:dyDescent="0.25">
      <c r="A650" s="323"/>
      <c r="D650" s="4"/>
      <c r="E650" s="2"/>
      <c r="F650" s="2"/>
      <c r="G650" s="6"/>
      <c r="H650" s="7"/>
      <c r="I650" s="7"/>
      <c r="J650" s="186"/>
      <c r="K650" s="186"/>
      <c r="L650" s="386"/>
      <c r="M650" s="386"/>
      <c r="N650" s="32"/>
      <c r="O650" s="32"/>
      <c r="P650" s="278"/>
      <c r="Q650" s="233" t="s">
        <v>2012</v>
      </c>
      <c r="R650" s="75"/>
      <c r="S650" s="75">
        <v>-865215</v>
      </c>
      <c r="T650" s="75">
        <v>-865215</v>
      </c>
      <c r="U650" s="200"/>
      <c r="V650" s="75"/>
      <c r="W650" s="75"/>
      <c r="X650" s="200"/>
      <c r="Y650" s="1"/>
      <c r="Z650" s="1"/>
      <c r="AA650" s="219"/>
      <c r="AB650" s="302"/>
      <c r="AC650" s="302"/>
      <c r="AD650" s="302"/>
      <c r="AE650" s="302"/>
      <c r="AF650">
        <f t="shared" si="149"/>
        <v>0</v>
      </c>
    </row>
    <row r="651" spans="1:32" hidden="1" x14ac:dyDescent="0.25">
      <c r="A651" s="323"/>
      <c r="D651" s="4"/>
      <c r="E651" s="2"/>
      <c r="F651" s="2"/>
      <c r="G651" s="6"/>
      <c r="H651" s="7"/>
      <c r="I651" s="7"/>
      <c r="J651" s="186"/>
      <c r="K651" s="186"/>
      <c r="L651" s="386"/>
      <c r="M651" s="386"/>
      <c r="N651" s="32"/>
      <c r="O651" s="32"/>
      <c r="P651" s="278"/>
      <c r="Q651" s="233"/>
      <c r="R651" s="75"/>
      <c r="S651" s="75"/>
      <c r="T651" s="75"/>
      <c r="U651" s="200"/>
      <c r="V651" s="75"/>
      <c r="W651" s="75"/>
      <c r="X651" s="200"/>
      <c r="Y651" s="1"/>
      <c r="Z651" s="1"/>
      <c r="AA651" s="219"/>
      <c r="AB651" s="302"/>
      <c r="AC651" s="302"/>
      <c r="AD651" s="302"/>
      <c r="AE651" s="302"/>
      <c r="AF651">
        <f t="shared" ref="AF651:AF714" si="155">COUNTIF(FilterList,A651)</f>
        <v>0</v>
      </c>
    </row>
    <row r="652" spans="1:32" hidden="1" x14ac:dyDescent="0.25">
      <c r="A652" s="323"/>
      <c r="D652" s="4"/>
      <c r="E652" s="2"/>
      <c r="F652" s="2"/>
      <c r="G652" s="6"/>
      <c r="H652" s="7"/>
      <c r="I652" s="7"/>
      <c r="J652" s="186"/>
      <c r="K652" s="186"/>
      <c r="L652" s="386"/>
      <c r="M652" s="386"/>
      <c r="N652" s="32"/>
      <c r="O652" s="32"/>
      <c r="P652" s="278"/>
      <c r="Q652" s="233"/>
      <c r="R652" s="75"/>
      <c r="S652" s="75"/>
      <c r="T652" s="75"/>
      <c r="U652" s="200"/>
      <c r="V652" s="75"/>
      <c r="W652" s="75"/>
      <c r="X652" s="200"/>
      <c r="Y652" s="1"/>
      <c r="Z652" s="1"/>
      <c r="AA652" s="219"/>
      <c r="AB652" s="302"/>
      <c r="AC652" s="302"/>
      <c r="AD652" s="302"/>
      <c r="AE652" s="302"/>
      <c r="AF652">
        <f t="shared" si="155"/>
        <v>0</v>
      </c>
    </row>
    <row r="653" spans="1:32" hidden="1" x14ac:dyDescent="0.25">
      <c r="A653" s="322" t="s">
        <v>2013</v>
      </c>
      <c r="B653" s="93" t="str">
        <f t="shared" ref="B653:B678" si="156">IF(COUNTIF(GIS,A653),"YES","NO")</f>
        <v>NO</v>
      </c>
      <c r="C653" s="93" t="s">
        <v>5503</v>
      </c>
      <c r="D653" s="4">
        <v>39554</v>
      </c>
      <c r="E653" s="2">
        <v>39661</v>
      </c>
      <c r="F653" s="2">
        <f t="shared" ref="F653:F678" si="157">DATE(YEAR(E653)+10,MONTH(E653),DAY(E653))</f>
        <v>43313</v>
      </c>
      <c r="G653" s="6">
        <v>80</v>
      </c>
      <c r="H653" s="7" t="s">
        <v>892</v>
      </c>
      <c r="I653" s="7" t="s">
        <v>512</v>
      </c>
      <c r="J653" s="186"/>
      <c r="K653" s="266">
        <f t="shared" ref="K653:K678" si="158">YEAR(F653)</f>
        <v>2018</v>
      </c>
      <c r="L653" s="386"/>
      <c r="M653" s="386"/>
      <c r="N653" s="32"/>
      <c r="O653" s="32" t="s">
        <v>2015</v>
      </c>
      <c r="P653" s="278" t="s">
        <v>2016</v>
      </c>
      <c r="Q653" s="233" t="s">
        <v>2014</v>
      </c>
      <c r="R653" s="75">
        <v>420</v>
      </c>
      <c r="S653" s="75">
        <v>13440</v>
      </c>
      <c r="T653" s="75">
        <v>13860</v>
      </c>
      <c r="U653" s="200">
        <v>160</v>
      </c>
      <c r="V653" s="287">
        <f t="shared" ref="V653:V678" ca="1" si="159">IF(YEAR($W$3)-YEAR(E653)&gt;9,10,IF(MONTH($W$3)&lt;MONTH(E653),YEAR($W$3)-YEAR(E653),YEAR($W$3)-YEAR(E653)+1))</f>
        <v>10</v>
      </c>
      <c r="W653" s="75">
        <f t="shared" ref="W653:W678" ca="1" si="160">IF(V653&lt;6, ROUNDUP(G653,0)*$W$6*V653, ROUNDUP(G653,0)*($W$6*5 + (V653-5)*$W$7))</f>
        <v>1400</v>
      </c>
      <c r="X653" s="200">
        <f t="shared" ref="X653:X678" ca="1" si="161">IF(V653=0,T653,((T653-ROUNDUP(G653,0)*1.5)+W653))</f>
        <v>15140</v>
      </c>
      <c r="Y653" s="1">
        <v>0</v>
      </c>
      <c r="Z653" s="1"/>
      <c r="AA653" s="219"/>
      <c r="AB653" s="302" t="s">
        <v>6673</v>
      </c>
      <c r="AC653" s="302"/>
      <c r="AD653" s="302"/>
      <c r="AE653" s="302"/>
      <c r="AF653">
        <f t="shared" si="155"/>
        <v>0</v>
      </c>
    </row>
    <row r="654" spans="1:32" ht="26.25" hidden="1" x14ac:dyDescent="0.25">
      <c r="A654" s="322" t="s">
        <v>2017</v>
      </c>
      <c r="B654" s="93" t="str">
        <f t="shared" si="156"/>
        <v>NO</v>
      </c>
      <c r="C654" s="93" t="s">
        <v>5503</v>
      </c>
      <c r="D654" s="4">
        <v>39554</v>
      </c>
      <c r="E654" s="2">
        <v>39661</v>
      </c>
      <c r="F654" s="2">
        <f t="shared" si="157"/>
        <v>43313</v>
      </c>
      <c r="G654" s="6">
        <v>480</v>
      </c>
      <c r="H654" s="7" t="s">
        <v>899</v>
      </c>
      <c r="I654" s="7" t="s">
        <v>512</v>
      </c>
      <c r="J654" s="109" t="s">
        <v>2019</v>
      </c>
      <c r="K654" s="266">
        <f t="shared" si="158"/>
        <v>2018</v>
      </c>
      <c r="L654" s="385"/>
      <c r="M654" s="385"/>
      <c r="N654" s="32"/>
      <c r="O654" s="32" t="s">
        <v>2020</v>
      </c>
      <c r="P654" s="278" t="s">
        <v>2021</v>
      </c>
      <c r="Q654" s="233" t="s">
        <v>2018</v>
      </c>
      <c r="R654" s="75">
        <v>1820</v>
      </c>
      <c r="S654" s="75">
        <v>123840</v>
      </c>
      <c r="T654" s="75">
        <v>125660</v>
      </c>
      <c r="U654" s="200">
        <v>960</v>
      </c>
      <c r="V654" s="287">
        <f t="shared" ca="1" si="159"/>
        <v>10</v>
      </c>
      <c r="W654" s="75">
        <f t="shared" ca="1" si="160"/>
        <v>8400</v>
      </c>
      <c r="X654" s="200">
        <f t="shared" ca="1" si="161"/>
        <v>133340</v>
      </c>
      <c r="Y654" s="1">
        <v>0</v>
      </c>
      <c r="Z654" s="1"/>
      <c r="AA654" s="219"/>
      <c r="AB654" s="302" t="s">
        <v>6237</v>
      </c>
      <c r="AC654" s="310">
        <v>42829</v>
      </c>
      <c r="AD654" s="309">
        <v>0.25</v>
      </c>
      <c r="AE654" s="312" t="s">
        <v>6238</v>
      </c>
      <c r="AF654">
        <f t="shared" si="155"/>
        <v>0</v>
      </c>
    </row>
    <row r="655" spans="1:32" ht="39" x14ac:dyDescent="0.25">
      <c r="A655" s="322" t="s">
        <v>2022</v>
      </c>
      <c r="B655" s="93" t="str">
        <f t="shared" si="156"/>
        <v>NO</v>
      </c>
      <c r="C655" s="93" t="s">
        <v>5503</v>
      </c>
      <c r="D655" s="4">
        <v>39554</v>
      </c>
      <c r="E655" s="2">
        <v>39661</v>
      </c>
      <c r="F655" s="2">
        <f t="shared" si="157"/>
        <v>43313</v>
      </c>
      <c r="G655" s="6">
        <v>799.36</v>
      </c>
      <c r="H655" s="7" t="s">
        <v>2024</v>
      </c>
      <c r="I655" s="7" t="s">
        <v>512</v>
      </c>
      <c r="J655" s="189"/>
      <c r="K655" s="266">
        <f t="shared" si="158"/>
        <v>2018</v>
      </c>
      <c r="L655" s="389"/>
      <c r="M655" s="389"/>
      <c r="N655" s="32"/>
      <c r="O655" s="32" t="s">
        <v>2025</v>
      </c>
      <c r="P655" s="278" t="s">
        <v>2026</v>
      </c>
      <c r="Q655" s="233" t="s">
        <v>2023</v>
      </c>
      <c r="R655" s="75">
        <v>2940</v>
      </c>
      <c r="S655" s="75">
        <v>14400</v>
      </c>
      <c r="T655" s="75">
        <v>17340</v>
      </c>
      <c r="U655" s="200">
        <v>1600</v>
      </c>
      <c r="V655" s="287">
        <f t="shared" ca="1" si="159"/>
        <v>10</v>
      </c>
      <c r="W655" s="75">
        <f t="shared" ca="1" si="160"/>
        <v>14000</v>
      </c>
      <c r="X655" s="200">
        <f t="shared" ca="1" si="161"/>
        <v>30140</v>
      </c>
      <c r="Y655" s="1">
        <v>0</v>
      </c>
      <c r="Z655" s="1"/>
      <c r="AA655" s="219"/>
      <c r="AB655" s="302" t="s">
        <v>6674</v>
      </c>
      <c r="AC655" s="302"/>
      <c r="AD655" s="302"/>
      <c r="AE655" s="302"/>
      <c r="AF655">
        <f t="shared" si="155"/>
        <v>0</v>
      </c>
    </row>
    <row r="656" spans="1:32" ht="26.25" x14ac:dyDescent="0.25">
      <c r="A656" s="322" t="s">
        <v>2027</v>
      </c>
      <c r="B656" s="93" t="str">
        <f t="shared" si="156"/>
        <v>NO</v>
      </c>
      <c r="C656" s="93" t="s">
        <v>5503</v>
      </c>
      <c r="D656" s="4">
        <v>39554</v>
      </c>
      <c r="E656" s="2">
        <v>39661</v>
      </c>
      <c r="F656" s="2">
        <f t="shared" si="157"/>
        <v>43313</v>
      </c>
      <c r="G656" s="6">
        <v>359.99</v>
      </c>
      <c r="H656" s="7" t="s">
        <v>2024</v>
      </c>
      <c r="I656" s="7" t="s">
        <v>512</v>
      </c>
      <c r="J656" s="189"/>
      <c r="K656" s="266">
        <f t="shared" si="158"/>
        <v>2018</v>
      </c>
      <c r="L656" s="389"/>
      <c r="M656" s="389"/>
      <c r="N656" s="32"/>
      <c r="O656" s="32" t="s">
        <v>2029</v>
      </c>
      <c r="P656" s="278" t="s">
        <v>2030</v>
      </c>
      <c r="Q656" s="233" t="s">
        <v>2028</v>
      </c>
      <c r="R656" s="75">
        <v>1400</v>
      </c>
      <c r="S656" s="75">
        <v>13680</v>
      </c>
      <c r="T656" s="75">
        <v>15080</v>
      </c>
      <c r="U656" s="200">
        <v>720</v>
      </c>
      <c r="V656" s="287">
        <f t="shared" ca="1" si="159"/>
        <v>10</v>
      </c>
      <c r="W656" s="75">
        <f t="shared" ca="1" si="160"/>
        <v>6300</v>
      </c>
      <c r="X656" s="200">
        <f t="shared" ca="1" si="161"/>
        <v>20840</v>
      </c>
      <c r="Y656" s="1">
        <v>0</v>
      </c>
      <c r="Z656" s="1"/>
      <c r="AA656" s="219"/>
      <c r="AB656" s="302"/>
      <c r="AC656" s="302"/>
      <c r="AD656" s="302"/>
      <c r="AE656" s="302"/>
      <c r="AF656">
        <f t="shared" si="155"/>
        <v>0</v>
      </c>
    </row>
    <row r="657" spans="1:32" ht="39" x14ac:dyDescent="0.25">
      <c r="A657" s="322" t="s">
        <v>2031</v>
      </c>
      <c r="B657" s="93" t="str">
        <f t="shared" si="156"/>
        <v>NO</v>
      </c>
      <c r="C657" s="93" t="s">
        <v>5503</v>
      </c>
      <c r="D657" s="4">
        <v>39554</v>
      </c>
      <c r="E657" s="2">
        <v>39661</v>
      </c>
      <c r="F657" s="2">
        <f t="shared" si="157"/>
        <v>43313</v>
      </c>
      <c r="G657" s="6">
        <v>800</v>
      </c>
      <c r="H657" s="7" t="s">
        <v>2024</v>
      </c>
      <c r="I657" s="7" t="s">
        <v>512</v>
      </c>
      <c r="J657" s="189"/>
      <c r="K657" s="266">
        <f t="shared" si="158"/>
        <v>2018</v>
      </c>
      <c r="L657" s="389"/>
      <c r="M657" s="389"/>
      <c r="N657" s="32"/>
      <c r="O657" s="32" t="s">
        <v>2033</v>
      </c>
      <c r="P657" s="278" t="s">
        <v>2034</v>
      </c>
      <c r="Q657" s="233" t="s">
        <v>2032</v>
      </c>
      <c r="R657" s="75">
        <v>2940</v>
      </c>
      <c r="S657" s="75">
        <v>6400</v>
      </c>
      <c r="T657" s="75">
        <v>9340</v>
      </c>
      <c r="U657" s="200">
        <v>1600</v>
      </c>
      <c r="V657" s="287">
        <f t="shared" ca="1" si="159"/>
        <v>10</v>
      </c>
      <c r="W657" s="75">
        <f t="shared" ca="1" si="160"/>
        <v>14000</v>
      </c>
      <c r="X657" s="200">
        <f t="shared" ca="1" si="161"/>
        <v>22140</v>
      </c>
      <c r="Y657" s="1">
        <v>0</v>
      </c>
      <c r="Z657" s="1"/>
      <c r="AA657" s="219"/>
      <c r="AB657" s="302" t="s">
        <v>6675</v>
      </c>
      <c r="AC657" s="302"/>
      <c r="AD657" s="302"/>
      <c r="AE657" s="302"/>
      <c r="AF657">
        <f t="shared" si="155"/>
        <v>0</v>
      </c>
    </row>
    <row r="658" spans="1:32" ht="26.25" hidden="1" x14ac:dyDescent="0.25">
      <c r="A658" s="322" t="s">
        <v>2035</v>
      </c>
      <c r="B658" s="93" t="str">
        <f t="shared" si="156"/>
        <v>NO</v>
      </c>
      <c r="C658" s="93" t="s">
        <v>5503</v>
      </c>
      <c r="D658" s="4">
        <v>39554</v>
      </c>
      <c r="E658" s="2">
        <v>39661</v>
      </c>
      <c r="F658" s="2">
        <f t="shared" si="157"/>
        <v>43313</v>
      </c>
      <c r="G658" s="6">
        <v>320</v>
      </c>
      <c r="H658" s="7" t="s">
        <v>899</v>
      </c>
      <c r="I658" s="7" t="s">
        <v>512</v>
      </c>
      <c r="J658" s="109" t="s">
        <v>2019</v>
      </c>
      <c r="K658" s="266">
        <f t="shared" si="158"/>
        <v>2018</v>
      </c>
      <c r="L658" s="385"/>
      <c r="M658" s="385"/>
      <c r="N658" s="32"/>
      <c r="O658" s="32" t="s">
        <v>2037</v>
      </c>
      <c r="P658" s="278" t="s">
        <v>2038</v>
      </c>
      <c r="Q658" s="233" t="s">
        <v>2036</v>
      </c>
      <c r="R658" s="75">
        <v>1260</v>
      </c>
      <c r="S658" s="75">
        <v>50560</v>
      </c>
      <c r="T658" s="75">
        <v>51820</v>
      </c>
      <c r="U658" s="200">
        <v>640</v>
      </c>
      <c r="V658" s="287">
        <f t="shared" ca="1" si="159"/>
        <v>10</v>
      </c>
      <c r="W658" s="75">
        <f t="shared" ca="1" si="160"/>
        <v>5600</v>
      </c>
      <c r="X658" s="200">
        <f t="shared" ca="1" si="161"/>
        <v>56940</v>
      </c>
      <c r="Y658" s="1">
        <v>0</v>
      </c>
      <c r="Z658" s="1"/>
      <c r="AA658" s="219"/>
      <c r="AB658" s="302" t="s">
        <v>5399</v>
      </c>
      <c r="AC658" s="308">
        <v>42829</v>
      </c>
      <c r="AD658" s="309">
        <v>0.25</v>
      </c>
      <c r="AE658" s="312" t="s">
        <v>6238</v>
      </c>
      <c r="AF658">
        <f t="shared" si="155"/>
        <v>0</v>
      </c>
    </row>
    <row r="659" spans="1:32" ht="26.25" hidden="1" x14ac:dyDescent="0.25">
      <c r="A659" s="322" t="s">
        <v>2039</v>
      </c>
      <c r="B659" s="93" t="str">
        <f t="shared" si="156"/>
        <v>NO</v>
      </c>
      <c r="C659" s="93" t="s">
        <v>5503</v>
      </c>
      <c r="D659" s="4">
        <v>39554</v>
      </c>
      <c r="E659" s="2">
        <v>39661</v>
      </c>
      <c r="F659" s="2">
        <f t="shared" si="157"/>
        <v>43313</v>
      </c>
      <c r="G659" s="6">
        <v>50.68</v>
      </c>
      <c r="H659" s="7" t="s">
        <v>899</v>
      </c>
      <c r="I659" s="7" t="s">
        <v>512</v>
      </c>
      <c r="J659" s="109" t="s">
        <v>2019</v>
      </c>
      <c r="K659" s="266">
        <f t="shared" si="158"/>
        <v>2018</v>
      </c>
      <c r="L659" s="385"/>
      <c r="M659" s="385"/>
      <c r="N659" s="32"/>
      <c r="O659" s="32" t="s">
        <v>2041</v>
      </c>
      <c r="P659" s="278" t="s">
        <v>2042</v>
      </c>
      <c r="Q659" s="233" t="s">
        <v>2040</v>
      </c>
      <c r="R659" s="75">
        <v>318.5</v>
      </c>
      <c r="S659" s="75">
        <v>26418</v>
      </c>
      <c r="T659" s="75">
        <v>26736.5</v>
      </c>
      <c r="U659" s="200">
        <v>102</v>
      </c>
      <c r="V659" s="287">
        <f t="shared" ca="1" si="159"/>
        <v>10</v>
      </c>
      <c r="W659" s="75">
        <f t="shared" ca="1" si="160"/>
        <v>892.5</v>
      </c>
      <c r="X659" s="200">
        <f t="shared" ca="1" si="161"/>
        <v>27552.5</v>
      </c>
      <c r="Y659" s="1">
        <v>0</v>
      </c>
      <c r="Z659" s="1"/>
      <c r="AA659" s="219"/>
      <c r="AB659" s="302" t="s">
        <v>5400</v>
      </c>
      <c r="AC659" s="308">
        <v>42829</v>
      </c>
      <c r="AD659" s="309">
        <v>0.25</v>
      </c>
      <c r="AE659" s="312" t="s">
        <v>6238</v>
      </c>
      <c r="AF659">
        <f t="shared" si="155"/>
        <v>0</v>
      </c>
    </row>
    <row r="660" spans="1:32" hidden="1" x14ac:dyDescent="0.25">
      <c r="A660" s="322" t="s">
        <v>2043</v>
      </c>
      <c r="B660" s="93" t="str">
        <f t="shared" si="156"/>
        <v>NO</v>
      </c>
      <c r="C660" s="93" t="s">
        <v>5503</v>
      </c>
      <c r="D660" s="4">
        <v>39554</v>
      </c>
      <c r="E660" s="2">
        <v>39661</v>
      </c>
      <c r="F660" s="2">
        <f t="shared" si="157"/>
        <v>43313</v>
      </c>
      <c r="G660" s="6">
        <v>640</v>
      </c>
      <c r="H660" s="7" t="s">
        <v>564</v>
      </c>
      <c r="I660" s="7" t="s">
        <v>512</v>
      </c>
      <c r="J660" s="186"/>
      <c r="K660" s="266">
        <f t="shared" si="158"/>
        <v>2018</v>
      </c>
      <c r="L660" s="386"/>
      <c r="M660" s="386"/>
      <c r="N660" s="32"/>
      <c r="O660" s="32" t="s">
        <v>2045</v>
      </c>
      <c r="P660" s="278" t="s">
        <v>1259</v>
      </c>
      <c r="Q660" s="233" t="s">
        <v>2044</v>
      </c>
      <c r="R660" s="75">
        <v>2380</v>
      </c>
      <c r="S660" s="75">
        <v>17920</v>
      </c>
      <c r="T660" s="75">
        <v>20300</v>
      </c>
      <c r="U660" s="200">
        <v>1280</v>
      </c>
      <c r="V660" s="287">
        <f t="shared" ca="1" si="159"/>
        <v>10</v>
      </c>
      <c r="W660" s="75">
        <f t="shared" ca="1" si="160"/>
        <v>11200</v>
      </c>
      <c r="X660" s="200">
        <f t="shared" ca="1" si="161"/>
        <v>30540</v>
      </c>
      <c r="Y660" s="1">
        <v>0</v>
      </c>
      <c r="Z660" s="1"/>
      <c r="AA660" s="219"/>
      <c r="AB660" s="302" t="s">
        <v>6676</v>
      </c>
      <c r="AC660" s="302"/>
      <c r="AD660" s="302"/>
      <c r="AE660" s="302"/>
      <c r="AF660">
        <f t="shared" si="155"/>
        <v>0</v>
      </c>
    </row>
    <row r="661" spans="1:32" hidden="1" x14ac:dyDescent="0.25">
      <c r="A661" s="322" t="s">
        <v>2046</v>
      </c>
      <c r="B661" s="93" t="str">
        <f t="shared" si="156"/>
        <v>NO</v>
      </c>
      <c r="C661" s="93" t="s">
        <v>5503</v>
      </c>
      <c r="D661" s="4">
        <v>39554</v>
      </c>
      <c r="E661" s="2">
        <v>39661</v>
      </c>
      <c r="F661" s="2">
        <f t="shared" si="157"/>
        <v>43313</v>
      </c>
      <c r="G661" s="6">
        <v>480</v>
      </c>
      <c r="H661" s="7" t="s">
        <v>564</v>
      </c>
      <c r="I661" s="7" t="s">
        <v>512</v>
      </c>
      <c r="J661" s="186"/>
      <c r="K661" s="266">
        <f t="shared" si="158"/>
        <v>2018</v>
      </c>
      <c r="L661" s="386"/>
      <c r="M661" s="386"/>
      <c r="N661" s="32"/>
      <c r="O661" s="32" t="s">
        <v>2045</v>
      </c>
      <c r="P661" s="278" t="s">
        <v>2048</v>
      </c>
      <c r="Q661" s="233" t="s">
        <v>2047</v>
      </c>
      <c r="R661" s="75">
        <v>1820</v>
      </c>
      <c r="S661" s="75">
        <v>13440</v>
      </c>
      <c r="T661" s="75">
        <v>15260</v>
      </c>
      <c r="U661" s="200">
        <v>960</v>
      </c>
      <c r="V661" s="287">
        <f t="shared" ca="1" si="159"/>
        <v>10</v>
      </c>
      <c r="W661" s="75">
        <f t="shared" ca="1" si="160"/>
        <v>8400</v>
      </c>
      <c r="X661" s="200">
        <f t="shared" ca="1" si="161"/>
        <v>22940</v>
      </c>
      <c r="Y661" s="1">
        <v>0</v>
      </c>
      <c r="Z661" s="1"/>
      <c r="AA661" s="219"/>
      <c r="AB661" s="302" t="s">
        <v>6677</v>
      </c>
      <c r="AC661" s="302"/>
      <c r="AD661" s="302"/>
      <c r="AE661" s="302"/>
      <c r="AF661">
        <f t="shared" si="155"/>
        <v>0</v>
      </c>
    </row>
    <row r="662" spans="1:32" hidden="1" x14ac:dyDescent="0.25">
      <c r="A662" s="322" t="s">
        <v>2049</v>
      </c>
      <c r="B662" s="93" t="str">
        <f t="shared" si="156"/>
        <v>NO</v>
      </c>
      <c r="C662" s="93" t="s">
        <v>5503</v>
      </c>
      <c r="D662" s="4">
        <v>39554</v>
      </c>
      <c r="E662" s="2">
        <v>39661</v>
      </c>
      <c r="F662" s="2">
        <f t="shared" si="157"/>
        <v>43313</v>
      </c>
      <c r="G662" s="6">
        <v>639.26</v>
      </c>
      <c r="H662" s="7" t="s">
        <v>564</v>
      </c>
      <c r="I662" s="7" t="s">
        <v>512</v>
      </c>
      <c r="J662" s="186"/>
      <c r="K662" s="266">
        <f t="shared" si="158"/>
        <v>2018</v>
      </c>
      <c r="L662" s="386"/>
      <c r="M662" s="386"/>
      <c r="N662" s="32"/>
      <c r="O662" s="32" t="s">
        <v>2051</v>
      </c>
      <c r="P662" s="278" t="s">
        <v>2052</v>
      </c>
      <c r="Q662" s="233" t="s">
        <v>2050</v>
      </c>
      <c r="R662" s="75">
        <v>2380</v>
      </c>
      <c r="S662" s="75">
        <v>17920</v>
      </c>
      <c r="T662" s="75">
        <v>20300</v>
      </c>
      <c r="U662" s="200">
        <v>1280</v>
      </c>
      <c r="V662" s="287">
        <f t="shared" ca="1" si="159"/>
        <v>10</v>
      </c>
      <c r="W662" s="75">
        <f t="shared" ca="1" si="160"/>
        <v>11200</v>
      </c>
      <c r="X662" s="200">
        <f t="shared" ca="1" si="161"/>
        <v>30540</v>
      </c>
      <c r="Y662" s="1">
        <v>0</v>
      </c>
      <c r="Z662" s="1"/>
      <c r="AA662" s="219"/>
      <c r="AB662" s="302" t="s">
        <v>6678</v>
      </c>
      <c r="AC662" s="302"/>
      <c r="AD662" s="302"/>
      <c r="AE662" s="302"/>
      <c r="AF662">
        <f t="shared" si="155"/>
        <v>0</v>
      </c>
    </row>
    <row r="663" spans="1:32" hidden="1" x14ac:dyDescent="0.25">
      <c r="A663" s="322" t="s">
        <v>2053</v>
      </c>
      <c r="B663" s="93" t="str">
        <f t="shared" si="156"/>
        <v>NO</v>
      </c>
      <c r="C663" s="93" t="s">
        <v>5503</v>
      </c>
      <c r="D663" s="4">
        <v>39554</v>
      </c>
      <c r="E663" s="2">
        <v>39661</v>
      </c>
      <c r="F663" s="2">
        <f t="shared" si="157"/>
        <v>43313</v>
      </c>
      <c r="G663" s="6">
        <v>1103.79</v>
      </c>
      <c r="H663" s="7" t="s">
        <v>564</v>
      </c>
      <c r="I663" s="7" t="s">
        <v>512</v>
      </c>
      <c r="J663" s="186"/>
      <c r="K663" s="266">
        <f t="shared" si="158"/>
        <v>2018</v>
      </c>
      <c r="L663" s="386"/>
      <c r="M663" s="386"/>
      <c r="N663" s="32"/>
      <c r="O663" s="32" t="s">
        <v>2055</v>
      </c>
      <c r="P663" s="278" t="s">
        <v>2056</v>
      </c>
      <c r="Q663" s="233" t="s">
        <v>2054</v>
      </c>
      <c r="R663" s="75">
        <v>4004</v>
      </c>
      <c r="S663" s="75">
        <v>41952</v>
      </c>
      <c r="T663" s="75">
        <v>45956</v>
      </c>
      <c r="U663" s="200">
        <v>2208</v>
      </c>
      <c r="V663" s="287">
        <f t="shared" ca="1" si="159"/>
        <v>10</v>
      </c>
      <c r="W663" s="75">
        <f t="shared" ca="1" si="160"/>
        <v>19320</v>
      </c>
      <c r="X663" s="200">
        <f t="shared" ca="1" si="161"/>
        <v>63620</v>
      </c>
      <c r="Y663" s="1">
        <v>0</v>
      </c>
      <c r="Z663" s="1"/>
      <c r="AA663" s="219"/>
      <c r="AB663" s="302" t="s">
        <v>6679</v>
      </c>
      <c r="AC663" s="302"/>
      <c r="AD663" s="302"/>
      <c r="AE663" s="302"/>
      <c r="AF663">
        <f t="shared" si="155"/>
        <v>0</v>
      </c>
    </row>
    <row r="664" spans="1:32" ht="26.25" hidden="1" x14ac:dyDescent="0.25">
      <c r="A664" s="322" t="s">
        <v>2057</v>
      </c>
      <c r="B664" s="93" t="str">
        <f t="shared" si="156"/>
        <v>NO</v>
      </c>
      <c r="C664" s="93" t="s">
        <v>5503</v>
      </c>
      <c r="D664" s="4">
        <v>39554</v>
      </c>
      <c r="E664" s="2">
        <v>39661</v>
      </c>
      <c r="F664" s="2">
        <f t="shared" si="157"/>
        <v>43313</v>
      </c>
      <c r="G664" s="6">
        <v>1442.01</v>
      </c>
      <c r="H664" s="7" t="s">
        <v>564</v>
      </c>
      <c r="I664" s="7" t="s">
        <v>512</v>
      </c>
      <c r="J664" s="186"/>
      <c r="K664" s="266">
        <f t="shared" si="158"/>
        <v>2018</v>
      </c>
      <c r="L664" s="386"/>
      <c r="M664" s="386"/>
      <c r="N664" s="32"/>
      <c r="O664" s="32" t="s">
        <v>2055</v>
      </c>
      <c r="P664" s="278" t="s">
        <v>2059</v>
      </c>
      <c r="Q664" s="233" t="s">
        <v>2058</v>
      </c>
      <c r="R664" s="75">
        <v>5190.5</v>
      </c>
      <c r="S664" s="75">
        <v>54834</v>
      </c>
      <c r="T664" s="75">
        <v>60024.5</v>
      </c>
      <c r="U664" s="200">
        <v>2886</v>
      </c>
      <c r="V664" s="287">
        <f t="shared" ca="1" si="159"/>
        <v>10</v>
      </c>
      <c r="W664" s="75">
        <f t="shared" ca="1" si="160"/>
        <v>25252.5</v>
      </c>
      <c r="X664" s="200">
        <f t="shared" ca="1" si="161"/>
        <v>83112.5</v>
      </c>
      <c r="Y664" s="1">
        <v>0</v>
      </c>
      <c r="Z664" s="1"/>
      <c r="AA664" s="219"/>
      <c r="AB664" s="302" t="s">
        <v>6680</v>
      </c>
      <c r="AC664" s="302"/>
      <c r="AD664" s="302"/>
      <c r="AE664" s="302"/>
      <c r="AF664">
        <f t="shared" si="155"/>
        <v>0</v>
      </c>
    </row>
    <row r="665" spans="1:32" ht="26.25" hidden="1" x14ac:dyDescent="0.25">
      <c r="A665" s="322" t="s">
        <v>2060</v>
      </c>
      <c r="B665" s="93" t="str">
        <f t="shared" si="156"/>
        <v>NO</v>
      </c>
      <c r="C665" s="93" t="s">
        <v>5503</v>
      </c>
      <c r="D665" s="4">
        <v>39554</v>
      </c>
      <c r="E665" s="2">
        <v>39661</v>
      </c>
      <c r="F665" s="2">
        <f t="shared" si="157"/>
        <v>43313</v>
      </c>
      <c r="G665" s="6">
        <v>1914.21</v>
      </c>
      <c r="H665" s="7" t="s">
        <v>564</v>
      </c>
      <c r="I665" s="7" t="s">
        <v>512</v>
      </c>
      <c r="J665" s="186"/>
      <c r="K665" s="266">
        <f t="shared" si="158"/>
        <v>2018</v>
      </c>
      <c r="L665" s="386"/>
      <c r="M665" s="386"/>
      <c r="N665" s="32"/>
      <c r="O665" s="32" t="s">
        <v>2055</v>
      </c>
      <c r="P665" s="278" t="s">
        <v>2062</v>
      </c>
      <c r="Q665" s="233" t="s">
        <v>2061</v>
      </c>
      <c r="R665" s="75">
        <v>6842.5</v>
      </c>
      <c r="S665" s="75">
        <v>53620</v>
      </c>
      <c r="T665" s="75">
        <v>60462.5</v>
      </c>
      <c r="U665" s="200">
        <v>3830</v>
      </c>
      <c r="V665" s="287">
        <f t="shared" ca="1" si="159"/>
        <v>10</v>
      </c>
      <c r="W665" s="75">
        <f t="shared" ca="1" si="160"/>
        <v>33512.5</v>
      </c>
      <c r="X665" s="200">
        <f t="shared" ca="1" si="161"/>
        <v>91102.5</v>
      </c>
      <c r="Y665" s="1">
        <v>0</v>
      </c>
      <c r="Z665" s="1"/>
      <c r="AA665" s="219"/>
      <c r="AB665" s="302" t="s">
        <v>6681</v>
      </c>
      <c r="AC665" s="302"/>
      <c r="AD665" s="302"/>
      <c r="AE665" s="302"/>
      <c r="AF665">
        <f t="shared" si="155"/>
        <v>0</v>
      </c>
    </row>
    <row r="666" spans="1:32" hidden="1" x14ac:dyDescent="0.25">
      <c r="A666" s="322" t="s">
        <v>2063</v>
      </c>
      <c r="B666" s="93" t="str">
        <f t="shared" si="156"/>
        <v>NO</v>
      </c>
      <c r="C666" s="93" t="s">
        <v>5503</v>
      </c>
      <c r="D666" s="4">
        <v>39554</v>
      </c>
      <c r="E666" s="2">
        <v>39661</v>
      </c>
      <c r="F666" s="2">
        <f t="shared" si="157"/>
        <v>43313</v>
      </c>
      <c r="G666" s="6">
        <v>480</v>
      </c>
      <c r="H666" s="7" t="s">
        <v>522</v>
      </c>
      <c r="I666" s="7" t="s">
        <v>512</v>
      </c>
      <c r="J666" s="186"/>
      <c r="K666" s="266">
        <f t="shared" si="158"/>
        <v>2018</v>
      </c>
      <c r="L666" s="386"/>
      <c r="M666" s="386"/>
      <c r="N666" s="32"/>
      <c r="O666" s="32" t="s">
        <v>2065</v>
      </c>
      <c r="P666" s="278" t="s">
        <v>2066</v>
      </c>
      <c r="Q666" s="233" t="s">
        <v>2064</v>
      </c>
      <c r="R666" s="75">
        <v>1820</v>
      </c>
      <c r="S666" s="75">
        <v>171840</v>
      </c>
      <c r="T666" s="75">
        <v>173660</v>
      </c>
      <c r="U666" s="200">
        <v>960</v>
      </c>
      <c r="V666" s="287">
        <f t="shared" ca="1" si="159"/>
        <v>10</v>
      </c>
      <c r="W666" s="75">
        <f t="shared" ca="1" si="160"/>
        <v>8400</v>
      </c>
      <c r="X666" s="200">
        <f t="shared" ca="1" si="161"/>
        <v>181340</v>
      </c>
      <c r="Y666" s="1">
        <v>0</v>
      </c>
      <c r="Z666" s="1"/>
      <c r="AA666" s="219"/>
      <c r="AB666" s="302" t="s">
        <v>6250</v>
      </c>
      <c r="AC666" s="308">
        <v>41723</v>
      </c>
      <c r="AD666" s="309">
        <v>0.25</v>
      </c>
      <c r="AE666" s="302" t="s">
        <v>6228</v>
      </c>
      <c r="AF666">
        <f t="shared" si="155"/>
        <v>0</v>
      </c>
    </row>
    <row r="667" spans="1:32" hidden="1" x14ac:dyDescent="0.25">
      <c r="A667" s="322" t="s">
        <v>2067</v>
      </c>
      <c r="B667" s="93" t="str">
        <f t="shared" si="156"/>
        <v>NO</v>
      </c>
      <c r="C667" s="93" t="s">
        <v>5503</v>
      </c>
      <c r="D667" s="4">
        <v>39554</v>
      </c>
      <c r="E667" s="2">
        <v>39661</v>
      </c>
      <c r="F667" s="2">
        <f t="shared" si="157"/>
        <v>43313</v>
      </c>
      <c r="G667" s="6">
        <v>643.12</v>
      </c>
      <c r="H667" s="7" t="s">
        <v>522</v>
      </c>
      <c r="I667" s="7" t="s">
        <v>512</v>
      </c>
      <c r="J667" s="186"/>
      <c r="K667" s="266">
        <f t="shared" si="158"/>
        <v>2018</v>
      </c>
      <c r="L667" s="386"/>
      <c r="M667" s="386"/>
      <c r="N667" s="32"/>
      <c r="O667" s="32" t="s">
        <v>2065</v>
      </c>
      <c r="P667" s="278" t="s">
        <v>2069</v>
      </c>
      <c r="Q667" s="233" t="s">
        <v>2068</v>
      </c>
      <c r="R667" s="75">
        <v>2394</v>
      </c>
      <c r="S667" s="75">
        <v>185472</v>
      </c>
      <c r="T667" s="75">
        <v>187866</v>
      </c>
      <c r="U667" s="200">
        <v>1288</v>
      </c>
      <c r="V667" s="287">
        <f t="shared" ca="1" si="159"/>
        <v>10</v>
      </c>
      <c r="W667" s="75">
        <f t="shared" ca="1" si="160"/>
        <v>11270</v>
      </c>
      <c r="X667" s="200">
        <f t="shared" ca="1" si="161"/>
        <v>198170</v>
      </c>
      <c r="Y667" s="1">
        <v>0</v>
      </c>
      <c r="Z667" s="1"/>
      <c r="AA667" s="219"/>
      <c r="AB667" s="302" t="s">
        <v>6251</v>
      </c>
      <c r="AC667" s="308">
        <v>41723</v>
      </c>
      <c r="AD667" s="309">
        <v>0.25</v>
      </c>
      <c r="AE667" s="302" t="s">
        <v>6228</v>
      </c>
      <c r="AF667">
        <f t="shared" si="155"/>
        <v>0</v>
      </c>
    </row>
    <row r="668" spans="1:32" hidden="1" x14ac:dyDescent="0.25">
      <c r="A668" s="322" t="s">
        <v>2070</v>
      </c>
      <c r="B668" s="93" t="str">
        <f t="shared" si="156"/>
        <v>NO</v>
      </c>
      <c r="C668" s="93" t="s">
        <v>5503</v>
      </c>
      <c r="D668" s="4">
        <v>39554</v>
      </c>
      <c r="E668" s="2">
        <v>39661</v>
      </c>
      <c r="F668" s="2">
        <f t="shared" si="157"/>
        <v>43313</v>
      </c>
      <c r="G668" s="6">
        <v>960</v>
      </c>
      <c r="H668" s="7" t="s">
        <v>522</v>
      </c>
      <c r="I668" s="7" t="s">
        <v>512</v>
      </c>
      <c r="J668" s="186"/>
      <c r="K668" s="266">
        <f t="shared" si="158"/>
        <v>2018</v>
      </c>
      <c r="L668" s="386"/>
      <c r="M668" s="386"/>
      <c r="N668" s="32"/>
      <c r="O668" s="32" t="s">
        <v>2072</v>
      </c>
      <c r="P668" s="278" t="s">
        <v>2073</v>
      </c>
      <c r="Q668" s="233" t="s">
        <v>2071</v>
      </c>
      <c r="R668" s="75">
        <v>3500</v>
      </c>
      <c r="S668" s="75">
        <v>36480</v>
      </c>
      <c r="T668" s="75">
        <v>39980</v>
      </c>
      <c r="U668" s="200">
        <v>1920</v>
      </c>
      <c r="V668" s="287">
        <f t="shared" ca="1" si="159"/>
        <v>10</v>
      </c>
      <c r="W668" s="75">
        <f t="shared" ca="1" si="160"/>
        <v>16800</v>
      </c>
      <c r="X668" s="200">
        <f t="shared" ca="1" si="161"/>
        <v>55340</v>
      </c>
      <c r="Y668" s="1">
        <v>0</v>
      </c>
      <c r="Z668" s="1"/>
      <c r="AA668" s="219"/>
      <c r="AB668" s="302" t="s">
        <v>6252</v>
      </c>
      <c r="AC668" s="308">
        <v>41723</v>
      </c>
      <c r="AD668" s="309">
        <v>0.25</v>
      </c>
      <c r="AE668" s="302" t="s">
        <v>6228</v>
      </c>
      <c r="AF668">
        <f t="shared" si="155"/>
        <v>0</v>
      </c>
    </row>
    <row r="669" spans="1:32" hidden="1" x14ac:dyDescent="0.25">
      <c r="A669" s="322" t="s">
        <v>2074</v>
      </c>
      <c r="B669" s="93" t="str">
        <f t="shared" si="156"/>
        <v>NO</v>
      </c>
      <c r="C669" s="93" t="s">
        <v>5503</v>
      </c>
      <c r="D669" s="4">
        <v>39554</v>
      </c>
      <c r="E669" s="2">
        <v>39661</v>
      </c>
      <c r="F669" s="2">
        <f t="shared" si="157"/>
        <v>43313</v>
      </c>
      <c r="G669" s="6">
        <v>40</v>
      </c>
      <c r="H669" s="7" t="s">
        <v>2077</v>
      </c>
      <c r="I669" s="7" t="s">
        <v>198</v>
      </c>
      <c r="J669" s="105" t="s">
        <v>2076</v>
      </c>
      <c r="K669" s="266">
        <f t="shared" si="158"/>
        <v>2018</v>
      </c>
      <c r="L669" s="381"/>
      <c r="M669" s="381"/>
      <c r="N669" s="32"/>
      <c r="O669" s="32" t="s">
        <v>2078</v>
      </c>
      <c r="P669" s="278" t="s">
        <v>2079</v>
      </c>
      <c r="Q669" s="233" t="s">
        <v>2075</v>
      </c>
      <c r="R669" s="75">
        <v>280</v>
      </c>
      <c r="S669" s="75">
        <v>37920</v>
      </c>
      <c r="T669" s="75">
        <v>38200</v>
      </c>
      <c r="U669" s="200">
        <v>60</v>
      </c>
      <c r="V669" s="287">
        <f t="shared" ca="1" si="159"/>
        <v>10</v>
      </c>
      <c r="W669" s="75">
        <f t="shared" ca="1" si="160"/>
        <v>700</v>
      </c>
      <c r="X669" s="200">
        <f t="shared" ca="1" si="161"/>
        <v>38840</v>
      </c>
      <c r="Y669" s="1">
        <v>0</v>
      </c>
      <c r="Z669" s="1"/>
      <c r="AA669" s="219"/>
      <c r="AB669" s="302" t="s">
        <v>6682</v>
      </c>
      <c r="AC669" s="302"/>
      <c r="AD669" s="302"/>
      <c r="AE669" s="302"/>
      <c r="AF669">
        <f t="shared" si="155"/>
        <v>0</v>
      </c>
    </row>
    <row r="670" spans="1:32" ht="25.5" hidden="1" x14ac:dyDescent="0.25">
      <c r="A670" s="322" t="s">
        <v>2080</v>
      </c>
      <c r="B670" s="93" t="str">
        <f t="shared" si="156"/>
        <v>NO</v>
      </c>
      <c r="C670" s="93" t="s">
        <v>5503</v>
      </c>
      <c r="D670" s="4">
        <v>39554</v>
      </c>
      <c r="E670" s="2">
        <v>39661</v>
      </c>
      <c r="F670" s="2">
        <f t="shared" si="157"/>
        <v>43313</v>
      </c>
      <c r="G670" s="6">
        <v>51.88</v>
      </c>
      <c r="H670" s="7" t="s">
        <v>7484</v>
      </c>
      <c r="I670" s="7" t="s">
        <v>198</v>
      </c>
      <c r="J670" s="186"/>
      <c r="K670" s="266">
        <f t="shared" si="158"/>
        <v>2018</v>
      </c>
      <c r="L670" s="386"/>
      <c r="M670" s="386"/>
      <c r="N670" s="32"/>
      <c r="O670" s="32" t="s">
        <v>7718</v>
      </c>
      <c r="P670" s="278" t="s">
        <v>2082</v>
      </c>
      <c r="Q670" s="233" t="s">
        <v>2081</v>
      </c>
      <c r="R670" s="75">
        <v>322</v>
      </c>
      <c r="S670" s="75">
        <v>9256</v>
      </c>
      <c r="T670" s="75">
        <v>9578</v>
      </c>
      <c r="U670" s="200">
        <v>104</v>
      </c>
      <c r="V670" s="287">
        <f t="shared" ca="1" si="159"/>
        <v>10</v>
      </c>
      <c r="W670" s="75">
        <f t="shared" ca="1" si="160"/>
        <v>910</v>
      </c>
      <c r="X670" s="200">
        <f t="shared" ca="1" si="161"/>
        <v>10410</v>
      </c>
      <c r="Y670" s="1">
        <v>0</v>
      </c>
      <c r="Z670" s="1"/>
      <c r="AA670" s="219"/>
      <c r="AB670" s="302" t="s">
        <v>7485</v>
      </c>
      <c r="AC670" s="302"/>
      <c r="AD670" s="302"/>
      <c r="AE670" s="302"/>
      <c r="AF670">
        <f t="shared" si="155"/>
        <v>0</v>
      </c>
    </row>
    <row r="671" spans="1:32" ht="26.25" hidden="1" x14ac:dyDescent="0.25">
      <c r="A671" s="322" t="s">
        <v>2083</v>
      </c>
      <c r="B671" s="93" t="str">
        <f t="shared" si="156"/>
        <v>NO</v>
      </c>
      <c r="C671" s="93" t="s">
        <v>5503</v>
      </c>
      <c r="D671" s="4">
        <v>39554</v>
      </c>
      <c r="E671" s="2">
        <v>39661</v>
      </c>
      <c r="F671" s="2">
        <f t="shared" si="157"/>
        <v>43313</v>
      </c>
      <c r="G671" s="6">
        <v>1230</v>
      </c>
      <c r="H671" s="7" t="s">
        <v>1575</v>
      </c>
      <c r="I671" s="7" t="s">
        <v>198</v>
      </c>
      <c r="J671" s="186"/>
      <c r="K671" s="266">
        <f t="shared" si="158"/>
        <v>2018</v>
      </c>
      <c r="L671" s="386"/>
      <c r="M671" s="386"/>
      <c r="N671" s="32" t="s">
        <v>2085</v>
      </c>
      <c r="O671" s="32" t="s">
        <v>2086</v>
      </c>
      <c r="P671" s="278" t="s">
        <v>2087</v>
      </c>
      <c r="Q671" s="233" t="s">
        <v>2084</v>
      </c>
      <c r="R671" s="75">
        <v>4445</v>
      </c>
      <c r="S671" s="75">
        <v>2460</v>
      </c>
      <c r="T671" s="75">
        <v>6905</v>
      </c>
      <c r="U671" s="200">
        <v>2460</v>
      </c>
      <c r="V671" s="287">
        <f t="shared" ca="1" si="159"/>
        <v>10</v>
      </c>
      <c r="W671" s="75">
        <f t="shared" ca="1" si="160"/>
        <v>21525</v>
      </c>
      <c r="X671" s="200">
        <f t="shared" ca="1" si="161"/>
        <v>26585</v>
      </c>
      <c r="Y671" s="1">
        <v>0</v>
      </c>
      <c r="Z671" s="1"/>
      <c r="AA671" s="219"/>
      <c r="AB671" s="302" t="s">
        <v>6683</v>
      </c>
      <c r="AC671" s="302"/>
      <c r="AD671" s="302"/>
      <c r="AE671" s="302"/>
      <c r="AF671">
        <f t="shared" si="155"/>
        <v>0</v>
      </c>
    </row>
    <row r="672" spans="1:32" ht="26.25" hidden="1" x14ac:dyDescent="0.25">
      <c r="A672" s="322" t="s">
        <v>2088</v>
      </c>
      <c r="B672" s="93" t="str">
        <f t="shared" si="156"/>
        <v>NO</v>
      </c>
      <c r="C672" s="93" t="s">
        <v>5503</v>
      </c>
      <c r="D672" s="4">
        <v>39554</v>
      </c>
      <c r="E672" s="2">
        <v>39661</v>
      </c>
      <c r="F672" s="2">
        <f t="shared" si="157"/>
        <v>43313</v>
      </c>
      <c r="G672" s="6">
        <v>1720.11</v>
      </c>
      <c r="H672" s="7" t="s">
        <v>1575</v>
      </c>
      <c r="I672" s="7" t="s">
        <v>198</v>
      </c>
      <c r="J672" s="186"/>
      <c r="K672" s="266">
        <f t="shared" si="158"/>
        <v>2018</v>
      </c>
      <c r="L672" s="386"/>
      <c r="M672" s="386"/>
      <c r="N672" s="32" t="s">
        <v>2085</v>
      </c>
      <c r="O672" s="32" t="s">
        <v>2086</v>
      </c>
      <c r="P672" s="278" t="s">
        <v>2087</v>
      </c>
      <c r="Q672" s="233" t="s">
        <v>2089</v>
      </c>
      <c r="R672" s="75">
        <v>6163.5</v>
      </c>
      <c r="S672" s="75">
        <v>3442</v>
      </c>
      <c r="T672" s="75">
        <v>9605.5</v>
      </c>
      <c r="U672" s="200">
        <v>3442</v>
      </c>
      <c r="V672" s="287">
        <f t="shared" ca="1" si="159"/>
        <v>10</v>
      </c>
      <c r="W672" s="75">
        <f t="shared" ca="1" si="160"/>
        <v>30117.5</v>
      </c>
      <c r="X672" s="200">
        <f t="shared" ca="1" si="161"/>
        <v>37141.5</v>
      </c>
      <c r="Y672" s="1">
        <v>0</v>
      </c>
      <c r="Z672" s="1"/>
      <c r="AA672" s="219"/>
      <c r="AB672" s="302" t="s">
        <v>6684</v>
      </c>
      <c r="AC672" s="302"/>
      <c r="AD672" s="302"/>
      <c r="AE672" s="302"/>
      <c r="AF672">
        <f t="shared" si="155"/>
        <v>0</v>
      </c>
    </row>
    <row r="673" spans="1:32" ht="26.25" hidden="1" x14ac:dyDescent="0.25">
      <c r="A673" s="322" t="s">
        <v>2090</v>
      </c>
      <c r="B673" s="93" t="str">
        <f t="shared" si="156"/>
        <v>NO</v>
      </c>
      <c r="C673" s="93" t="s">
        <v>5503</v>
      </c>
      <c r="D673" s="4">
        <v>39554</v>
      </c>
      <c r="E673" s="2">
        <v>39661</v>
      </c>
      <c r="F673" s="2">
        <f t="shared" si="157"/>
        <v>43313</v>
      </c>
      <c r="G673" s="6">
        <v>913.18</v>
      </c>
      <c r="H673" s="7" t="s">
        <v>1575</v>
      </c>
      <c r="I673" s="7" t="s">
        <v>198</v>
      </c>
      <c r="J673" s="186"/>
      <c r="K673" s="266">
        <f t="shared" si="158"/>
        <v>2018</v>
      </c>
      <c r="L673" s="386"/>
      <c r="M673" s="386"/>
      <c r="N673" s="32"/>
      <c r="O673" s="32" t="s">
        <v>2092</v>
      </c>
      <c r="P673" s="278" t="s">
        <v>2093</v>
      </c>
      <c r="Q673" s="233" t="s">
        <v>2091</v>
      </c>
      <c r="R673" s="75">
        <v>3339</v>
      </c>
      <c r="S673" s="75">
        <v>1828</v>
      </c>
      <c r="T673" s="75">
        <v>5167</v>
      </c>
      <c r="U673" s="200">
        <v>1828</v>
      </c>
      <c r="V673" s="287">
        <f t="shared" ca="1" si="159"/>
        <v>10</v>
      </c>
      <c r="W673" s="75">
        <f t="shared" ca="1" si="160"/>
        <v>15995</v>
      </c>
      <c r="X673" s="200">
        <f t="shared" ca="1" si="161"/>
        <v>19791</v>
      </c>
      <c r="Y673" s="1">
        <v>0</v>
      </c>
      <c r="Z673" s="1"/>
      <c r="AA673" s="219"/>
      <c r="AB673" s="302" t="s">
        <v>6685</v>
      </c>
      <c r="AC673" s="302"/>
      <c r="AD673" s="302"/>
      <c r="AE673" s="302"/>
      <c r="AF673">
        <f t="shared" si="155"/>
        <v>0</v>
      </c>
    </row>
    <row r="674" spans="1:32" ht="26.25" hidden="1" x14ac:dyDescent="0.25">
      <c r="A674" s="322" t="s">
        <v>2094</v>
      </c>
      <c r="B674" s="93" t="str">
        <f t="shared" si="156"/>
        <v>NO</v>
      </c>
      <c r="C674" s="93" t="s">
        <v>5503</v>
      </c>
      <c r="D674" s="4">
        <v>39554</v>
      </c>
      <c r="E674" s="2">
        <v>39661</v>
      </c>
      <c r="F674" s="2">
        <f t="shared" si="157"/>
        <v>43313</v>
      </c>
      <c r="G674" s="6">
        <v>1558.88</v>
      </c>
      <c r="H674" s="7" t="s">
        <v>1575</v>
      </c>
      <c r="I674" s="7" t="s">
        <v>198</v>
      </c>
      <c r="J674" s="186"/>
      <c r="K674" s="266">
        <f t="shared" si="158"/>
        <v>2018</v>
      </c>
      <c r="L674" s="386"/>
      <c r="M674" s="386"/>
      <c r="N674" s="32" t="s">
        <v>2085</v>
      </c>
      <c r="O674" s="32" t="s">
        <v>2092</v>
      </c>
      <c r="P674" s="278" t="s">
        <v>2087</v>
      </c>
      <c r="Q674" s="233" t="s">
        <v>2095</v>
      </c>
      <c r="R674" s="75">
        <v>5596.5</v>
      </c>
      <c r="S674" s="75">
        <v>0</v>
      </c>
      <c r="T674" s="75">
        <v>5596.5</v>
      </c>
      <c r="U674" s="200">
        <v>3118</v>
      </c>
      <c r="V674" s="287">
        <f t="shared" ca="1" si="159"/>
        <v>10</v>
      </c>
      <c r="W674" s="75">
        <f t="shared" ca="1" si="160"/>
        <v>27282.5</v>
      </c>
      <c r="X674" s="200">
        <f t="shared" ca="1" si="161"/>
        <v>30540.5</v>
      </c>
      <c r="Y674" s="1">
        <v>0</v>
      </c>
      <c r="Z674" s="1"/>
      <c r="AA674" s="219"/>
      <c r="AB674" s="302" t="s">
        <v>6686</v>
      </c>
      <c r="AC674" s="302"/>
      <c r="AD674" s="302"/>
      <c r="AE674" s="302"/>
      <c r="AF674">
        <f t="shared" si="155"/>
        <v>0</v>
      </c>
    </row>
    <row r="675" spans="1:32" ht="26.25" hidden="1" x14ac:dyDescent="0.25">
      <c r="A675" s="322" t="s">
        <v>2096</v>
      </c>
      <c r="B675" s="93" t="str">
        <f t="shared" si="156"/>
        <v>NO</v>
      </c>
      <c r="C675" s="93" t="s">
        <v>5503</v>
      </c>
      <c r="D675" s="4">
        <v>39554</v>
      </c>
      <c r="E675" s="2">
        <v>39661</v>
      </c>
      <c r="F675" s="2">
        <f t="shared" si="157"/>
        <v>43313</v>
      </c>
      <c r="G675" s="6">
        <v>1817.87</v>
      </c>
      <c r="H675" s="7" t="s">
        <v>1575</v>
      </c>
      <c r="I675" s="7" t="s">
        <v>198</v>
      </c>
      <c r="J675" s="186"/>
      <c r="K675" s="266">
        <f t="shared" si="158"/>
        <v>2018</v>
      </c>
      <c r="L675" s="386"/>
      <c r="M675" s="386"/>
      <c r="N675" s="32" t="s">
        <v>2085</v>
      </c>
      <c r="O675" s="32" t="s">
        <v>2092</v>
      </c>
      <c r="P675" s="278" t="s">
        <v>2087</v>
      </c>
      <c r="Q675" s="233" t="s">
        <v>2097</v>
      </c>
      <c r="R675" s="75">
        <v>6503</v>
      </c>
      <c r="S675" s="75">
        <v>0</v>
      </c>
      <c r="T675" s="75">
        <v>6503</v>
      </c>
      <c r="U675" s="200">
        <v>3636</v>
      </c>
      <c r="V675" s="287">
        <f t="shared" ca="1" si="159"/>
        <v>10</v>
      </c>
      <c r="W675" s="75">
        <f t="shared" ca="1" si="160"/>
        <v>31815</v>
      </c>
      <c r="X675" s="200">
        <f t="shared" ca="1" si="161"/>
        <v>35591</v>
      </c>
      <c r="Y675" s="1">
        <v>0</v>
      </c>
      <c r="Z675" s="1"/>
      <c r="AA675" s="219"/>
      <c r="AB675" s="302" t="s">
        <v>6687</v>
      </c>
      <c r="AC675" s="302"/>
      <c r="AD675" s="302"/>
      <c r="AE675" s="302"/>
      <c r="AF675">
        <f t="shared" si="155"/>
        <v>0</v>
      </c>
    </row>
    <row r="676" spans="1:32" hidden="1" x14ac:dyDescent="0.25">
      <c r="A676" s="322" t="s">
        <v>2098</v>
      </c>
      <c r="B676" s="93" t="str">
        <f t="shared" si="156"/>
        <v>NO</v>
      </c>
      <c r="C676" s="93" t="s">
        <v>5503</v>
      </c>
      <c r="D676" s="4">
        <v>39554</v>
      </c>
      <c r="E676" s="2">
        <v>39661</v>
      </c>
      <c r="F676" s="2">
        <f t="shared" si="157"/>
        <v>43313</v>
      </c>
      <c r="G676" s="6">
        <v>122</v>
      </c>
      <c r="H676" s="7" t="s">
        <v>862</v>
      </c>
      <c r="I676" s="7" t="s">
        <v>15</v>
      </c>
      <c r="J676" s="186"/>
      <c r="K676" s="266">
        <f t="shared" si="158"/>
        <v>2018</v>
      </c>
      <c r="L676" s="386"/>
      <c r="M676" s="386"/>
      <c r="N676" s="32" t="s">
        <v>2100</v>
      </c>
      <c r="O676" s="32" t="s">
        <v>2101</v>
      </c>
      <c r="P676" s="278"/>
      <c r="Q676" s="233" t="s">
        <v>2099</v>
      </c>
      <c r="R676" s="75">
        <v>567</v>
      </c>
      <c r="S676" s="75">
        <v>26596</v>
      </c>
      <c r="T676" s="75">
        <v>27163</v>
      </c>
      <c r="U676" s="200">
        <v>244</v>
      </c>
      <c r="V676" s="287">
        <f t="shared" ca="1" si="159"/>
        <v>10</v>
      </c>
      <c r="W676" s="75">
        <f t="shared" ca="1" si="160"/>
        <v>2135</v>
      </c>
      <c r="X676" s="200">
        <f t="shared" ca="1" si="161"/>
        <v>29115</v>
      </c>
      <c r="Y676" s="1">
        <v>0</v>
      </c>
      <c r="Z676" s="1"/>
      <c r="AA676" s="219"/>
      <c r="AB676" s="302" t="s">
        <v>6688</v>
      </c>
      <c r="AC676" s="302"/>
      <c r="AD676" s="302"/>
      <c r="AE676" s="302"/>
      <c r="AF676">
        <f t="shared" si="155"/>
        <v>0</v>
      </c>
    </row>
    <row r="677" spans="1:32" hidden="1" x14ac:dyDescent="0.25">
      <c r="A677" s="322" t="s">
        <v>2102</v>
      </c>
      <c r="B677" s="93" t="str">
        <f t="shared" si="156"/>
        <v>NO</v>
      </c>
      <c r="C677" s="93" t="s">
        <v>5503</v>
      </c>
      <c r="D677" s="4">
        <v>39554</v>
      </c>
      <c r="E677" s="2">
        <v>39661</v>
      </c>
      <c r="F677" s="2">
        <f t="shared" si="157"/>
        <v>43313</v>
      </c>
      <c r="G677" s="6">
        <v>142</v>
      </c>
      <c r="H677" s="7" t="s">
        <v>862</v>
      </c>
      <c r="I677" s="7" t="s">
        <v>15</v>
      </c>
      <c r="J677" s="186"/>
      <c r="K677" s="266">
        <f t="shared" si="158"/>
        <v>2018</v>
      </c>
      <c r="L677" s="386"/>
      <c r="M677" s="386"/>
      <c r="N677" s="32" t="s">
        <v>2100</v>
      </c>
      <c r="O677" s="32" t="s">
        <v>2104</v>
      </c>
      <c r="P677" s="278"/>
      <c r="Q677" s="233" t="s">
        <v>2103</v>
      </c>
      <c r="R677" s="75">
        <v>637</v>
      </c>
      <c r="S677" s="75">
        <v>29536</v>
      </c>
      <c r="T677" s="75">
        <v>30173</v>
      </c>
      <c r="U677" s="200">
        <v>284</v>
      </c>
      <c r="V677" s="287">
        <f t="shared" ca="1" si="159"/>
        <v>10</v>
      </c>
      <c r="W677" s="75">
        <f t="shared" ca="1" si="160"/>
        <v>2485</v>
      </c>
      <c r="X677" s="200">
        <f t="shared" ca="1" si="161"/>
        <v>32445</v>
      </c>
      <c r="Y677" s="1">
        <v>0</v>
      </c>
      <c r="Z677" s="1"/>
      <c r="AA677" s="219"/>
      <c r="AB677" s="302" t="s">
        <v>6689</v>
      </c>
      <c r="AC677" s="302"/>
      <c r="AD677" s="302"/>
      <c r="AE677" s="302"/>
      <c r="AF677">
        <f t="shared" si="155"/>
        <v>0</v>
      </c>
    </row>
    <row r="678" spans="1:32" hidden="1" x14ac:dyDescent="0.25">
      <c r="A678" s="322" t="s">
        <v>2105</v>
      </c>
      <c r="B678" s="93" t="str">
        <f t="shared" si="156"/>
        <v>NO</v>
      </c>
      <c r="C678" s="93" t="s">
        <v>5503</v>
      </c>
      <c r="D678" s="4">
        <v>39554</v>
      </c>
      <c r="E678" s="2">
        <v>39661</v>
      </c>
      <c r="F678" s="2">
        <f t="shared" si="157"/>
        <v>43313</v>
      </c>
      <c r="G678" s="6">
        <v>547</v>
      </c>
      <c r="H678" s="7" t="s">
        <v>862</v>
      </c>
      <c r="I678" s="7" t="s">
        <v>15</v>
      </c>
      <c r="J678" s="186"/>
      <c r="K678" s="266">
        <f t="shared" si="158"/>
        <v>2018</v>
      </c>
      <c r="L678" s="386"/>
      <c r="M678" s="386"/>
      <c r="N678" s="32" t="s">
        <v>2100</v>
      </c>
      <c r="O678" s="32" t="s">
        <v>2107</v>
      </c>
      <c r="P678" s="278"/>
      <c r="Q678" s="233" t="s">
        <v>2106</v>
      </c>
      <c r="R678" s="75">
        <v>2054.5</v>
      </c>
      <c r="S678" s="75">
        <v>124716</v>
      </c>
      <c r="T678" s="75">
        <v>126770.5</v>
      </c>
      <c r="U678" s="200">
        <v>1094</v>
      </c>
      <c r="V678" s="287">
        <f t="shared" ca="1" si="159"/>
        <v>10</v>
      </c>
      <c r="W678" s="75">
        <f t="shared" ca="1" si="160"/>
        <v>9572.5</v>
      </c>
      <c r="X678" s="200">
        <f t="shared" ca="1" si="161"/>
        <v>135522.5</v>
      </c>
      <c r="Y678" s="1">
        <v>0</v>
      </c>
      <c r="Z678" s="1"/>
      <c r="AA678" s="219"/>
      <c r="AB678" s="302" t="s">
        <v>6690</v>
      </c>
      <c r="AC678" s="302"/>
      <c r="AD678" s="302"/>
      <c r="AE678" s="302"/>
      <c r="AF678">
        <f t="shared" si="155"/>
        <v>0</v>
      </c>
    </row>
    <row r="679" spans="1:32" ht="15.75" hidden="1" thickBot="1" x14ac:dyDescent="0.3">
      <c r="A679" s="323"/>
      <c r="D679" s="4"/>
      <c r="E679" s="2"/>
      <c r="F679" s="2"/>
      <c r="G679" s="6"/>
      <c r="H679" s="7"/>
      <c r="I679" s="7"/>
      <c r="J679" s="186"/>
      <c r="K679" s="186"/>
      <c r="L679" s="386"/>
      <c r="M679" s="386"/>
      <c r="N679" s="32"/>
      <c r="O679" s="32"/>
      <c r="P679" s="278"/>
      <c r="Q679" s="233"/>
      <c r="R679" s="76">
        <v>71337</v>
      </c>
      <c r="S679" s="76">
        <v>1077970</v>
      </c>
      <c r="T679" s="76">
        <v>1149307</v>
      </c>
      <c r="U679" s="200"/>
      <c r="V679" s="75"/>
      <c r="W679" s="75"/>
      <c r="X679" s="200"/>
      <c r="Y679" s="1"/>
      <c r="Z679" s="1"/>
      <c r="AA679" s="219"/>
      <c r="AB679" s="302"/>
      <c r="AC679" s="302"/>
      <c r="AD679" s="302"/>
      <c r="AE679" s="302"/>
      <c r="AF679">
        <f t="shared" si="155"/>
        <v>0</v>
      </c>
    </row>
    <row r="680" spans="1:32" hidden="1" x14ac:dyDescent="0.25">
      <c r="A680" s="323"/>
      <c r="D680" s="4"/>
      <c r="E680" s="2"/>
      <c r="F680" s="2"/>
      <c r="G680" s="6"/>
      <c r="H680" s="7"/>
      <c r="I680" s="7"/>
      <c r="J680" s="186"/>
      <c r="K680" s="186"/>
      <c r="L680" s="386"/>
      <c r="M680" s="386"/>
      <c r="N680" s="32"/>
      <c r="O680" s="32"/>
      <c r="P680" s="278"/>
      <c r="Q680" s="233" t="s">
        <v>2011</v>
      </c>
      <c r="R680" s="75">
        <v>-71337</v>
      </c>
      <c r="S680" s="75">
        <v>-28000</v>
      </c>
      <c r="T680" s="75">
        <v>-99337</v>
      </c>
      <c r="U680" s="200"/>
      <c r="V680" s="75"/>
      <c r="W680" s="75"/>
      <c r="X680" s="200"/>
      <c r="Y680" s="1"/>
      <c r="Z680" s="1"/>
      <c r="AA680" s="219"/>
      <c r="AB680" s="302"/>
      <c r="AC680" s="302"/>
      <c r="AD680" s="302"/>
      <c r="AE680" s="302"/>
      <c r="AF680">
        <f t="shared" si="155"/>
        <v>0</v>
      </c>
    </row>
    <row r="681" spans="1:32" hidden="1" x14ac:dyDescent="0.25">
      <c r="A681" s="323"/>
      <c r="D681" s="4"/>
      <c r="E681" s="2"/>
      <c r="F681" s="2"/>
      <c r="G681" s="6"/>
      <c r="H681" s="7"/>
      <c r="I681" s="7"/>
      <c r="J681" s="186"/>
      <c r="K681" s="186"/>
      <c r="L681" s="386"/>
      <c r="M681" s="386"/>
      <c r="N681" s="32"/>
      <c r="O681" s="32"/>
      <c r="P681" s="278"/>
      <c r="Q681" s="233" t="s">
        <v>2108</v>
      </c>
      <c r="R681" s="75"/>
      <c r="S681" s="75">
        <v>-1049970</v>
      </c>
      <c r="T681" s="75">
        <v>-1049970</v>
      </c>
      <c r="U681" s="200"/>
      <c r="V681" s="75"/>
      <c r="W681" s="75"/>
      <c r="X681" s="200"/>
      <c r="Y681" s="1"/>
      <c r="Z681" s="1"/>
      <c r="AA681" s="219"/>
      <c r="AB681" s="302"/>
      <c r="AC681" s="302"/>
      <c r="AD681" s="302"/>
      <c r="AE681" s="302"/>
      <c r="AF681">
        <f t="shared" si="155"/>
        <v>0</v>
      </c>
    </row>
    <row r="682" spans="1:32" hidden="1" x14ac:dyDescent="0.25">
      <c r="A682" s="323"/>
      <c r="D682" s="4"/>
      <c r="E682" s="2"/>
      <c r="F682" s="2"/>
      <c r="G682" s="6"/>
      <c r="H682" s="7"/>
      <c r="I682" s="7"/>
      <c r="J682" s="186"/>
      <c r="K682" s="186"/>
      <c r="L682" s="386"/>
      <c r="M682" s="386"/>
      <c r="N682" s="32"/>
      <c r="O682" s="32"/>
      <c r="P682" s="278"/>
      <c r="Q682" s="233"/>
      <c r="R682" s="75"/>
      <c r="S682" s="75"/>
      <c r="T682" s="75"/>
      <c r="U682" s="200"/>
      <c r="V682" s="75"/>
      <c r="W682" s="75"/>
      <c r="X682" s="200"/>
      <c r="Y682" s="1"/>
      <c r="Z682" s="1"/>
      <c r="AA682" s="219"/>
      <c r="AB682" s="302"/>
      <c r="AC682" s="302"/>
      <c r="AD682" s="302"/>
      <c r="AE682" s="302"/>
      <c r="AF682">
        <f t="shared" si="155"/>
        <v>0</v>
      </c>
    </row>
    <row r="683" spans="1:32" ht="26.25" hidden="1" x14ac:dyDescent="0.25">
      <c r="A683" s="322" t="s">
        <v>2109</v>
      </c>
      <c r="B683" s="93" t="str">
        <f t="shared" ref="B683:B714" si="162">IF(COUNTIF(GIS,A683),"YES","NO")</f>
        <v>NO</v>
      </c>
      <c r="C683" s="93" t="s">
        <v>5503</v>
      </c>
      <c r="D683" s="4">
        <v>39562</v>
      </c>
      <c r="E683" s="2"/>
      <c r="F683" s="2"/>
      <c r="G683" s="6"/>
      <c r="H683" s="7"/>
      <c r="I683" s="7"/>
      <c r="J683" s="185" t="s">
        <v>2112</v>
      </c>
      <c r="K683" s="266"/>
      <c r="L683" s="384"/>
      <c r="M683" s="384"/>
      <c r="N683" s="32"/>
      <c r="O683" s="32"/>
      <c r="P683" s="278"/>
      <c r="Q683" s="233"/>
      <c r="R683" s="75"/>
      <c r="S683" s="75"/>
      <c r="T683" s="75"/>
      <c r="U683" s="200"/>
      <c r="V683" s="75"/>
      <c r="W683" s="75"/>
      <c r="X683" s="200"/>
      <c r="Y683" s="1"/>
      <c r="Z683" s="1"/>
      <c r="AA683" s="219"/>
      <c r="AB683" s="302"/>
      <c r="AC683" s="302"/>
      <c r="AD683" s="302"/>
      <c r="AE683" s="302"/>
      <c r="AF683">
        <f t="shared" si="155"/>
        <v>0</v>
      </c>
    </row>
    <row r="684" spans="1:32" ht="26.25" hidden="1" x14ac:dyDescent="0.25">
      <c r="A684" s="322" t="s">
        <v>2110</v>
      </c>
      <c r="B684" s="93" t="str">
        <f t="shared" si="162"/>
        <v>NO</v>
      </c>
      <c r="C684" s="93" t="s">
        <v>5503</v>
      </c>
      <c r="D684" s="4">
        <v>39562</v>
      </c>
      <c r="E684" s="2"/>
      <c r="F684" s="2"/>
      <c r="G684" s="6"/>
      <c r="H684" s="7"/>
      <c r="I684" s="7"/>
      <c r="J684" s="185" t="s">
        <v>4835</v>
      </c>
      <c r="K684" s="266"/>
      <c r="L684" s="384"/>
      <c r="M684" s="384"/>
      <c r="N684" s="32"/>
      <c r="O684" s="32"/>
      <c r="P684" s="278"/>
      <c r="Q684" s="233"/>
      <c r="R684" s="75"/>
      <c r="S684" s="75"/>
      <c r="T684" s="75"/>
      <c r="U684" s="200"/>
      <c r="V684" s="75"/>
      <c r="W684" s="75"/>
      <c r="X684" s="200"/>
      <c r="Y684" s="1"/>
      <c r="Z684" s="1"/>
      <c r="AA684" s="219"/>
      <c r="AB684" s="302"/>
      <c r="AC684" s="302"/>
      <c r="AD684" s="302"/>
      <c r="AE684" s="302"/>
      <c r="AF684">
        <f t="shared" si="155"/>
        <v>0</v>
      </c>
    </row>
    <row r="685" spans="1:32" ht="26.25" hidden="1" x14ac:dyDescent="0.25">
      <c r="A685" s="322" t="s">
        <v>2111</v>
      </c>
      <c r="B685" s="93" t="str">
        <f t="shared" si="162"/>
        <v>NO</v>
      </c>
      <c r="C685" s="93" t="s">
        <v>5503</v>
      </c>
      <c r="D685" s="4">
        <v>39562</v>
      </c>
      <c r="F685" s="2"/>
      <c r="G685" s="6"/>
      <c r="H685" s="7"/>
      <c r="I685" s="7"/>
      <c r="J685" s="185" t="s">
        <v>2116</v>
      </c>
      <c r="K685" s="266"/>
      <c r="L685" s="384"/>
      <c r="M685" s="384"/>
      <c r="N685" s="32"/>
      <c r="O685" s="272"/>
      <c r="P685" s="281"/>
      <c r="Q685" s="234"/>
      <c r="T685" s="75"/>
      <c r="U685" s="200"/>
      <c r="V685" s="75"/>
      <c r="W685" s="75"/>
      <c r="X685" s="200"/>
      <c r="Y685" s="1"/>
      <c r="Z685" s="1"/>
      <c r="AA685" s="219"/>
      <c r="AB685" s="302"/>
      <c r="AC685" s="302"/>
      <c r="AD685" s="302"/>
      <c r="AE685" s="302"/>
      <c r="AF685">
        <f t="shared" si="155"/>
        <v>0</v>
      </c>
    </row>
    <row r="686" spans="1:32" ht="26.25" hidden="1" x14ac:dyDescent="0.25">
      <c r="A686" s="322" t="s">
        <v>2113</v>
      </c>
      <c r="B686" s="93" t="str">
        <f t="shared" si="162"/>
        <v>NO</v>
      </c>
      <c r="C686" s="93" t="s">
        <v>5503</v>
      </c>
      <c r="D686" s="4">
        <v>39562</v>
      </c>
      <c r="F686" s="2"/>
      <c r="G686" s="6"/>
      <c r="H686" s="7"/>
      <c r="I686" s="7"/>
      <c r="J686" s="185" t="s">
        <v>4816</v>
      </c>
      <c r="K686" s="266"/>
      <c r="L686" s="384"/>
      <c r="M686" s="384"/>
      <c r="N686" s="32"/>
      <c r="O686" s="272"/>
      <c r="P686" s="281"/>
      <c r="Q686" s="234"/>
      <c r="T686" s="75"/>
      <c r="U686" s="200"/>
      <c r="V686" s="75"/>
      <c r="W686" s="75"/>
      <c r="X686" s="200"/>
      <c r="Y686" s="1"/>
      <c r="Z686" s="1"/>
      <c r="AA686" s="219"/>
      <c r="AB686" s="302"/>
      <c r="AC686" s="302"/>
      <c r="AD686" s="302"/>
      <c r="AE686" s="302"/>
      <c r="AF686">
        <f t="shared" si="155"/>
        <v>0</v>
      </c>
    </row>
    <row r="687" spans="1:32" ht="26.25" hidden="1" x14ac:dyDescent="0.25">
      <c r="A687" s="322" t="s">
        <v>2114</v>
      </c>
      <c r="B687" s="93" t="str">
        <f t="shared" si="162"/>
        <v>NO</v>
      </c>
      <c r="C687" s="93" t="s">
        <v>5503</v>
      </c>
      <c r="D687" s="4">
        <v>39562</v>
      </c>
      <c r="F687" s="2"/>
      <c r="G687" s="6"/>
      <c r="H687" s="7"/>
      <c r="I687" s="7"/>
      <c r="J687" s="185" t="s">
        <v>2119</v>
      </c>
      <c r="K687" s="266"/>
      <c r="L687" s="384"/>
      <c r="M687" s="384"/>
      <c r="N687" s="32"/>
      <c r="O687" s="272"/>
      <c r="P687" s="281"/>
      <c r="Q687" s="234"/>
      <c r="T687" s="75"/>
      <c r="U687" s="200"/>
      <c r="V687" s="75"/>
      <c r="W687" s="75"/>
      <c r="X687" s="200"/>
      <c r="Y687" s="1"/>
      <c r="Z687" s="1"/>
      <c r="AA687" s="219"/>
      <c r="AB687" s="302"/>
      <c r="AC687" s="302"/>
      <c r="AD687" s="302"/>
      <c r="AE687" s="302"/>
      <c r="AF687">
        <f t="shared" si="155"/>
        <v>0</v>
      </c>
    </row>
    <row r="688" spans="1:32" ht="26.25" hidden="1" x14ac:dyDescent="0.25">
      <c r="A688" s="322" t="s">
        <v>2115</v>
      </c>
      <c r="B688" s="93" t="str">
        <f t="shared" si="162"/>
        <v>NO</v>
      </c>
      <c r="C688" s="93" t="s">
        <v>5503</v>
      </c>
      <c r="D688" s="4">
        <v>39562</v>
      </c>
      <c r="F688" s="2"/>
      <c r="G688" s="6"/>
      <c r="H688" s="7"/>
      <c r="I688" s="7"/>
      <c r="J688" s="185" t="s">
        <v>2121</v>
      </c>
      <c r="K688" s="266"/>
      <c r="L688" s="384"/>
      <c r="M688" s="384"/>
      <c r="N688" s="32"/>
      <c r="O688" s="272"/>
      <c r="P688" s="281"/>
      <c r="Q688" s="234"/>
      <c r="T688" s="75"/>
      <c r="U688" s="200"/>
      <c r="V688" s="75"/>
      <c r="W688" s="75"/>
      <c r="X688" s="200"/>
      <c r="Y688" s="1"/>
      <c r="Z688" s="1"/>
      <c r="AA688" s="219"/>
      <c r="AB688" s="302"/>
      <c r="AC688" s="302"/>
      <c r="AD688" s="302"/>
      <c r="AE688" s="302"/>
      <c r="AF688">
        <f t="shared" si="155"/>
        <v>0</v>
      </c>
    </row>
    <row r="689" spans="1:32" hidden="1" x14ac:dyDescent="0.25">
      <c r="A689" s="322" t="s">
        <v>2117</v>
      </c>
      <c r="B689" s="93" t="str">
        <f t="shared" si="162"/>
        <v>NO</v>
      </c>
      <c r="C689" s="93" t="s">
        <v>5503</v>
      </c>
      <c r="D689" s="4">
        <v>39562</v>
      </c>
      <c r="F689" s="2"/>
      <c r="G689" s="6"/>
      <c r="H689" s="7"/>
      <c r="I689" s="7"/>
      <c r="J689" s="184"/>
      <c r="K689" s="266"/>
      <c r="L689" s="387"/>
      <c r="M689" s="387"/>
      <c r="N689" s="32"/>
      <c r="O689" s="272"/>
      <c r="P689" s="281"/>
      <c r="Q689" s="234"/>
      <c r="T689" s="75"/>
      <c r="U689" s="200"/>
      <c r="V689" s="75"/>
      <c r="W689" s="75"/>
      <c r="X689" s="200"/>
      <c r="Y689" s="1"/>
      <c r="Z689" s="1"/>
      <c r="AA689" s="219"/>
      <c r="AB689" s="302"/>
      <c r="AC689" s="302"/>
      <c r="AD689" s="302"/>
      <c r="AE689" s="302"/>
      <c r="AF689">
        <f t="shared" si="155"/>
        <v>0</v>
      </c>
    </row>
    <row r="690" spans="1:32" hidden="1" x14ac:dyDescent="0.25">
      <c r="A690" s="322" t="s">
        <v>2118</v>
      </c>
      <c r="B690" s="93" t="str">
        <f t="shared" si="162"/>
        <v>NO</v>
      </c>
      <c r="C690" s="93" t="s">
        <v>5503</v>
      </c>
      <c r="D690" s="4">
        <v>39562</v>
      </c>
      <c r="F690" s="2"/>
      <c r="G690" s="6"/>
      <c r="H690" s="7"/>
      <c r="I690" s="7"/>
      <c r="J690" s="184"/>
      <c r="K690" s="266"/>
      <c r="L690" s="387"/>
      <c r="M690" s="387"/>
      <c r="N690" s="32"/>
      <c r="O690" s="272"/>
      <c r="P690" s="281"/>
      <c r="Q690" s="234"/>
      <c r="T690" s="75"/>
      <c r="U690" s="200"/>
      <c r="V690" s="75"/>
      <c r="W690" s="75"/>
      <c r="X690" s="200"/>
      <c r="Y690" s="1"/>
      <c r="Z690" s="1"/>
      <c r="AA690" s="219"/>
      <c r="AB690" s="302"/>
      <c r="AC690" s="302"/>
      <c r="AD690" s="302"/>
      <c r="AE690" s="302"/>
      <c r="AF690">
        <f t="shared" si="155"/>
        <v>0</v>
      </c>
    </row>
    <row r="691" spans="1:32" hidden="1" x14ac:dyDescent="0.25">
      <c r="A691" s="322" t="s">
        <v>2120</v>
      </c>
      <c r="B691" s="93" t="str">
        <f t="shared" si="162"/>
        <v>NO</v>
      </c>
      <c r="C691" s="93" t="s">
        <v>5503</v>
      </c>
      <c r="D691" s="4">
        <v>39562</v>
      </c>
      <c r="F691" s="2"/>
      <c r="G691" s="6"/>
      <c r="H691" s="7"/>
      <c r="I691" s="7"/>
      <c r="J691" s="184"/>
      <c r="K691" s="266"/>
      <c r="L691" s="387"/>
      <c r="M691" s="387"/>
      <c r="N691" s="32"/>
      <c r="O691" s="272"/>
      <c r="P691" s="281"/>
      <c r="Q691" s="234"/>
      <c r="T691" s="75"/>
      <c r="U691" s="200"/>
      <c r="V691" s="75"/>
      <c r="W691" s="75"/>
      <c r="X691" s="200"/>
      <c r="Y691" s="1"/>
      <c r="Z691" s="1"/>
      <c r="AA691" s="219"/>
      <c r="AB691" s="302"/>
      <c r="AC691" s="302"/>
      <c r="AD691" s="302"/>
      <c r="AE691" s="302"/>
      <c r="AF691">
        <f t="shared" si="155"/>
        <v>0</v>
      </c>
    </row>
    <row r="692" spans="1:32" hidden="1" x14ac:dyDescent="0.25">
      <c r="A692" s="322" t="s">
        <v>2122</v>
      </c>
      <c r="B692" s="93" t="str">
        <f t="shared" si="162"/>
        <v>NO</v>
      </c>
      <c r="C692" s="93" t="s">
        <v>5503</v>
      </c>
      <c r="D692" s="4">
        <v>39562</v>
      </c>
      <c r="E692" s="2"/>
      <c r="F692" s="2"/>
      <c r="G692" s="6"/>
      <c r="H692" s="7"/>
      <c r="I692" s="7"/>
      <c r="J692" s="186"/>
      <c r="K692" s="266"/>
      <c r="L692" s="386"/>
      <c r="M692" s="386"/>
      <c r="N692" s="32"/>
      <c r="O692" s="32"/>
      <c r="P692" s="278"/>
      <c r="Q692" s="233"/>
      <c r="R692" s="75"/>
      <c r="S692" s="75"/>
      <c r="T692" s="75"/>
      <c r="U692" s="200"/>
      <c r="V692" s="75"/>
      <c r="W692" s="75"/>
      <c r="X692" s="200"/>
      <c r="Y692" s="1"/>
      <c r="Z692" s="1"/>
      <c r="AA692" s="219"/>
      <c r="AB692" s="302"/>
      <c r="AC692" s="302"/>
      <c r="AD692" s="302"/>
      <c r="AE692" s="302"/>
      <c r="AF692">
        <f t="shared" si="155"/>
        <v>0</v>
      </c>
    </row>
    <row r="693" spans="1:32" hidden="1" x14ac:dyDescent="0.25">
      <c r="A693" s="322" t="s">
        <v>2123</v>
      </c>
      <c r="B693" s="93" t="str">
        <f t="shared" si="162"/>
        <v>NO</v>
      </c>
      <c r="C693" s="93" t="s">
        <v>5503</v>
      </c>
      <c r="D693" s="4">
        <v>39562</v>
      </c>
      <c r="E693" s="2"/>
      <c r="F693" s="2"/>
      <c r="G693" s="6"/>
      <c r="H693" s="7"/>
      <c r="I693" s="7"/>
      <c r="J693" s="186"/>
      <c r="K693" s="266"/>
      <c r="L693" s="386"/>
      <c r="M693" s="386"/>
      <c r="N693" s="32"/>
      <c r="O693" s="32"/>
      <c r="P693" s="278"/>
      <c r="Q693" s="233"/>
      <c r="R693" s="75"/>
      <c r="S693" s="75"/>
      <c r="T693" s="75"/>
      <c r="U693" s="200"/>
      <c r="V693" s="75"/>
      <c r="W693" s="75"/>
      <c r="X693" s="200"/>
      <c r="Y693" s="1"/>
      <c r="Z693" s="1"/>
      <c r="AA693" s="219"/>
      <c r="AB693" s="302"/>
      <c r="AC693" s="302"/>
      <c r="AD693" s="302"/>
      <c r="AE693" s="302"/>
      <c r="AF693">
        <f t="shared" si="155"/>
        <v>0</v>
      </c>
    </row>
    <row r="694" spans="1:32" hidden="1" x14ac:dyDescent="0.25">
      <c r="A694" s="322" t="s">
        <v>2124</v>
      </c>
      <c r="B694" s="93" t="str">
        <f t="shared" si="162"/>
        <v>NO</v>
      </c>
      <c r="C694" s="93" t="s">
        <v>5503</v>
      </c>
      <c r="D694" s="4">
        <v>39562</v>
      </c>
      <c r="E694" s="2"/>
      <c r="F694" s="2"/>
      <c r="G694" s="6"/>
      <c r="H694" s="7"/>
      <c r="I694" s="7"/>
      <c r="J694" s="186"/>
      <c r="K694" s="266"/>
      <c r="L694" s="386"/>
      <c r="M694" s="386"/>
      <c r="N694" s="32"/>
      <c r="O694" s="32"/>
      <c r="P694" s="278"/>
      <c r="Q694" s="233"/>
      <c r="R694" s="75"/>
      <c r="S694" s="75"/>
      <c r="T694" s="75"/>
      <c r="U694" s="200"/>
      <c r="V694" s="75"/>
      <c r="W694" s="75"/>
      <c r="X694" s="200"/>
      <c r="Y694" s="1"/>
      <c r="Z694" s="1"/>
      <c r="AA694" s="219"/>
      <c r="AB694" s="302"/>
      <c r="AC694" s="302"/>
      <c r="AD694" s="302"/>
      <c r="AE694" s="302"/>
      <c r="AF694">
        <f t="shared" si="155"/>
        <v>0</v>
      </c>
    </row>
    <row r="695" spans="1:32" hidden="1" x14ac:dyDescent="0.25">
      <c r="A695" s="322" t="s">
        <v>2125</v>
      </c>
      <c r="B695" s="93" t="str">
        <f t="shared" si="162"/>
        <v>NO</v>
      </c>
      <c r="C695" s="93" t="s">
        <v>5503</v>
      </c>
      <c r="D695" s="4">
        <v>39562</v>
      </c>
      <c r="E695" s="2"/>
      <c r="F695" s="2"/>
      <c r="G695" s="6"/>
      <c r="H695" s="7"/>
      <c r="I695" s="7"/>
      <c r="J695" s="186"/>
      <c r="K695" s="266"/>
      <c r="L695" s="386"/>
      <c r="M695" s="386"/>
      <c r="N695" s="32"/>
      <c r="O695" s="32"/>
      <c r="P695" s="278"/>
      <c r="Q695" s="233"/>
      <c r="R695" s="75"/>
      <c r="S695" s="75"/>
      <c r="T695" s="75"/>
      <c r="U695" s="200"/>
      <c r="V695" s="75"/>
      <c r="W695" s="75"/>
      <c r="X695" s="200"/>
      <c r="Y695" s="1"/>
      <c r="Z695" s="1"/>
      <c r="AA695" s="219"/>
      <c r="AB695" s="302"/>
      <c r="AC695" s="302"/>
      <c r="AD695" s="302"/>
      <c r="AE695" s="302"/>
      <c r="AF695">
        <f t="shared" si="155"/>
        <v>0</v>
      </c>
    </row>
    <row r="696" spans="1:32" hidden="1" x14ac:dyDescent="0.25">
      <c r="A696" s="322" t="s">
        <v>2126</v>
      </c>
      <c r="B696" s="93" t="str">
        <f t="shared" si="162"/>
        <v>NO</v>
      </c>
      <c r="C696" s="93" t="s">
        <v>5503</v>
      </c>
      <c r="D696" s="4">
        <v>39562</v>
      </c>
      <c r="E696" s="2"/>
      <c r="F696" s="2"/>
      <c r="G696" s="6"/>
      <c r="H696" s="7"/>
      <c r="I696" s="7"/>
      <c r="J696" s="186"/>
      <c r="K696" s="266"/>
      <c r="L696" s="386"/>
      <c r="M696" s="386"/>
      <c r="N696" s="32"/>
      <c r="O696" s="32"/>
      <c r="P696" s="278"/>
      <c r="Q696" s="233"/>
      <c r="R696" s="75"/>
      <c r="S696" s="75"/>
      <c r="T696" s="75"/>
      <c r="U696" s="200"/>
      <c r="V696" s="75"/>
      <c r="W696" s="75"/>
      <c r="X696" s="200"/>
      <c r="Y696" s="1"/>
      <c r="Z696" s="1"/>
      <c r="AA696" s="219"/>
      <c r="AB696" s="302"/>
      <c r="AC696" s="302"/>
      <c r="AD696" s="302"/>
      <c r="AE696" s="302"/>
      <c r="AF696">
        <f t="shared" si="155"/>
        <v>0</v>
      </c>
    </row>
    <row r="697" spans="1:32" hidden="1" x14ac:dyDescent="0.25">
      <c r="A697" s="322" t="s">
        <v>2127</v>
      </c>
      <c r="B697" s="93" t="str">
        <f t="shared" si="162"/>
        <v>NO</v>
      </c>
      <c r="C697" s="93" t="s">
        <v>5503</v>
      </c>
      <c r="D697" s="4">
        <v>39562</v>
      </c>
      <c r="E697" s="2"/>
      <c r="F697" s="2"/>
      <c r="G697" s="6"/>
      <c r="H697" s="7"/>
      <c r="I697" s="7"/>
      <c r="J697" s="186"/>
      <c r="K697" s="266"/>
      <c r="L697" s="386"/>
      <c r="M697" s="386"/>
      <c r="N697" s="32"/>
      <c r="O697" s="32"/>
      <c r="P697" s="278"/>
      <c r="Q697" s="233"/>
      <c r="R697" s="75"/>
      <c r="S697" s="75"/>
      <c r="T697" s="75"/>
      <c r="U697" s="200"/>
      <c r="V697" s="75"/>
      <c r="W697" s="75"/>
      <c r="X697" s="200"/>
      <c r="Y697" s="1"/>
      <c r="Z697" s="1"/>
      <c r="AA697" s="219"/>
      <c r="AB697" s="302"/>
      <c r="AC697" s="302"/>
      <c r="AD697" s="302"/>
      <c r="AE697" s="302"/>
      <c r="AF697">
        <f t="shared" si="155"/>
        <v>0</v>
      </c>
    </row>
    <row r="698" spans="1:32" hidden="1" x14ac:dyDescent="0.25">
      <c r="A698" s="322" t="s">
        <v>2128</v>
      </c>
      <c r="B698" s="93" t="str">
        <f t="shared" si="162"/>
        <v>NO</v>
      </c>
      <c r="C698" s="93" t="s">
        <v>5503</v>
      </c>
      <c r="D698" s="4">
        <v>39562</v>
      </c>
      <c r="E698" s="2"/>
      <c r="F698" s="2"/>
      <c r="G698" s="6"/>
      <c r="H698" s="7"/>
      <c r="I698" s="7"/>
      <c r="J698" s="186"/>
      <c r="K698" s="266"/>
      <c r="L698" s="386"/>
      <c r="M698" s="386"/>
      <c r="N698" s="32"/>
      <c r="O698" s="32"/>
      <c r="P698" s="278"/>
      <c r="Q698" s="233"/>
      <c r="R698" s="75"/>
      <c r="S698" s="75"/>
      <c r="T698" s="75"/>
      <c r="U698" s="200"/>
      <c r="V698" s="75"/>
      <c r="W698" s="75"/>
      <c r="X698" s="200"/>
      <c r="Y698" s="1"/>
      <c r="Z698" s="1"/>
      <c r="AA698" s="219"/>
      <c r="AB698" s="302"/>
      <c r="AC698" s="302"/>
      <c r="AD698" s="302"/>
      <c r="AE698" s="302"/>
      <c r="AF698">
        <f t="shared" si="155"/>
        <v>0</v>
      </c>
    </row>
    <row r="699" spans="1:32" hidden="1" x14ac:dyDescent="0.25">
      <c r="A699" s="322" t="s">
        <v>2129</v>
      </c>
      <c r="B699" s="93" t="str">
        <f t="shared" si="162"/>
        <v>NO</v>
      </c>
      <c r="C699" s="93" t="s">
        <v>5503</v>
      </c>
      <c r="D699" s="4">
        <v>39562</v>
      </c>
      <c r="E699" s="2"/>
      <c r="F699" s="2"/>
      <c r="G699" s="6"/>
      <c r="H699" s="7"/>
      <c r="I699" s="7"/>
      <c r="J699" s="186"/>
      <c r="K699" s="266"/>
      <c r="L699" s="386"/>
      <c r="M699" s="386"/>
      <c r="N699" s="32"/>
      <c r="O699" s="32"/>
      <c r="P699" s="278"/>
      <c r="Q699" s="233"/>
      <c r="R699" s="75"/>
      <c r="S699" s="75"/>
      <c r="T699" s="75"/>
      <c r="U699" s="200"/>
      <c r="V699" s="75"/>
      <c r="W699" s="75"/>
      <c r="X699" s="200"/>
      <c r="Y699" s="1"/>
      <c r="Z699" s="1"/>
      <c r="AA699" s="219"/>
      <c r="AB699" s="302"/>
      <c r="AC699" s="302"/>
      <c r="AD699" s="302"/>
      <c r="AE699" s="302"/>
      <c r="AF699">
        <f t="shared" si="155"/>
        <v>0</v>
      </c>
    </row>
    <row r="700" spans="1:32" hidden="1" x14ac:dyDescent="0.25">
      <c r="A700" s="322" t="s">
        <v>2130</v>
      </c>
      <c r="B700" s="93" t="str">
        <f t="shared" si="162"/>
        <v>NO</v>
      </c>
      <c r="C700" s="93" t="s">
        <v>5503</v>
      </c>
      <c r="D700" s="4">
        <v>39562</v>
      </c>
      <c r="E700" s="2"/>
      <c r="F700" s="2"/>
      <c r="G700" s="6"/>
      <c r="H700" s="7"/>
      <c r="I700" s="7"/>
      <c r="J700" s="186"/>
      <c r="K700" s="266"/>
      <c r="L700" s="386"/>
      <c r="M700" s="386"/>
      <c r="N700" s="32"/>
      <c r="O700" s="32"/>
      <c r="P700" s="278"/>
      <c r="Q700" s="233"/>
      <c r="R700" s="75"/>
      <c r="S700" s="75"/>
      <c r="T700" s="75"/>
      <c r="U700" s="200"/>
      <c r="V700" s="75"/>
      <c r="W700" s="75"/>
      <c r="X700" s="200"/>
      <c r="Y700" s="1"/>
      <c r="Z700" s="1"/>
      <c r="AA700" s="219"/>
      <c r="AB700" s="302"/>
      <c r="AC700" s="302"/>
      <c r="AD700" s="302"/>
      <c r="AE700" s="302"/>
      <c r="AF700">
        <f t="shared" si="155"/>
        <v>0</v>
      </c>
    </row>
    <row r="701" spans="1:32" hidden="1" x14ac:dyDescent="0.25">
      <c r="A701" s="322" t="s">
        <v>2131</v>
      </c>
      <c r="B701" s="93" t="str">
        <f t="shared" si="162"/>
        <v>NO</v>
      </c>
      <c r="C701" s="93" t="s">
        <v>5503</v>
      </c>
      <c r="D701" s="4">
        <v>39562</v>
      </c>
      <c r="E701" s="2"/>
      <c r="F701" s="2"/>
      <c r="G701" s="6"/>
      <c r="H701" s="7"/>
      <c r="I701" s="7"/>
      <c r="J701" s="186"/>
      <c r="K701" s="266"/>
      <c r="L701" s="386"/>
      <c r="M701" s="386"/>
      <c r="N701" s="32"/>
      <c r="O701" s="32"/>
      <c r="P701" s="278"/>
      <c r="Q701" s="233"/>
      <c r="R701" s="75"/>
      <c r="S701" s="75"/>
      <c r="T701" s="75"/>
      <c r="U701" s="200"/>
      <c r="V701" s="75"/>
      <c r="W701" s="75"/>
      <c r="X701" s="200"/>
      <c r="Y701" s="1"/>
      <c r="Z701" s="1"/>
      <c r="AA701" s="219"/>
      <c r="AB701" s="302"/>
      <c r="AC701" s="302"/>
      <c r="AD701" s="302"/>
      <c r="AE701" s="302"/>
      <c r="AF701">
        <f t="shared" si="155"/>
        <v>0</v>
      </c>
    </row>
    <row r="702" spans="1:32" hidden="1" x14ac:dyDescent="0.25">
      <c r="A702" s="322" t="s">
        <v>2132</v>
      </c>
      <c r="B702" s="93" t="str">
        <f t="shared" si="162"/>
        <v>NO</v>
      </c>
      <c r="C702" s="93" t="s">
        <v>5503</v>
      </c>
      <c r="D702" s="4">
        <v>39562</v>
      </c>
      <c r="E702" s="2"/>
      <c r="F702" s="2"/>
      <c r="G702" s="6"/>
      <c r="H702" s="7"/>
      <c r="I702" s="7"/>
      <c r="J702" s="186"/>
      <c r="K702" s="266"/>
      <c r="L702" s="386"/>
      <c r="M702" s="386"/>
      <c r="N702" s="32"/>
      <c r="O702" s="32"/>
      <c r="P702" s="278"/>
      <c r="Q702" s="233"/>
      <c r="R702" s="75"/>
      <c r="S702" s="75"/>
      <c r="T702" s="75"/>
      <c r="U702" s="200"/>
      <c r="V702" s="75"/>
      <c r="W702" s="75"/>
      <c r="X702" s="200"/>
      <c r="Y702" s="1"/>
      <c r="Z702" s="1"/>
      <c r="AA702" s="219"/>
      <c r="AB702" s="302"/>
      <c r="AC702" s="302"/>
      <c r="AD702" s="302"/>
      <c r="AE702" s="302"/>
      <c r="AF702">
        <f t="shared" si="155"/>
        <v>0</v>
      </c>
    </row>
    <row r="703" spans="1:32" hidden="1" x14ac:dyDescent="0.25">
      <c r="A703" s="322" t="s">
        <v>2133</v>
      </c>
      <c r="B703" s="93" t="str">
        <f t="shared" si="162"/>
        <v>NO</v>
      </c>
      <c r="C703" s="93" t="s">
        <v>5503</v>
      </c>
      <c r="D703" s="4">
        <v>39562</v>
      </c>
      <c r="E703" s="2"/>
      <c r="F703" s="2"/>
      <c r="G703" s="6"/>
      <c r="H703" s="7"/>
      <c r="I703" s="7"/>
      <c r="J703" s="186"/>
      <c r="K703" s="266"/>
      <c r="L703" s="386"/>
      <c r="M703" s="386"/>
      <c r="N703" s="32"/>
      <c r="O703" s="32"/>
      <c r="P703" s="278"/>
      <c r="Q703" s="233"/>
      <c r="R703" s="75"/>
      <c r="S703" s="75"/>
      <c r="T703" s="75"/>
      <c r="U703" s="200"/>
      <c r="V703" s="75"/>
      <c r="W703" s="75"/>
      <c r="X703" s="200"/>
      <c r="Y703" s="1"/>
      <c r="Z703" s="1"/>
      <c r="AA703" s="219"/>
      <c r="AB703" s="302"/>
      <c r="AC703" s="302"/>
      <c r="AD703" s="302"/>
      <c r="AE703" s="302"/>
      <c r="AF703">
        <f t="shared" si="155"/>
        <v>0</v>
      </c>
    </row>
    <row r="704" spans="1:32" hidden="1" x14ac:dyDescent="0.25">
      <c r="A704" s="322" t="s">
        <v>2134</v>
      </c>
      <c r="B704" s="93" t="str">
        <f t="shared" si="162"/>
        <v>NO</v>
      </c>
      <c r="C704" s="93" t="s">
        <v>5503</v>
      </c>
      <c r="D704" s="4">
        <v>39562</v>
      </c>
      <c r="E704" s="2"/>
      <c r="F704" s="2"/>
      <c r="G704" s="6"/>
      <c r="H704" s="7"/>
      <c r="I704" s="7"/>
      <c r="J704" s="186"/>
      <c r="K704" s="266"/>
      <c r="L704" s="386"/>
      <c r="M704" s="386"/>
      <c r="N704" s="32"/>
      <c r="O704" s="32"/>
      <c r="P704" s="278"/>
      <c r="Q704" s="233"/>
      <c r="R704" s="75"/>
      <c r="S704" s="75"/>
      <c r="T704" s="75"/>
      <c r="U704" s="200"/>
      <c r="V704" s="75"/>
      <c r="W704" s="75"/>
      <c r="X704" s="200"/>
      <c r="Y704" s="1"/>
      <c r="Z704" s="1"/>
      <c r="AA704" s="219"/>
      <c r="AB704" s="302"/>
      <c r="AC704" s="302"/>
      <c r="AD704" s="302"/>
      <c r="AE704" s="302"/>
      <c r="AF704">
        <f t="shared" si="155"/>
        <v>0</v>
      </c>
    </row>
    <row r="705" spans="1:32" hidden="1" x14ac:dyDescent="0.25">
      <c r="A705" s="322" t="s">
        <v>2135</v>
      </c>
      <c r="B705" s="93" t="str">
        <f t="shared" si="162"/>
        <v>NO</v>
      </c>
      <c r="C705" s="93" t="s">
        <v>5503</v>
      </c>
      <c r="D705" s="4">
        <v>39562</v>
      </c>
      <c r="E705" s="2"/>
      <c r="F705" s="2"/>
      <c r="G705" s="6"/>
      <c r="H705" s="7"/>
      <c r="I705" s="7"/>
      <c r="J705" s="186"/>
      <c r="K705" s="266"/>
      <c r="L705" s="386"/>
      <c r="M705" s="386"/>
      <c r="N705" s="32"/>
      <c r="O705" s="32"/>
      <c r="P705" s="278"/>
      <c r="Q705" s="233"/>
      <c r="R705" s="75"/>
      <c r="S705" s="75"/>
      <c r="T705" s="75"/>
      <c r="U705" s="200"/>
      <c r="V705" s="75"/>
      <c r="W705" s="75"/>
      <c r="X705" s="200"/>
      <c r="Y705" s="1"/>
      <c r="Z705" s="1"/>
      <c r="AA705" s="219"/>
      <c r="AB705" s="302"/>
      <c r="AC705" s="302"/>
      <c r="AD705" s="302"/>
      <c r="AE705" s="302"/>
      <c r="AF705">
        <f t="shared" si="155"/>
        <v>0</v>
      </c>
    </row>
    <row r="706" spans="1:32" hidden="1" x14ac:dyDescent="0.25">
      <c r="A706" s="322" t="s">
        <v>2136</v>
      </c>
      <c r="B706" s="93" t="str">
        <f t="shared" si="162"/>
        <v>NO</v>
      </c>
      <c r="C706" s="93" t="s">
        <v>5503</v>
      </c>
      <c r="D706" s="4">
        <v>39562</v>
      </c>
      <c r="E706" s="2"/>
      <c r="F706" s="2"/>
      <c r="G706" s="6"/>
      <c r="H706" s="7"/>
      <c r="I706" s="7"/>
      <c r="J706" s="186"/>
      <c r="K706" s="266"/>
      <c r="L706" s="386"/>
      <c r="M706" s="386"/>
      <c r="N706" s="32"/>
      <c r="O706" s="32"/>
      <c r="P706" s="278"/>
      <c r="Q706" s="233"/>
      <c r="R706" s="75"/>
      <c r="S706" s="75"/>
      <c r="T706" s="75"/>
      <c r="U706" s="200"/>
      <c r="V706" s="75"/>
      <c r="W706" s="75"/>
      <c r="X706" s="200"/>
      <c r="Y706" s="1"/>
      <c r="Z706" s="1"/>
      <c r="AA706" s="219"/>
      <c r="AB706" s="302"/>
      <c r="AC706" s="302"/>
      <c r="AD706" s="302"/>
      <c r="AE706" s="302"/>
      <c r="AF706">
        <f t="shared" si="155"/>
        <v>0</v>
      </c>
    </row>
    <row r="707" spans="1:32" hidden="1" x14ac:dyDescent="0.25">
      <c r="A707" s="322" t="s">
        <v>2137</v>
      </c>
      <c r="B707" s="93" t="str">
        <f t="shared" si="162"/>
        <v>NO</v>
      </c>
      <c r="C707" s="93" t="s">
        <v>5503</v>
      </c>
      <c r="D707" s="4">
        <v>39562</v>
      </c>
      <c r="E707" s="2"/>
      <c r="F707" s="2"/>
      <c r="G707" s="6"/>
      <c r="H707" s="7"/>
      <c r="I707" s="7"/>
      <c r="J707" s="186"/>
      <c r="K707" s="266"/>
      <c r="L707" s="386"/>
      <c r="M707" s="386"/>
      <c r="N707" s="32"/>
      <c r="O707" s="32"/>
      <c r="P707" s="278"/>
      <c r="Q707" s="233"/>
      <c r="R707" s="75"/>
      <c r="S707" s="75"/>
      <c r="T707" s="75"/>
      <c r="U707" s="200"/>
      <c r="V707" s="75"/>
      <c r="W707" s="75"/>
      <c r="X707" s="200"/>
      <c r="Y707" s="1"/>
      <c r="Z707" s="1"/>
      <c r="AA707" s="219"/>
      <c r="AB707" s="302"/>
      <c r="AC707" s="302"/>
      <c r="AD707" s="302"/>
      <c r="AE707" s="302"/>
      <c r="AF707">
        <f t="shared" si="155"/>
        <v>0</v>
      </c>
    </row>
    <row r="708" spans="1:32" hidden="1" x14ac:dyDescent="0.25">
      <c r="A708" s="322" t="s">
        <v>2138</v>
      </c>
      <c r="B708" s="93" t="str">
        <f t="shared" si="162"/>
        <v>NO</v>
      </c>
      <c r="C708" s="93" t="s">
        <v>5503</v>
      </c>
      <c r="D708" s="4">
        <v>39562</v>
      </c>
      <c r="E708" s="2"/>
      <c r="F708" s="2"/>
      <c r="G708" s="6"/>
      <c r="H708" s="7"/>
      <c r="I708" s="7"/>
      <c r="J708" s="186"/>
      <c r="K708" s="266"/>
      <c r="L708" s="386"/>
      <c r="M708" s="386"/>
      <c r="N708" s="32"/>
      <c r="O708" s="32"/>
      <c r="P708" s="278"/>
      <c r="Q708" s="233"/>
      <c r="R708" s="75"/>
      <c r="S708" s="75"/>
      <c r="T708" s="75"/>
      <c r="U708" s="200"/>
      <c r="V708" s="75"/>
      <c r="W708" s="75"/>
      <c r="X708" s="200"/>
      <c r="Y708" s="1"/>
      <c r="Z708" s="1"/>
      <c r="AA708" s="219"/>
      <c r="AB708" s="302"/>
      <c r="AC708" s="302"/>
      <c r="AD708" s="302"/>
      <c r="AE708" s="302"/>
      <c r="AF708">
        <f t="shared" si="155"/>
        <v>0</v>
      </c>
    </row>
    <row r="709" spans="1:32" hidden="1" x14ac:dyDescent="0.25">
      <c r="A709" s="322" t="s">
        <v>2139</v>
      </c>
      <c r="B709" s="93" t="str">
        <f t="shared" si="162"/>
        <v>NO</v>
      </c>
      <c r="C709" s="93" t="s">
        <v>5503</v>
      </c>
      <c r="D709" s="4">
        <v>39562</v>
      </c>
      <c r="E709" s="2"/>
      <c r="F709" s="2"/>
      <c r="G709" s="6"/>
      <c r="H709" s="7"/>
      <c r="I709" s="7"/>
      <c r="J709" s="186"/>
      <c r="K709" s="266"/>
      <c r="L709" s="386"/>
      <c r="M709" s="386"/>
      <c r="N709" s="32"/>
      <c r="O709" s="32"/>
      <c r="P709" s="278"/>
      <c r="Q709" s="233"/>
      <c r="R709" s="75"/>
      <c r="S709" s="75"/>
      <c r="T709" s="75"/>
      <c r="U709" s="200"/>
      <c r="V709" s="75"/>
      <c r="W709" s="75"/>
      <c r="X709" s="200"/>
      <c r="Y709" s="1"/>
      <c r="Z709" s="1"/>
      <c r="AA709" s="219"/>
      <c r="AB709" s="302"/>
      <c r="AC709" s="302"/>
      <c r="AD709" s="302"/>
      <c r="AE709" s="302"/>
      <c r="AF709">
        <f t="shared" si="155"/>
        <v>0</v>
      </c>
    </row>
    <row r="710" spans="1:32" hidden="1" x14ac:dyDescent="0.25">
      <c r="A710" s="322" t="s">
        <v>2140</v>
      </c>
      <c r="B710" s="93" t="str">
        <f t="shared" si="162"/>
        <v>NO</v>
      </c>
      <c r="C710" s="93" t="s">
        <v>5503</v>
      </c>
      <c r="D710" s="4">
        <v>39562</v>
      </c>
      <c r="E710" s="2"/>
      <c r="F710" s="2"/>
      <c r="G710" s="6"/>
      <c r="H710" s="7"/>
      <c r="I710" s="7"/>
      <c r="J710" s="186"/>
      <c r="K710" s="266"/>
      <c r="L710" s="386"/>
      <c r="M710" s="386"/>
      <c r="N710" s="32"/>
      <c r="O710" s="32"/>
      <c r="P710" s="278"/>
      <c r="Q710" s="233"/>
      <c r="R710" s="75"/>
      <c r="S710" s="75"/>
      <c r="T710" s="75"/>
      <c r="U710" s="200"/>
      <c r="V710" s="75"/>
      <c r="W710" s="75"/>
      <c r="X710" s="200"/>
      <c r="Y710" s="1"/>
      <c r="Z710" s="1"/>
      <c r="AA710" s="219"/>
      <c r="AB710" s="302"/>
      <c r="AC710" s="302"/>
      <c r="AD710" s="302"/>
      <c r="AE710" s="302"/>
      <c r="AF710">
        <f t="shared" si="155"/>
        <v>0</v>
      </c>
    </row>
    <row r="711" spans="1:32" hidden="1" x14ac:dyDescent="0.25">
      <c r="A711" s="322" t="s">
        <v>2141</v>
      </c>
      <c r="B711" s="93" t="str">
        <f t="shared" si="162"/>
        <v>NO</v>
      </c>
      <c r="C711" s="93" t="s">
        <v>5503</v>
      </c>
      <c r="D711" s="4">
        <v>39562</v>
      </c>
      <c r="E711" s="2"/>
      <c r="F711" s="2"/>
      <c r="G711" s="6"/>
      <c r="H711" s="7"/>
      <c r="I711" s="7"/>
      <c r="J711" s="186"/>
      <c r="K711" s="266"/>
      <c r="L711" s="386"/>
      <c r="M711" s="386"/>
      <c r="N711" s="32"/>
      <c r="O711" s="32"/>
      <c r="P711" s="278"/>
      <c r="Q711" s="233"/>
      <c r="R711" s="75"/>
      <c r="S711" s="75"/>
      <c r="T711" s="75"/>
      <c r="U711" s="200"/>
      <c r="V711" s="75"/>
      <c r="W711" s="75"/>
      <c r="X711" s="200"/>
      <c r="Y711" s="1"/>
      <c r="Z711" s="1"/>
      <c r="AA711" s="219"/>
      <c r="AB711" s="302"/>
      <c r="AC711" s="302"/>
      <c r="AD711" s="302"/>
      <c r="AE711" s="302"/>
      <c r="AF711">
        <f t="shared" si="155"/>
        <v>0</v>
      </c>
    </row>
    <row r="712" spans="1:32" hidden="1" x14ac:dyDescent="0.25">
      <c r="A712" s="322" t="s">
        <v>2142</v>
      </c>
      <c r="B712" s="93" t="str">
        <f t="shared" si="162"/>
        <v>NO</v>
      </c>
      <c r="C712" s="93" t="s">
        <v>5503</v>
      </c>
      <c r="D712" s="4">
        <v>39562</v>
      </c>
      <c r="E712" s="2"/>
      <c r="F712" s="2"/>
      <c r="G712" s="6"/>
      <c r="H712" s="7"/>
      <c r="I712" s="7"/>
      <c r="J712" s="186"/>
      <c r="K712" s="266"/>
      <c r="L712" s="386"/>
      <c r="M712" s="386"/>
      <c r="N712" s="32"/>
      <c r="O712" s="32"/>
      <c r="P712" s="278"/>
      <c r="Q712" s="233"/>
      <c r="R712" s="75"/>
      <c r="S712" s="75"/>
      <c r="T712" s="75"/>
      <c r="U712" s="200"/>
      <c r="V712" s="75"/>
      <c r="W712" s="75"/>
      <c r="X712" s="200"/>
      <c r="Y712" s="1"/>
      <c r="Z712" s="1"/>
      <c r="AA712" s="219"/>
      <c r="AB712" s="302"/>
      <c r="AC712" s="302"/>
      <c r="AD712" s="302"/>
      <c r="AE712" s="302"/>
      <c r="AF712">
        <f t="shared" si="155"/>
        <v>0</v>
      </c>
    </row>
    <row r="713" spans="1:32" hidden="1" x14ac:dyDescent="0.25">
      <c r="A713" s="322" t="s">
        <v>2143</v>
      </c>
      <c r="B713" s="93" t="str">
        <f t="shared" si="162"/>
        <v>NO</v>
      </c>
      <c r="C713" s="93" t="s">
        <v>5503</v>
      </c>
      <c r="D713" s="4">
        <v>39562</v>
      </c>
      <c r="E713" s="2"/>
      <c r="F713" s="2"/>
      <c r="G713" s="6"/>
      <c r="H713" s="7"/>
      <c r="I713" s="7"/>
      <c r="J713" s="186"/>
      <c r="K713" s="266"/>
      <c r="L713" s="386"/>
      <c r="M713" s="386"/>
      <c r="N713" s="32"/>
      <c r="O713" s="32"/>
      <c r="P713" s="278"/>
      <c r="Q713" s="233"/>
      <c r="R713" s="75"/>
      <c r="S713" s="75"/>
      <c r="T713" s="75"/>
      <c r="U713" s="200"/>
      <c r="V713" s="75"/>
      <c r="W713" s="75"/>
      <c r="X713" s="200"/>
      <c r="Y713" s="1"/>
      <c r="Z713" s="1"/>
      <c r="AA713" s="219"/>
      <c r="AB713" s="302"/>
      <c r="AC713" s="302"/>
      <c r="AD713" s="302"/>
      <c r="AE713" s="302"/>
      <c r="AF713">
        <f t="shared" si="155"/>
        <v>0</v>
      </c>
    </row>
    <row r="714" spans="1:32" hidden="1" x14ac:dyDescent="0.25">
      <c r="A714" s="322" t="s">
        <v>2144</v>
      </c>
      <c r="B714" s="93" t="str">
        <f t="shared" si="162"/>
        <v>NO</v>
      </c>
      <c r="C714" s="93" t="s">
        <v>5503</v>
      </c>
      <c r="D714" s="4">
        <v>39562</v>
      </c>
      <c r="E714" s="80"/>
      <c r="F714" s="2"/>
      <c r="G714" s="3"/>
      <c r="H714" s="7"/>
      <c r="I714" s="7"/>
      <c r="J714" s="186"/>
      <c r="K714" s="266"/>
      <c r="L714" s="386"/>
      <c r="M714" s="386"/>
      <c r="N714" s="32"/>
      <c r="O714" s="32"/>
      <c r="P714" s="278"/>
      <c r="Q714" s="233"/>
      <c r="R714" s="75"/>
      <c r="S714" s="75"/>
      <c r="T714" s="75"/>
      <c r="U714" s="200"/>
      <c r="V714" s="75"/>
      <c r="W714" s="75"/>
      <c r="X714" s="200"/>
      <c r="Y714" s="1"/>
      <c r="Z714" s="1"/>
      <c r="AA714" s="219"/>
      <c r="AB714" s="302"/>
      <c r="AC714" s="302"/>
      <c r="AD714" s="302"/>
      <c r="AE714" s="302"/>
      <c r="AF714">
        <f t="shared" si="155"/>
        <v>0</v>
      </c>
    </row>
    <row r="715" spans="1:32" hidden="1" x14ac:dyDescent="0.25">
      <c r="A715" s="323"/>
      <c r="D715" s="4"/>
      <c r="E715" s="2"/>
      <c r="F715" s="2"/>
      <c r="G715" s="6"/>
      <c r="H715" s="7"/>
      <c r="I715" s="7"/>
      <c r="J715" s="186"/>
      <c r="K715" s="186"/>
      <c r="L715" s="386"/>
      <c r="M715" s="386"/>
      <c r="N715" s="32"/>
      <c r="O715" s="32"/>
      <c r="P715" s="278"/>
      <c r="Q715" s="233"/>
      <c r="R715" s="75"/>
      <c r="S715" s="75"/>
      <c r="T715" s="75"/>
      <c r="U715" s="200"/>
      <c r="V715" s="75"/>
      <c r="W715" s="75"/>
      <c r="X715" s="200"/>
      <c r="Y715" s="1"/>
      <c r="Z715" s="1"/>
      <c r="AA715" s="219"/>
      <c r="AB715" s="302"/>
      <c r="AC715" s="302"/>
      <c r="AD715" s="302"/>
      <c r="AE715" s="302"/>
      <c r="AF715">
        <f t="shared" ref="AF715:AF778" si="163">COUNTIF(FilterList,A715)</f>
        <v>0</v>
      </c>
    </row>
    <row r="716" spans="1:32" ht="39" hidden="1" x14ac:dyDescent="0.25">
      <c r="A716" s="322" t="s">
        <v>2145</v>
      </c>
      <c r="B716" s="93" t="str">
        <f t="shared" ref="B716:B729" si="164">IF(COUNTIF(GIS,A718),"YES","NO")</f>
        <v>YES</v>
      </c>
      <c r="C716" s="93" t="s">
        <v>5503</v>
      </c>
      <c r="D716" s="4">
        <v>39618</v>
      </c>
      <c r="E716" s="2">
        <v>39692</v>
      </c>
      <c r="F716" s="2">
        <f t="shared" ref="F716:F732" si="165">DATE(YEAR(E716)+10,MONTH(E716),DAY(E716))</f>
        <v>43344</v>
      </c>
      <c r="G716" s="6">
        <v>550.48</v>
      </c>
      <c r="H716" s="7" t="s">
        <v>2146</v>
      </c>
      <c r="I716" s="7" t="s">
        <v>308</v>
      </c>
      <c r="J716" s="109" t="s">
        <v>1613</v>
      </c>
      <c r="K716" s="266">
        <f t="shared" ref="K716:K747" si="166">YEAR(F716)</f>
        <v>2018</v>
      </c>
      <c r="L716" s="385"/>
      <c r="M716" s="385"/>
      <c r="N716" s="32" t="s">
        <v>2147</v>
      </c>
      <c r="O716" s="32" t="s">
        <v>2148</v>
      </c>
      <c r="P716" s="278" t="s">
        <v>2149</v>
      </c>
      <c r="Q716" s="233"/>
      <c r="R716" s="75">
        <v>2068.5</v>
      </c>
      <c r="S716" s="75">
        <v>2204</v>
      </c>
      <c r="T716" s="75">
        <v>4272.5</v>
      </c>
      <c r="U716" s="200">
        <v>826.5</v>
      </c>
      <c r="V716" s="287">
        <f t="shared" ref="V716:V747" ca="1" si="167">IF(YEAR($W$3)-YEAR(E716)&gt;9,10,IF(MONTH($W$3)&lt;MONTH(E716),YEAR($W$3)-YEAR(E716),YEAR($W$3)-YEAR(E716)+1))</f>
        <v>10</v>
      </c>
      <c r="W716" s="75">
        <f t="shared" ref="W716:W747" ca="1" si="168">IF(V716&lt;6, ROUNDUP(G716,0)*$W$6*V716, ROUNDUP(G716,0)*($W$6*5 + (V716-5)*$W$7))</f>
        <v>9642.5</v>
      </c>
      <c r="X716" s="200">
        <f t="shared" ref="X716:X779" ca="1" si="169">IF(V716=0,T716,((T716-ROUNDUP(G716,0)*1.5)+W716))</f>
        <v>13088.5</v>
      </c>
      <c r="Y716" s="1">
        <v>0</v>
      </c>
      <c r="Z716" s="1"/>
      <c r="AA716" s="219"/>
      <c r="AB716" s="302" t="s">
        <v>6334</v>
      </c>
      <c r="AC716" s="302"/>
      <c r="AD716" s="302"/>
      <c r="AE716" s="302"/>
      <c r="AF716">
        <f t="shared" si="163"/>
        <v>0</v>
      </c>
    </row>
    <row r="717" spans="1:32" ht="39" hidden="1" x14ac:dyDescent="0.25">
      <c r="A717" s="322" t="s">
        <v>2150</v>
      </c>
      <c r="B717" s="93" t="str">
        <f t="shared" si="164"/>
        <v>YES</v>
      </c>
      <c r="C717" s="93" t="s">
        <v>5503</v>
      </c>
      <c r="D717" s="4">
        <v>39618</v>
      </c>
      <c r="E717" s="2">
        <v>39692</v>
      </c>
      <c r="F717" s="2">
        <f t="shared" si="165"/>
        <v>43344</v>
      </c>
      <c r="G717" s="6">
        <v>401.13</v>
      </c>
      <c r="H717" s="7" t="s">
        <v>2151</v>
      </c>
      <c r="I717" s="7" t="s">
        <v>72</v>
      </c>
      <c r="J717" s="189"/>
      <c r="K717" s="266">
        <f t="shared" si="166"/>
        <v>2018</v>
      </c>
      <c r="L717" s="389"/>
      <c r="M717" s="389"/>
      <c r="N717" s="32" t="s">
        <v>2152</v>
      </c>
      <c r="O717" s="32" t="s">
        <v>2153</v>
      </c>
      <c r="P717" s="278" t="s">
        <v>2154</v>
      </c>
      <c r="Q717" s="233"/>
      <c r="R717" s="75">
        <v>1547</v>
      </c>
      <c r="S717" s="75"/>
      <c r="T717" s="75">
        <v>1547</v>
      </c>
      <c r="U717" s="200">
        <v>603</v>
      </c>
      <c r="V717" s="287">
        <f t="shared" ca="1" si="167"/>
        <v>10</v>
      </c>
      <c r="W717" s="75">
        <f t="shared" ca="1" si="168"/>
        <v>7035</v>
      </c>
      <c r="X717" s="200">
        <f t="shared" ca="1" si="169"/>
        <v>7979</v>
      </c>
      <c r="Y717" s="1">
        <v>0</v>
      </c>
      <c r="Z717" s="1"/>
      <c r="AA717" s="219"/>
      <c r="AB717" s="302"/>
      <c r="AC717" s="302"/>
      <c r="AD717" s="302"/>
      <c r="AE717" s="302"/>
      <c r="AF717">
        <f t="shared" si="163"/>
        <v>0</v>
      </c>
    </row>
    <row r="718" spans="1:32" ht="51.75" hidden="1" x14ac:dyDescent="0.25">
      <c r="A718" s="322" t="s">
        <v>2155</v>
      </c>
      <c r="B718" s="93" t="str">
        <f t="shared" si="164"/>
        <v>YES</v>
      </c>
      <c r="C718" s="93" t="s">
        <v>5503</v>
      </c>
      <c r="D718" s="4">
        <v>39618</v>
      </c>
      <c r="E718" s="2">
        <v>39692</v>
      </c>
      <c r="F718" s="2">
        <f t="shared" si="165"/>
        <v>43344</v>
      </c>
      <c r="G718" s="27">
        <v>590.54</v>
      </c>
      <c r="H718" s="7" t="s">
        <v>2151</v>
      </c>
      <c r="I718" s="7" t="s">
        <v>72</v>
      </c>
      <c r="J718" s="189"/>
      <c r="K718" s="266">
        <f t="shared" si="166"/>
        <v>2018</v>
      </c>
      <c r="L718" s="389"/>
      <c r="M718" s="389"/>
      <c r="N718" s="32" t="s">
        <v>2152</v>
      </c>
      <c r="O718" s="32" t="s">
        <v>2153</v>
      </c>
      <c r="P718" s="278" t="s">
        <v>2156</v>
      </c>
      <c r="Q718" s="233"/>
      <c r="R718" s="75">
        <v>2208.5</v>
      </c>
      <c r="S718" s="75"/>
      <c r="T718" s="75">
        <v>2208.5</v>
      </c>
      <c r="U718" s="200">
        <v>886.5</v>
      </c>
      <c r="V718" s="287">
        <f t="shared" ca="1" si="167"/>
        <v>10</v>
      </c>
      <c r="W718" s="75">
        <f t="shared" ca="1" si="168"/>
        <v>10342.5</v>
      </c>
      <c r="X718" s="200">
        <f t="shared" ca="1" si="169"/>
        <v>11664.5</v>
      </c>
      <c r="Y718" s="1">
        <v>0</v>
      </c>
      <c r="Z718" s="1"/>
      <c r="AA718" s="219"/>
      <c r="AB718" s="302"/>
      <c r="AC718" s="302"/>
      <c r="AD718" s="302"/>
      <c r="AE718" s="302"/>
      <c r="AF718">
        <f t="shared" si="163"/>
        <v>0</v>
      </c>
    </row>
    <row r="719" spans="1:32" ht="39" hidden="1" x14ac:dyDescent="0.25">
      <c r="A719" s="322" t="s">
        <v>2157</v>
      </c>
      <c r="B719" s="93" t="str">
        <f t="shared" si="164"/>
        <v>YES</v>
      </c>
      <c r="C719" s="93" t="s">
        <v>5503</v>
      </c>
      <c r="D719" s="4">
        <v>39618</v>
      </c>
      <c r="E719" s="2">
        <v>39692</v>
      </c>
      <c r="F719" s="2">
        <f t="shared" si="165"/>
        <v>43344</v>
      </c>
      <c r="G719" s="6">
        <v>560</v>
      </c>
      <c r="H719" s="7" t="s">
        <v>2151</v>
      </c>
      <c r="I719" s="7" t="s">
        <v>72</v>
      </c>
      <c r="J719" s="189"/>
      <c r="K719" s="266">
        <f t="shared" si="166"/>
        <v>2018</v>
      </c>
      <c r="L719" s="389"/>
      <c r="M719" s="389"/>
      <c r="N719" s="32" t="s">
        <v>2152</v>
      </c>
      <c r="O719" s="32" t="s">
        <v>2153</v>
      </c>
      <c r="P719" s="278" t="s">
        <v>2158</v>
      </c>
      <c r="Q719" s="233"/>
      <c r="R719" s="75">
        <v>2100</v>
      </c>
      <c r="S719" s="75"/>
      <c r="T719" s="75">
        <v>2100</v>
      </c>
      <c r="U719" s="200">
        <v>840</v>
      </c>
      <c r="V719" s="287">
        <f t="shared" ca="1" si="167"/>
        <v>10</v>
      </c>
      <c r="W719" s="75">
        <f t="shared" ca="1" si="168"/>
        <v>9800</v>
      </c>
      <c r="X719" s="200">
        <f t="shared" ca="1" si="169"/>
        <v>11060</v>
      </c>
      <c r="Y719" s="1">
        <v>0</v>
      </c>
      <c r="Z719" s="1"/>
      <c r="AA719" s="219"/>
      <c r="AB719" s="302"/>
      <c r="AC719" s="302"/>
      <c r="AD719" s="302"/>
      <c r="AE719" s="302"/>
      <c r="AF719">
        <f t="shared" si="163"/>
        <v>0</v>
      </c>
    </row>
    <row r="720" spans="1:32" ht="39" hidden="1" x14ac:dyDescent="0.25">
      <c r="A720" s="322" t="s">
        <v>2159</v>
      </c>
      <c r="B720" s="93" t="str">
        <f t="shared" si="164"/>
        <v>YES</v>
      </c>
      <c r="C720" s="93" t="s">
        <v>5503</v>
      </c>
      <c r="D720" s="4">
        <v>39618</v>
      </c>
      <c r="E720" s="2">
        <v>39692</v>
      </c>
      <c r="F720" s="2">
        <f t="shared" si="165"/>
        <v>43344</v>
      </c>
      <c r="G720" s="6">
        <v>520</v>
      </c>
      <c r="H720" s="7" t="s">
        <v>2151</v>
      </c>
      <c r="I720" s="7" t="s">
        <v>72</v>
      </c>
      <c r="J720" s="189"/>
      <c r="K720" s="266">
        <f t="shared" si="166"/>
        <v>2018</v>
      </c>
      <c r="L720" s="389"/>
      <c r="M720" s="389"/>
      <c r="N720" s="32" t="s">
        <v>2152</v>
      </c>
      <c r="O720" s="32" t="s">
        <v>2153</v>
      </c>
      <c r="P720" s="278" t="s">
        <v>2160</v>
      </c>
      <c r="Q720" s="233"/>
      <c r="R720" s="75">
        <v>1960</v>
      </c>
      <c r="S720" s="75"/>
      <c r="T720" s="75">
        <v>1960</v>
      </c>
      <c r="U720" s="200">
        <v>780</v>
      </c>
      <c r="V720" s="287">
        <f t="shared" ca="1" si="167"/>
        <v>10</v>
      </c>
      <c r="W720" s="75">
        <f t="shared" ca="1" si="168"/>
        <v>9100</v>
      </c>
      <c r="X720" s="200">
        <f t="shared" ca="1" si="169"/>
        <v>10280</v>
      </c>
      <c r="Y720" s="1">
        <v>0</v>
      </c>
      <c r="Z720" s="1"/>
      <c r="AA720" s="219"/>
      <c r="AB720" s="302"/>
      <c r="AC720" s="302"/>
      <c r="AD720" s="302"/>
      <c r="AE720" s="302"/>
      <c r="AF720">
        <f t="shared" si="163"/>
        <v>0</v>
      </c>
    </row>
    <row r="721" spans="1:32" ht="39" hidden="1" x14ac:dyDescent="0.25">
      <c r="A721" s="322" t="s">
        <v>2161</v>
      </c>
      <c r="B721" s="93" t="str">
        <f t="shared" si="164"/>
        <v>YES</v>
      </c>
      <c r="C721" s="93" t="s">
        <v>5503</v>
      </c>
      <c r="D721" s="4">
        <v>39618</v>
      </c>
      <c r="E721" s="2">
        <v>39692</v>
      </c>
      <c r="F721" s="2">
        <f t="shared" si="165"/>
        <v>43344</v>
      </c>
      <c r="G721" s="6">
        <v>524</v>
      </c>
      <c r="H721" s="7" t="s">
        <v>2151</v>
      </c>
      <c r="I721" s="7" t="s">
        <v>72</v>
      </c>
      <c r="J721" s="189"/>
      <c r="K721" s="266">
        <f t="shared" si="166"/>
        <v>2018</v>
      </c>
      <c r="L721" s="389"/>
      <c r="M721" s="389"/>
      <c r="N721" s="32" t="s">
        <v>2152</v>
      </c>
      <c r="O721" s="32" t="s">
        <v>2153</v>
      </c>
      <c r="P721" s="278" t="s">
        <v>2162</v>
      </c>
      <c r="Q721" s="233"/>
      <c r="R721" s="75">
        <v>1974</v>
      </c>
      <c r="S721" s="75"/>
      <c r="T721" s="75">
        <v>1974</v>
      </c>
      <c r="U721" s="200">
        <v>786</v>
      </c>
      <c r="V721" s="287">
        <f t="shared" ca="1" si="167"/>
        <v>10</v>
      </c>
      <c r="W721" s="75">
        <f t="shared" ca="1" si="168"/>
        <v>9170</v>
      </c>
      <c r="X721" s="200">
        <f t="shared" ca="1" si="169"/>
        <v>10358</v>
      </c>
      <c r="Y721" s="1">
        <v>0</v>
      </c>
      <c r="Z721" s="1"/>
      <c r="AA721" s="219"/>
      <c r="AB721" s="302"/>
      <c r="AC721" s="302"/>
      <c r="AD721" s="302"/>
      <c r="AE721" s="302"/>
      <c r="AF721">
        <f t="shared" si="163"/>
        <v>0</v>
      </c>
    </row>
    <row r="722" spans="1:32" ht="26.25" hidden="1" x14ac:dyDescent="0.25">
      <c r="A722" s="322" t="s">
        <v>2163</v>
      </c>
      <c r="B722" s="93" t="str">
        <f t="shared" si="164"/>
        <v>YES</v>
      </c>
      <c r="C722" s="93" t="s">
        <v>5503</v>
      </c>
      <c r="D722" s="4">
        <v>39618</v>
      </c>
      <c r="E722" s="2">
        <v>39692</v>
      </c>
      <c r="F722" s="2">
        <f t="shared" si="165"/>
        <v>43344</v>
      </c>
      <c r="G722" s="6">
        <v>640</v>
      </c>
      <c r="H722" s="7" t="s">
        <v>2151</v>
      </c>
      <c r="I722" s="7" t="s">
        <v>72</v>
      </c>
      <c r="J722" s="189"/>
      <c r="K722" s="266">
        <f t="shared" si="166"/>
        <v>2018</v>
      </c>
      <c r="L722" s="389"/>
      <c r="M722" s="389"/>
      <c r="N722" s="32" t="s">
        <v>2152</v>
      </c>
      <c r="O722" s="32" t="s">
        <v>2153</v>
      </c>
      <c r="P722" s="278" t="s">
        <v>2164</v>
      </c>
      <c r="Q722" s="233"/>
      <c r="R722" s="75">
        <v>2380</v>
      </c>
      <c r="S722" s="75"/>
      <c r="T722" s="75">
        <v>2380</v>
      </c>
      <c r="U722" s="200">
        <v>960</v>
      </c>
      <c r="V722" s="287">
        <f t="shared" ca="1" si="167"/>
        <v>10</v>
      </c>
      <c r="W722" s="75">
        <f t="shared" ca="1" si="168"/>
        <v>11200</v>
      </c>
      <c r="X722" s="200">
        <f t="shared" ca="1" si="169"/>
        <v>12620</v>
      </c>
      <c r="Y722" s="1">
        <v>0</v>
      </c>
      <c r="Z722" s="1"/>
      <c r="AA722" s="219"/>
      <c r="AB722" s="302"/>
      <c r="AC722" s="302"/>
      <c r="AD722" s="302"/>
      <c r="AE722" s="302"/>
      <c r="AF722">
        <f t="shared" si="163"/>
        <v>0</v>
      </c>
    </row>
    <row r="723" spans="1:32" ht="39" hidden="1" x14ac:dyDescent="0.25">
      <c r="A723" s="322" t="s">
        <v>2165</v>
      </c>
      <c r="B723" s="93" t="str">
        <f t="shared" si="164"/>
        <v>YES</v>
      </c>
      <c r="C723" s="93" t="s">
        <v>5503</v>
      </c>
      <c r="D723" s="4">
        <v>39618</v>
      </c>
      <c r="E723" s="2">
        <v>39692</v>
      </c>
      <c r="F723" s="2">
        <f t="shared" si="165"/>
        <v>43344</v>
      </c>
      <c r="G723" s="6">
        <v>520</v>
      </c>
      <c r="H723" s="7" t="s">
        <v>2151</v>
      </c>
      <c r="I723" s="7" t="s">
        <v>72</v>
      </c>
      <c r="J723" s="189"/>
      <c r="K723" s="266">
        <f t="shared" si="166"/>
        <v>2018</v>
      </c>
      <c r="L723" s="389"/>
      <c r="M723" s="389"/>
      <c r="N723" s="32" t="s">
        <v>2152</v>
      </c>
      <c r="O723" s="32" t="s">
        <v>2153</v>
      </c>
      <c r="P723" s="278" t="s">
        <v>2166</v>
      </c>
      <c r="Q723" s="233"/>
      <c r="R723" s="75">
        <v>1960</v>
      </c>
      <c r="S723" s="75"/>
      <c r="T723" s="75">
        <v>1960</v>
      </c>
      <c r="U723" s="200">
        <v>780</v>
      </c>
      <c r="V723" s="287">
        <f t="shared" ca="1" si="167"/>
        <v>10</v>
      </c>
      <c r="W723" s="75">
        <f t="shared" ca="1" si="168"/>
        <v>9100</v>
      </c>
      <c r="X723" s="200">
        <f t="shared" ca="1" si="169"/>
        <v>10280</v>
      </c>
      <c r="Y723" s="1">
        <v>0</v>
      </c>
      <c r="Z723" s="1"/>
      <c r="AA723" s="219"/>
      <c r="AB723" s="302"/>
      <c r="AC723" s="302"/>
      <c r="AD723" s="302"/>
      <c r="AE723" s="302"/>
      <c r="AF723">
        <f t="shared" si="163"/>
        <v>0</v>
      </c>
    </row>
    <row r="724" spans="1:32" ht="39" hidden="1" x14ac:dyDescent="0.25">
      <c r="A724" s="322" t="s">
        <v>2167</v>
      </c>
      <c r="B724" s="93" t="str">
        <f t="shared" si="164"/>
        <v>YES</v>
      </c>
      <c r="C724" s="93" t="s">
        <v>5503</v>
      </c>
      <c r="D724" s="4">
        <v>39618</v>
      </c>
      <c r="E724" s="2">
        <v>39692</v>
      </c>
      <c r="F724" s="2">
        <f t="shared" si="165"/>
        <v>43344</v>
      </c>
      <c r="G724" s="6">
        <v>400</v>
      </c>
      <c r="H724" s="7" t="s">
        <v>2151</v>
      </c>
      <c r="I724" s="7" t="s">
        <v>72</v>
      </c>
      <c r="J724" s="189"/>
      <c r="K724" s="266">
        <f t="shared" si="166"/>
        <v>2018</v>
      </c>
      <c r="L724" s="389"/>
      <c r="M724" s="389"/>
      <c r="N724" s="32" t="s">
        <v>2152</v>
      </c>
      <c r="O724" s="32" t="s">
        <v>2153</v>
      </c>
      <c r="P724" s="278" t="s">
        <v>2168</v>
      </c>
      <c r="Q724" s="233"/>
      <c r="R724" s="75">
        <v>1540</v>
      </c>
      <c r="S724" s="75"/>
      <c r="T724" s="75">
        <v>1540</v>
      </c>
      <c r="U724" s="200">
        <v>600</v>
      </c>
      <c r="V724" s="287">
        <f t="shared" ca="1" si="167"/>
        <v>10</v>
      </c>
      <c r="W724" s="75">
        <f t="shared" ca="1" si="168"/>
        <v>7000</v>
      </c>
      <c r="X724" s="200">
        <f t="shared" ca="1" si="169"/>
        <v>7940</v>
      </c>
      <c r="Y724" s="1">
        <v>0</v>
      </c>
      <c r="Z724" s="1"/>
      <c r="AA724" s="219"/>
      <c r="AB724" s="302"/>
      <c r="AC724" s="302"/>
      <c r="AD724" s="302"/>
      <c r="AE724" s="302"/>
      <c r="AF724">
        <f t="shared" si="163"/>
        <v>0</v>
      </c>
    </row>
    <row r="725" spans="1:32" ht="39" hidden="1" x14ac:dyDescent="0.25">
      <c r="A725" s="322" t="s">
        <v>2169</v>
      </c>
      <c r="B725" s="93" t="str">
        <f t="shared" si="164"/>
        <v>YES</v>
      </c>
      <c r="C725" s="93" t="s">
        <v>5503</v>
      </c>
      <c r="D725" s="4">
        <v>39618</v>
      </c>
      <c r="E725" s="2">
        <v>39692</v>
      </c>
      <c r="F725" s="2">
        <f t="shared" si="165"/>
        <v>43344</v>
      </c>
      <c r="G725" s="6">
        <v>387.79</v>
      </c>
      <c r="H725" s="7" t="s">
        <v>2151</v>
      </c>
      <c r="I725" s="7" t="s">
        <v>72</v>
      </c>
      <c r="J725" s="189"/>
      <c r="K725" s="266">
        <f t="shared" si="166"/>
        <v>2018</v>
      </c>
      <c r="L725" s="389"/>
      <c r="M725" s="389"/>
      <c r="N725" s="32" t="s">
        <v>2152</v>
      </c>
      <c r="O725" s="32" t="s">
        <v>2153</v>
      </c>
      <c r="P725" s="278" t="s">
        <v>2170</v>
      </c>
      <c r="Q725" s="233"/>
      <c r="R725" s="75">
        <v>1498</v>
      </c>
      <c r="S725" s="75"/>
      <c r="T725" s="75">
        <v>1498</v>
      </c>
      <c r="U725" s="200">
        <v>582</v>
      </c>
      <c r="V725" s="287">
        <f t="shared" ca="1" si="167"/>
        <v>10</v>
      </c>
      <c r="W725" s="75">
        <f t="shared" ca="1" si="168"/>
        <v>6790</v>
      </c>
      <c r="X725" s="200">
        <f t="shared" ca="1" si="169"/>
        <v>7706</v>
      </c>
      <c r="Y725" s="1">
        <v>0</v>
      </c>
      <c r="Z725" s="1"/>
      <c r="AA725" s="219"/>
      <c r="AB725" s="302"/>
      <c r="AC725" s="302"/>
      <c r="AD725" s="302"/>
      <c r="AE725" s="302"/>
      <c r="AF725">
        <f t="shared" si="163"/>
        <v>0</v>
      </c>
    </row>
    <row r="726" spans="1:32" ht="39" hidden="1" x14ac:dyDescent="0.25">
      <c r="A726" s="322" t="s">
        <v>2171</v>
      </c>
      <c r="B726" s="93" t="str">
        <f t="shared" si="164"/>
        <v>YES</v>
      </c>
      <c r="C726" s="93" t="s">
        <v>5503</v>
      </c>
      <c r="D726" s="4">
        <v>39618</v>
      </c>
      <c r="E726" s="2">
        <v>39692</v>
      </c>
      <c r="F726" s="2">
        <f t="shared" si="165"/>
        <v>43344</v>
      </c>
      <c r="G726" s="6">
        <v>442.03</v>
      </c>
      <c r="H726" s="7" t="s">
        <v>2151</v>
      </c>
      <c r="I726" s="7" t="s">
        <v>72</v>
      </c>
      <c r="J726" s="189"/>
      <c r="K726" s="266">
        <f t="shared" si="166"/>
        <v>2018</v>
      </c>
      <c r="L726" s="389"/>
      <c r="M726" s="389"/>
      <c r="N726" s="32" t="s">
        <v>2152</v>
      </c>
      <c r="O726" s="32" t="s">
        <v>2153</v>
      </c>
      <c r="P726" s="278" t="s">
        <v>2172</v>
      </c>
      <c r="Q726" s="233"/>
      <c r="R726" s="75">
        <v>1690.5</v>
      </c>
      <c r="S726" s="75"/>
      <c r="T726" s="75">
        <v>1690.5</v>
      </c>
      <c r="U726" s="200">
        <v>664.5</v>
      </c>
      <c r="V726" s="287">
        <f t="shared" ca="1" si="167"/>
        <v>10</v>
      </c>
      <c r="W726" s="75">
        <f t="shared" ca="1" si="168"/>
        <v>7752.5</v>
      </c>
      <c r="X726" s="200">
        <f t="shared" ca="1" si="169"/>
        <v>8778.5</v>
      </c>
      <c r="Y726" s="1">
        <v>0</v>
      </c>
      <c r="Z726" s="1"/>
      <c r="AA726" s="219"/>
      <c r="AB726" s="302"/>
      <c r="AC726" s="302"/>
      <c r="AD726" s="302"/>
      <c r="AE726" s="302"/>
      <c r="AF726">
        <f t="shared" si="163"/>
        <v>0</v>
      </c>
    </row>
    <row r="727" spans="1:32" ht="39" hidden="1" x14ac:dyDescent="0.25">
      <c r="A727" s="322" t="s">
        <v>2173</v>
      </c>
      <c r="B727" s="93" t="str">
        <f t="shared" si="164"/>
        <v>YES</v>
      </c>
      <c r="C727" s="93" t="s">
        <v>5503</v>
      </c>
      <c r="D727" s="4">
        <v>39618</v>
      </c>
      <c r="E727" s="2">
        <v>39692</v>
      </c>
      <c r="F727" s="2">
        <f t="shared" si="165"/>
        <v>43344</v>
      </c>
      <c r="G727" s="6">
        <v>10</v>
      </c>
      <c r="H727" s="7" t="s">
        <v>2151</v>
      </c>
      <c r="I727" s="7" t="s">
        <v>72</v>
      </c>
      <c r="J727" s="189"/>
      <c r="K727" s="266">
        <f t="shared" si="166"/>
        <v>2018</v>
      </c>
      <c r="L727" s="389"/>
      <c r="M727" s="389"/>
      <c r="N727" s="32" t="s">
        <v>2152</v>
      </c>
      <c r="O727" s="32" t="s">
        <v>2153</v>
      </c>
      <c r="P727" s="278" t="s">
        <v>2174</v>
      </c>
      <c r="Q727" s="233"/>
      <c r="R727" s="75">
        <v>175</v>
      </c>
      <c r="S727" s="75"/>
      <c r="T727" s="75">
        <v>175</v>
      </c>
      <c r="U727" s="200">
        <v>15</v>
      </c>
      <c r="V727" s="287">
        <f t="shared" ca="1" si="167"/>
        <v>10</v>
      </c>
      <c r="W727" s="75">
        <f t="shared" ca="1" si="168"/>
        <v>175</v>
      </c>
      <c r="X727" s="200">
        <f t="shared" ca="1" si="169"/>
        <v>335</v>
      </c>
      <c r="Y727" s="1">
        <v>0</v>
      </c>
      <c r="Z727" s="1"/>
      <c r="AA727" s="219"/>
      <c r="AB727" s="302"/>
      <c r="AC727" s="302"/>
      <c r="AD727" s="302"/>
      <c r="AE727" s="302"/>
      <c r="AF727">
        <f t="shared" si="163"/>
        <v>0</v>
      </c>
    </row>
    <row r="728" spans="1:32" ht="39" hidden="1" x14ac:dyDescent="0.25">
      <c r="A728" s="322" t="s">
        <v>2175</v>
      </c>
      <c r="B728" s="93" t="str">
        <f t="shared" si="164"/>
        <v>YES</v>
      </c>
      <c r="C728" s="93" t="s">
        <v>5503</v>
      </c>
      <c r="D728" s="4">
        <v>39618</v>
      </c>
      <c r="E728" s="2">
        <v>39692</v>
      </c>
      <c r="F728" s="2">
        <f t="shared" si="165"/>
        <v>43344</v>
      </c>
      <c r="G728" s="6">
        <v>489</v>
      </c>
      <c r="H728" s="7" t="s">
        <v>2151</v>
      </c>
      <c r="I728" s="7" t="s">
        <v>72</v>
      </c>
      <c r="J728" s="189"/>
      <c r="K728" s="266">
        <f t="shared" si="166"/>
        <v>2018</v>
      </c>
      <c r="L728" s="389"/>
      <c r="M728" s="389"/>
      <c r="N728" s="32" t="s">
        <v>2152</v>
      </c>
      <c r="O728" s="32" t="s">
        <v>2153</v>
      </c>
      <c r="P728" s="278" t="s">
        <v>2176</v>
      </c>
      <c r="Q728" s="233"/>
      <c r="R728" s="75">
        <v>1851.5</v>
      </c>
      <c r="S728" s="75"/>
      <c r="T728" s="75">
        <v>1851.5</v>
      </c>
      <c r="U728" s="200">
        <v>733.5</v>
      </c>
      <c r="V728" s="287">
        <f t="shared" ca="1" si="167"/>
        <v>10</v>
      </c>
      <c r="W728" s="75">
        <f t="shared" ca="1" si="168"/>
        <v>8557.5</v>
      </c>
      <c r="X728" s="200">
        <f t="shared" ca="1" si="169"/>
        <v>9675.5</v>
      </c>
      <c r="Y728" s="1">
        <v>0</v>
      </c>
      <c r="Z728" s="1"/>
      <c r="AA728" s="219"/>
      <c r="AB728" s="302"/>
      <c r="AC728" s="302"/>
      <c r="AD728" s="302"/>
      <c r="AE728" s="302"/>
      <c r="AF728">
        <f t="shared" si="163"/>
        <v>0</v>
      </c>
    </row>
    <row r="729" spans="1:32" ht="51.75" hidden="1" x14ac:dyDescent="0.25">
      <c r="A729" s="322" t="s">
        <v>2177</v>
      </c>
      <c r="B729" s="93" t="str">
        <f t="shared" si="164"/>
        <v>YES</v>
      </c>
      <c r="C729" s="93" t="s">
        <v>5503</v>
      </c>
      <c r="D729" s="4">
        <v>39618</v>
      </c>
      <c r="E729" s="2">
        <v>39692</v>
      </c>
      <c r="F729" s="2">
        <f t="shared" si="165"/>
        <v>43344</v>
      </c>
      <c r="G729" s="6">
        <v>428.64</v>
      </c>
      <c r="H729" s="7" t="s">
        <v>2151</v>
      </c>
      <c r="I729" s="7" t="s">
        <v>72</v>
      </c>
      <c r="J729" s="189"/>
      <c r="K729" s="266">
        <f t="shared" si="166"/>
        <v>2018</v>
      </c>
      <c r="L729" s="389"/>
      <c r="M729" s="389"/>
      <c r="N729" s="32" t="s">
        <v>2152</v>
      </c>
      <c r="O729" s="32" t="s">
        <v>2153</v>
      </c>
      <c r="P729" s="278" t="s">
        <v>2178</v>
      </c>
      <c r="Q729" s="233"/>
      <c r="R729" s="75">
        <v>1641.5</v>
      </c>
      <c r="S729" s="75"/>
      <c r="T729" s="75">
        <v>1641.5</v>
      </c>
      <c r="U729" s="200">
        <v>643.5</v>
      </c>
      <c r="V729" s="287">
        <f t="shared" ca="1" si="167"/>
        <v>10</v>
      </c>
      <c r="W729" s="75">
        <f t="shared" ca="1" si="168"/>
        <v>7507.5</v>
      </c>
      <c r="X729" s="200">
        <f t="shared" ca="1" si="169"/>
        <v>8505.5</v>
      </c>
      <c r="Y729" s="1">
        <v>0</v>
      </c>
      <c r="Z729" s="1"/>
      <c r="AA729" s="219"/>
      <c r="AB729" s="302"/>
      <c r="AC729" s="302"/>
      <c r="AD729" s="302"/>
      <c r="AE729" s="302"/>
      <c r="AF729">
        <f t="shared" si="163"/>
        <v>0</v>
      </c>
    </row>
    <row r="730" spans="1:32" ht="39" hidden="1" x14ac:dyDescent="0.25">
      <c r="A730" s="322" t="s">
        <v>2179</v>
      </c>
      <c r="B730" s="93" t="str">
        <f t="shared" ref="B730:B761" si="170">IF(COUNTIF(GIS,A730),"YES","NO")</f>
        <v>YES</v>
      </c>
      <c r="C730" s="93" t="s">
        <v>5503</v>
      </c>
      <c r="D730" s="4">
        <v>39618</v>
      </c>
      <c r="E730" s="2">
        <v>39692</v>
      </c>
      <c r="F730" s="2">
        <f t="shared" si="165"/>
        <v>43344</v>
      </c>
      <c r="G730" s="6">
        <v>120</v>
      </c>
      <c r="H730" s="7" t="s">
        <v>2151</v>
      </c>
      <c r="I730" s="7" t="s">
        <v>72</v>
      </c>
      <c r="J730" s="189"/>
      <c r="K730" s="266">
        <f t="shared" si="166"/>
        <v>2018</v>
      </c>
      <c r="L730" s="389"/>
      <c r="M730" s="389"/>
      <c r="N730" s="32" t="s">
        <v>2152</v>
      </c>
      <c r="O730" s="32" t="s">
        <v>2153</v>
      </c>
      <c r="P730" s="278" t="s">
        <v>2180</v>
      </c>
      <c r="Q730" s="233"/>
      <c r="R730" s="75">
        <v>560</v>
      </c>
      <c r="S730" s="75"/>
      <c r="T730" s="75">
        <v>560</v>
      </c>
      <c r="U730" s="200">
        <v>180</v>
      </c>
      <c r="V730" s="287">
        <f t="shared" ca="1" si="167"/>
        <v>10</v>
      </c>
      <c r="W730" s="75">
        <f t="shared" ca="1" si="168"/>
        <v>2100</v>
      </c>
      <c r="X730" s="200">
        <f t="shared" ca="1" si="169"/>
        <v>2480</v>
      </c>
      <c r="Y730" s="1">
        <v>0</v>
      </c>
      <c r="Z730" s="1"/>
      <c r="AA730" s="219"/>
      <c r="AB730" s="302"/>
      <c r="AC730" s="302"/>
      <c r="AD730" s="302"/>
      <c r="AE730" s="302"/>
      <c r="AF730">
        <f t="shared" si="163"/>
        <v>0</v>
      </c>
    </row>
    <row r="731" spans="1:32" ht="26.25" hidden="1" x14ac:dyDescent="0.25">
      <c r="A731" s="322" t="s">
        <v>2181</v>
      </c>
      <c r="B731" s="93" t="str">
        <f t="shared" si="170"/>
        <v>YES</v>
      </c>
      <c r="C731" s="93" t="s">
        <v>5503</v>
      </c>
      <c r="D731" s="4">
        <v>39618</v>
      </c>
      <c r="E731" s="2">
        <v>39692</v>
      </c>
      <c r="F731" s="2">
        <f t="shared" si="165"/>
        <v>43344</v>
      </c>
      <c r="G731" s="6">
        <v>80</v>
      </c>
      <c r="H731" s="7" t="s">
        <v>2151</v>
      </c>
      <c r="I731" s="7" t="s">
        <v>72</v>
      </c>
      <c r="J731" s="189"/>
      <c r="K731" s="266">
        <f t="shared" si="166"/>
        <v>2018</v>
      </c>
      <c r="L731" s="389"/>
      <c r="M731" s="389"/>
      <c r="N731" s="32" t="s">
        <v>2152</v>
      </c>
      <c r="O731" s="32" t="s">
        <v>2153</v>
      </c>
      <c r="P731" s="278" t="s">
        <v>2182</v>
      </c>
      <c r="Q731" s="233"/>
      <c r="R731" s="75">
        <v>420</v>
      </c>
      <c r="S731" s="75">
        <v>160</v>
      </c>
      <c r="T731" s="75">
        <v>580</v>
      </c>
      <c r="U731" s="200">
        <v>120</v>
      </c>
      <c r="V731" s="287">
        <f t="shared" ca="1" si="167"/>
        <v>10</v>
      </c>
      <c r="W731" s="75">
        <f t="shared" ca="1" si="168"/>
        <v>1400</v>
      </c>
      <c r="X731" s="200">
        <f t="shared" ca="1" si="169"/>
        <v>1860</v>
      </c>
      <c r="Y731" s="1">
        <v>0</v>
      </c>
      <c r="Z731" s="1"/>
      <c r="AA731" s="219"/>
      <c r="AB731" s="302"/>
      <c r="AC731" s="302"/>
      <c r="AD731" s="302"/>
      <c r="AE731" s="302"/>
      <c r="AF731">
        <f t="shared" si="163"/>
        <v>0</v>
      </c>
    </row>
    <row r="732" spans="1:32" hidden="1" x14ac:dyDescent="0.25">
      <c r="A732" s="322" t="s">
        <v>2183</v>
      </c>
      <c r="B732" s="93" t="str">
        <f t="shared" si="170"/>
        <v>NO</v>
      </c>
      <c r="C732" s="93" t="s">
        <v>5503</v>
      </c>
      <c r="D732" s="4">
        <v>39618</v>
      </c>
      <c r="E732" s="2">
        <v>39692</v>
      </c>
      <c r="F732" s="2">
        <f t="shared" si="165"/>
        <v>43344</v>
      </c>
      <c r="G732" s="6">
        <v>451.97</v>
      </c>
      <c r="H732" s="7" t="s">
        <v>2185</v>
      </c>
      <c r="I732" s="7" t="s">
        <v>2186</v>
      </c>
      <c r="J732" s="109" t="s">
        <v>2184</v>
      </c>
      <c r="K732" s="266">
        <f t="shared" si="166"/>
        <v>2018</v>
      </c>
      <c r="L732" s="385"/>
      <c r="M732" s="385"/>
      <c r="N732" s="32" t="s">
        <v>2187</v>
      </c>
      <c r="O732" s="32" t="s">
        <v>2188</v>
      </c>
      <c r="P732" s="278"/>
      <c r="Q732" s="233"/>
      <c r="R732" s="75">
        <v>1722</v>
      </c>
      <c r="S732" s="75">
        <v>4068</v>
      </c>
      <c r="T732" s="75">
        <v>5790</v>
      </c>
      <c r="U732" s="200">
        <v>678</v>
      </c>
      <c r="V732" s="287">
        <f t="shared" ca="1" si="167"/>
        <v>10</v>
      </c>
      <c r="W732" s="75">
        <f t="shared" ca="1" si="168"/>
        <v>7910</v>
      </c>
      <c r="X732" s="200">
        <f t="shared" ca="1" si="169"/>
        <v>13022</v>
      </c>
      <c r="Y732" s="1">
        <v>0</v>
      </c>
      <c r="Z732" s="17"/>
      <c r="AA732" s="220"/>
      <c r="AB732" s="302"/>
      <c r="AC732" s="302"/>
      <c r="AD732" s="302"/>
      <c r="AE732" s="302"/>
      <c r="AF732">
        <f t="shared" si="163"/>
        <v>0</v>
      </c>
    </row>
    <row r="733" spans="1:32" ht="51.75" hidden="1" x14ac:dyDescent="0.25">
      <c r="A733" s="322" t="s">
        <v>2189</v>
      </c>
      <c r="B733" s="93" t="str">
        <f t="shared" si="170"/>
        <v>YES</v>
      </c>
      <c r="C733" s="93" t="s">
        <v>5503</v>
      </c>
      <c r="D733" s="4">
        <v>39618</v>
      </c>
      <c r="E733" s="2">
        <v>39692</v>
      </c>
      <c r="F733" s="2">
        <v>44075</v>
      </c>
      <c r="G733" s="6">
        <v>480.94</v>
      </c>
      <c r="H733" s="191" t="s">
        <v>3923</v>
      </c>
      <c r="I733" s="7" t="s">
        <v>79</v>
      </c>
      <c r="J733" s="105" t="s">
        <v>7665</v>
      </c>
      <c r="K733" s="266">
        <f t="shared" si="166"/>
        <v>2020</v>
      </c>
      <c r="L733" s="390" t="s">
        <v>5910</v>
      </c>
      <c r="M733" s="390" t="s">
        <v>7574</v>
      </c>
      <c r="N733" s="32" t="s">
        <v>2191</v>
      </c>
      <c r="O733" s="32" t="s">
        <v>2192</v>
      </c>
      <c r="P733" s="278" t="s">
        <v>2193</v>
      </c>
      <c r="Q733" s="233"/>
      <c r="R733" s="75">
        <v>1823.5</v>
      </c>
      <c r="S733" s="75"/>
      <c r="T733" s="75">
        <v>1823.5</v>
      </c>
      <c r="U733" s="200">
        <v>721.5</v>
      </c>
      <c r="V733" s="287">
        <f t="shared" ca="1" si="167"/>
        <v>10</v>
      </c>
      <c r="W733" s="75">
        <f t="shared" ca="1" si="168"/>
        <v>8417.5</v>
      </c>
      <c r="X733" s="200">
        <f t="shared" ca="1" si="169"/>
        <v>9519.5</v>
      </c>
      <c r="Y733" s="1">
        <v>0</v>
      </c>
      <c r="Z733" s="1"/>
      <c r="AA733" s="219"/>
      <c r="AB733" s="302" t="s">
        <v>6691</v>
      </c>
      <c r="AC733" s="308">
        <v>43535</v>
      </c>
      <c r="AD733" s="309">
        <v>0.25</v>
      </c>
      <c r="AE733" s="302" t="s">
        <v>7510</v>
      </c>
      <c r="AF733">
        <f t="shared" si="163"/>
        <v>0</v>
      </c>
    </row>
    <row r="734" spans="1:32" ht="51.75" hidden="1" x14ac:dyDescent="0.25">
      <c r="A734" s="322" t="s">
        <v>2194</v>
      </c>
      <c r="B734" s="93" t="str">
        <f t="shared" si="170"/>
        <v>YES</v>
      </c>
      <c r="C734" s="93" t="s">
        <v>5503</v>
      </c>
      <c r="D734" s="4">
        <v>39618</v>
      </c>
      <c r="E734" s="2">
        <v>39692</v>
      </c>
      <c r="F734" s="2">
        <v>44075</v>
      </c>
      <c r="G734" s="6">
        <v>40</v>
      </c>
      <c r="H734" s="191" t="s">
        <v>3923</v>
      </c>
      <c r="I734" s="7" t="s">
        <v>79</v>
      </c>
      <c r="J734" s="105" t="s">
        <v>7665</v>
      </c>
      <c r="K734" s="266">
        <f t="shared" si="166"/>
        <v>2020</v>
      </c>
      <c r="L734" s="390" t="s">
        <v>5910</v>
      </c>
      <c r="M734" s="390" t="s">
        <v>7574</v>
      </c>
      <c r="N734" s="32" t="s">
        <v>2191</v>
      </c>
      <c r="O734" s="32" t="s">
        <v>2192</v>
      </c>
      <c r="P734" s="278" t="s">
        <v>2195</v>
      </c>
      <c r="Q734" s="233"/>
      <c r="R734" s="75">
        <v>280</v>
      </c>
      <c r="S734" s="75">
        <v>80</v>
      </c>
      <c r="T734" s="75">
        <v>360</v>
      </c>
      <c r="U734" s="200">
        <v>60</v>
      </c>
      <c r="V734" s="287">
        <f t="shared" ca="1" si="167"/>
        <v>10</v>
      </c>
      <c r="W734" s="75">
        <f t="shared" ca="1" si="168"/>
        <v>700</v>
      </c>
      <c r="X734" s="200">
        <f t="shared" ca="1" si="169"/>
        <v>1000</v>
      </c>
      <c r="Y734" s="1">
        <v>0</v>
      </c>
      <c r="Z734" s="1"/>
      <c r="AA734" s="219"/>
      <c r="AB734" s="302" t="s">
        <v>6692</v>
      </c>
      <c r="AC734" s="308">
        <v>43535</v>
      </c>
      <c r="AD734" s="309">
        <v>0.25</v>
      </c>
      <c r="AE734" s="302" t="s">
        <v>7510</v>
      </c>
      <c r="AF734">
        <f t="shared" si="163"/>
        <v>0</v>
      </c>
    </row>
    <row r="735" spans="1:32" ht="39" hidden="1" x14ac:dyDescent="0.25">
      <c r="A735" s="322" t="s">
        <v>2196</v>
      </c>
      <c r="B735" s="93" t="str">
        <f t="shared" si="170"/>
        <v>YES</v>
      </c>
      <c r="C735" s="93" t="s">
        <v>5503</v>
      </c>
      <c r="D735" s="4">
        <v>39618</v>
      </c>
      <c r="E735" s="2">
        <v>39692</v>
      </c>
      <c r="F735" s="2">
        <v>44075</v>
      </c>
      <c r="G735" s="6">
        <v>585.41</v>
      </c>
      <c r="H735" s="191" t="s">
        <v>3923</v>
      </c>
      <c r="I735" s="7" t="s">
        <v>79</v>
      </c>
      <c r="J735" s="105" t="s">
        <v>7665</v>
      </c>
      <c r="K735" s="266">
        <f t="shared" si="166"/>
        <v>2020</v>
      </c>
      <c r="L735" s="390" t="s">
        <v>5910</v>
      </c>
      <c r="M735" s="390" t="s">
        <v>7574</v>
      </c>
      <c r="N735" s="32" t="s">
        <v>2191</v>
      </c>
      <c r="O735" s="32" t="s">
        <v>2192</v>
      </c>
      <c r="P735" s="278" t="s">
        <v>2197</v>
      </c>
      <c r="Q735" s="233"/>
      <c r="R735" s="75">
        <v>2191</v>
      </c>
      <c r="S735" s="75"/>
      <c r="T735" s="75">
        <v>2191</v>
      </c>
      <c r="U735" s="200">
        <v>879</v>
      </c>
      <c r="V735" s="287">
        <f t="shared" ca="1" si="167"/>
        <v>10</v>
      </c>
      <c r="W735" s="75">
        <f t="shared" ca="1" si="168"/>
        <v>10255</v>
      </c>
      <c r="X735" s="200">
        <f t="shared" ca="1" si="169"/>
        <v>11567</v>
      </c>
      <c r="Y735" s="1">
        <v>0</v>
      </c>
      <c r="Z735" s="1"/>
      <c r="AA735" s="219"/>
      <c r="AB735" s="302" t="s">
        <v>6693</v>
      </c>
      <c r="AC735" s="308">
        <v>43535</v>
      </c>
      <c r="AD735" s="309">
        <v>0.25</v>
      </c>
      <c r="AE735" s="302" t="s">
        <v>7510</v>
      </c>
      <c r="AF735">
        <f t="shared" si="163"/>
        <v>0</v>
      </c>
    </row>
    <row r="736" spans="1:32" ht="51.75" hidden="1" x14ac:dyDescent="0.25">
      <c r="A736" s="322" t="s">
        <v>2198</v>
      </c>
      <c r="B736" s="93" t="str">
        <f t="shared" si="170"/>
        <v>YES</v>
      </c>
      <c r="C736" s="93" t="s">
        <v>5503</v>
      </c>
      <c r="D736" s="4">
        <v>39618</v>
      </c>
      <c r="E736" s="2">
        <v>39692</v>
      </c>
      <c r="F736" s="2">
        <v>44075</v>
      </c>
      <c r="G736" s="6">
        <v>650.48</v>
      </c>
      <c r="H736" s="191" t="s">
        <v>3923</v>
      </c>
      <c r="I736" s="7" t="s">
        <v>79</v>
      </c>
      <c r="J736" s="105" t="s">
        <v>7665</v>
      </c>
      <c r="K736" s="266">
        <f t="shared" si="166"/>
        <v>2020</v>
      </c>
      <c r="L736" s="390" t="s">
        <v>5910</v>
      </c>
      <c r="M736" s="390" t="s">
        <v>7574</v>
      </c>
      <c r="N736" s="32" t="s">
        <v>2191</v>
      </c>
      <c r="O736" s="32" t="s">
        <v>2192</v>
      </c>
      <c r="P736" s="278" t="s">
        <v>2199</v>
      </c>
      <c r="Q736" s="233"/>
      <c r="R736" s="75">
        <v>2418.5</v>
      </c>
      <c r="S736" s="75"/>
      <c r="T736" s="75">
        <v>2418.5</v>
      </c>
      <c r="U736" s="200">
        <v>976.5</v>
      </c>
      <c r="V736" s="287">
        <f t="shared" ca="1" si="167"/>
        <v>10</v>
      </c>
      <c r="W736" s="75">
        <f t="shared" ca="1" si="168"/>
        <v>11392.5</v>
      </c>
      <c r="X736" s="200">
        <f t="shared" ca="1" si="169"/>
        <v>12834.5</v>
      </c>
      <c r="Y736" s="1">
        <v>0</v>
      </c>
      <c r="Z736" s="1"/>
      <c r="AA736" s="219"/>
      <c r="AB736" s="302" t="s">
        <v>6694</v>
      </c>
      <c r="AC736" s="308">
        <v>43535</v>
      </c>
      <c r="AD736" s="309">
        <v>0.25</v>
      </c>
      <c r="AE736" s="302" t="s">
        <v>7510</v>
      </c>
      <c r="AF736">
        <f t="shared" si="163"/>
        <v>0</v>
      </c>
    </row>
    <row r="737" spans="1:32" ht="51.75" hidden="1" x14ac:dyDescent="0.25">
      <c r="A737" s="322" t="s">
        <v>2200</v>
      </c>
      <c r="B737" s="93" t="str">
        <f t="shared" si="170"/>
        <v>YES</v>
      </c>
      <c r="C737" s="93" t="s">
        <v>5503</v>
      </c>
      <c r="D737" s="4">
        <v>39618</v>
      </c>
      <c r="E737" s="2">
        <v>39692</v>
      </c>
      <c r="F737" s="2">
        <v>44075</v>
      </c>
      <c r="G737" s="6">
        <v>648.88</v>
      </c>
      <c r="H737" s="191" t="s">
        <v>3923</v>
      </c>
      <c r="I737" s="7" t="s">
        <v>79</v>
      </c>
      <c r="J737" s="105" t="s">
        <v>7665</v>
      </c>
      <c r="K737" s="266">
        <f t="shared" si="166"/>
        <v>2020</v>
      </c>
      <c r="L737" s="390" t="s">
        <v>5910</v>
      </c>
      <c r="M737" s="390" t="s">
        <v>7574</v>
      </c>
      <c r="N737" s="32" t="s">
        <v>2191</v>
      </c>
      <c r="O737" s="32" t="s">
        <v>2192</v>
      </c>
      <c r="P737" s="278" t="s">
        <v>2201</v>
      </c>
      <c r="Q737" s="233"/>
      <c r="R737" s="75">
        <v>2411.5</v>
      </c>
      <c r="S737" s="75"/>
      <c r="T737" s="75">
        <v>2411.5</v>
      </c>
      <c r="U737" s="200">
        <v>973.5</v>
      </c>
      <c r="V737" s="287">
        <f t="shared" ca="1" si="167"/>
        <v>10</v>
      </c>
      <c r="W737" s="75">
        <f t="shared" ca="1" si="168"/>
        <v>11357.5</v>
      </c>
      <c r="X737" s="200">
        <f t="shared" ca="1" si="169"/>
        <v>12795.5</v>
      </c>
      <c r="Y737" s="1">
        <v>0</v>
      </c>
      <c r="Z737" s="1"/>
      <c r="AA737" s="219"/>
      <c r="AB737" s="302" t="s">
        <v>6695</v>
      </c>
      <c r="AC737" s="308">
        <v>43535</v>
      </c>
      <c r="AD737" s="309">
        <v>0.25</v>
      </c>
      <c r="AE737" s="302" t="s">
        <v>7510</v>
      </c>
      <c r="AF737">
        <f t="shared" si="163"/>
        <v>0</v>
      </c>
    </row>
    <row r="738" spans="1:32" ht="51.75" hidden="1" x14ac:dyDescent="0.25">
      <c r="A738" s="322" t="s">
        <v>2202</v>
      </c>
      <c r="B738" s="93" t="str">
        <f t="shared" si="170"/>
        <v>YES</v>
      </c>
      <c r="C738" s="93" t="s">
        <v>5503</v>
      </c>
      <c r="D738" s="4">
        <v>39618</v>
      </c>
      <c r="E738" s="2">
        <v>39692</v>
      </c>
      <c r="F738" s="2">
        <v>44075</v>
      </c>
      <c r="G738" s="6">
        <v>394.48</v>
      </c>
      <c r="H738" s="191" t="s">
        <v>3923</v>
      </c>
      <c r="I738" s="7" t="s">
        <v>79</v>
      </c>
      <c r="J738" s="105" t="s">
        <v>7665</v>
      </c>
      <c r="K738" s="266">
        <f t="shared" si="166"/>
        <v>2020</v>
      </c>
      <c r="L738" s="390" t="s">
        <v>5910</v>
      </c>
      <c r="M738" s="390" t="s">
        <v>7574</v>
      </c>
      <c r="N738" s="32" t="s">
        <v>2191</v>
      </c>
      <c r="O738" s="32" t="s">
        <v>2192</v>
      </c>
      <c r="P738" s="278" t="s">
        <v>2203</v>
      </c>
      <c r="Q738" s="233"/>
      <c r="R738" s="75">
        <v>1522.5</v>
      </c>
      <c r="S738" s="75"/>
      <c r="T738" s="75">
        <v>1522.5</v>
      </c>
      <c r="U738" s="200">
        <v>592.5</v>
      </c>
      <c r="V738" s="287">
        <f t="shared" ca="1" si="167"/>
        <v>10</v>
      </c>
      <c r="W738" s="75">
        <f t="shared" ca="1" si="168"/>
        <v>6912.5</v>
      </c>
      <c r="X738" s="200">
        <f t="shared" ca="1" si="169"/>
        <v>7842.5</v>
      </c>
      <c r="Y738" s="1">
        <v>0</v>
      </c>
      <c r="Z738" s="1"/>
      <c r="AA738" s="219"/>
      <c r="AB738" s="302" t="s">
        <v>6696</v>
      </c>
      <c r="AC738" s="308">
        <v>43535</v>
      </c>
      <c r="AD738" s="309">
        <v>0.25</v>
      </c>
      <c r="AE738" s="302" t="s">
        <v>7510</v>
      </c>
      <c r="AF738">
        <f t="shared" si="163"/>
        <v>0</v>
      </c>
    </row>
    <row r="739" spans="1:32" ht="51.75" hidden="1" x14ac:dyDescent="0.25">
      <c r="A739" s="322" t="s">
        <v>2204</v>
      </c>
      <c r="B739" s="93" t="str">
        <f t="shared" si="170"/>
        <v>YES</v>
      </c>
      <c r="C739" s="93" t="s">
        <v>5503</v>
      </c>
      <c r="D739" s="4">
        <v>39618</v>
      </c>
      <c r="E739" s="2">
        <v>39692</v>
      </c>
      <c r="F739" s="2">
        <v>44075</v>
      </c>
      <c r="G739" s="6">
        <v>540.19000000000005</v>
      </c>
      <c r="H739" s="191" t="s">
        <v>3923</v>
      </c>
      <c r="I739" s="7" t="s">
        <v>79</v>
      </c>
      <c r="J739" s="105" t="s">
        <v>7665</v>
      </c>
      <c r="K739" s="266">
        <f t="shared" si="166"/>
        <v>2020</v>
      </c>
      <c r="L739" s="390" t="s">
        <v>5910</v>
      </c>
      <c r="M739" s="390" t="s">
        <v>7574</v>
      </c>
      <c r="N739" s="32" t="s">
        <v>2191</v>
      </c>
      <c r="O739" s="32" t="s">
        <v>2192</v>
      </c>
      <c r="P739" s="278" t="s">
        <v>2205</v>
      </c>
      <c r="Q739" s="233"/>
      <c r="R739" s="75">
        <v>2033.5</v>
      </c>
      <c r="S739" s="75">
        <v>6492</v>
      </c>
      <c r="T739" s="75">
        <v>8525.5</v>
      </c>
      <c r="U739" s="200">
        <v>811.5</v>
      </c>
      <c r="V739" s="287">
        <f t="shared" ca="1" si="167"/>
        <v>10</v>
      </c>
      <c r="W739" s="75">
        <f t="shared" ca="1" si="168"/>
        <v>9467.5</v>
      </c>
      <c r="X739" s="200">
        <f t="shared" ca="1" si="169"/>
        <v>17181.5</v>
      </c>
      <c r="Y739" s="1">
        <v>0</v>
      </c>
      <c r="Z739" s="1"/>
      <c r="AA739" s="219"/>
      <c r="AB739" s="302" t="s">
        <v>6697</v>
      </c>
      <c r="AC739" s="308">
        <v>43535</v>
      </c>
      <c r="AD739" s="309">
        <v>0.25</v>
      </c>
      <c r="AE739" s="302" t="s">
        <v>7510</v>
      </c>
      <c r="AF739">
        <f t="shared" si="163"/>
        <v>0</v>
      </c>
    </row>
    <row r="740" spans="1:32" ht="39" hidden="1" x14ac:dyDescent="0.25">
      <c r="A740" s="322" t="s">
        <v>2206</v>
      </c>
      <c r="B740" s="93" t="str">
        <f t="shared" si="170"/>
        <v>YES</v>
      </c>
      <c r="C740" s="93" t="s">
        <v>5503</v>
      </c>
      <c r="D740" s="4">
        <v>39618</v>
      </c>
      <c r="E740" s="2">
        <v>39692</v>
      </c>
      <c r="F740" s="2">
        <v>44075</v>
      </c>
      <c r="G740" s="6">
        <v>623.84</v>
      </c>
      <c r="H740" s="191" t="s">
        <v>3923</v>
      </c>
      <c r="I740" s="7" t="s">
        <v>79</v>
      </c>
      <c r="J740" s="105" t="s">
        <v>7665</v>
      </c>
      <c r="K740" s="266">
        <f t="shared" si="166"/>
        <v>2020</v>
      </c>
      <c r="L740" s="390" t="s">
        <v>5910</v>
      </c>
      <c r="M740" s="390" t="s">
        <v>7574</v>
      </c>
      <c r="N740" s="32" t="s">
        <v>2191</v>
      </c>
      <c r="O740" s="32" t="s">
        <v>2192</v>
      </c>
      <c r="P740" s="278" t="s">
        <v>2207</v>
      </c>
      <c r="Q740" s="233"/>
      <c r="R740" s="75">
        <v>2324</v>
      </c>
      <c r="S740" s="75">
        <v>12480</v>
      </c>
      <c r="T740" s="75">
        <v>14804</v>
      </c>
      <c r="U740" s="200">
        <v>936</v>
      </c>
      <c r="V740" s="287">
        <f t="shared" ca="1" si="167"/>
        <v>10</v>
      </c>
      <c r="W740" s="75">
        <f t="shared" ca="1" si="168"/>
        <v>10920</v>
      </c>
      <c r="X740" s="200">
        <f t="shared" ca="1" si="169"/>
        <v>24788</v>
      </c>
      <c r="Y740" s="1">
        <v>0</v>
      </c>
      <c r="Z740" s="1"/>
      <c r="AA740" s="219"/>
      <c r="AB740" s="302" t="s">
        <v>6698</v>
      </c>
      <c r="AC740" s="308">
        <v>43535</v>
      </c>
      <c r="AD740" s="309">
        <v>0.25</v>
      </c>
      <c r="AE740" s="302" t="s">
        <v>7510</v>
      </c>
      <c r="AF740">
        <f t="shared" si="163"/>
        <v>0</v>
      </c>
    </row>
    <row r="741" spans="1:32" ht="51.75" hidden="1" x14ac:dyDescent="0.25">
      <c r="A741" s="322" t="s">
        <v>2208</v>
      </c>
      <c r="B741" s="93" t="str">
        <f t="shared" si="170"/>
        <v>YES</v>
      </c>
      <c r="C741" s="93" t="s">
        <v>5503</v>
      </c>
      <c r="D741" s="4">
        <v>39618</v>
      </c>
      <c r="E741" s="2">
        <v>39692</v>
      </c>
      <c r="F741" s="2">
        <v>44075</v>
      </c>
      <c r="G741" s="6">
        <v>687.34</v>
      </c>
      <c r="H741" s="191" t="s">
        <v>3923</v>
      </c>
      <c r="I741" s="7" t="s">
        <v>79</v>
      </c>
      <c r="J741" s="105" t="s">
        <v>7665</v>
      </c>
      <c r="K741" s="266">
        <f t="shared" si="166"/>
        <v>2020</v>
      </c>
      <c r="L741" s="390" t="s">
        <v>5910</v>
      </c>
      <c r="M741" s="390" t="s">
        <v>7574</v>
      </c>
      <c r="N741" s="32" t="s">
        <v>2191</v>
      </c>
      <c r="O741" s="32" t="s">
        <v>2192</v>
      </c>
      <c r="P741" s="278" t="s">
        <v>2209</v>
      </c>
      <c r="Q741" s="233"/>
      <c r="R741" s="75">
        <v>2548</v>
      </c>
      <c r="S741" s="75">
        <v>8256</v>
      </c>
      <c r="T741" s="75">
        <v>10804</v>
      </c>
      <c r="U741" s="200">
        <v>1032</v>
      </c>
      <c r="V741" s="287">
        <f t="shared" ca="1" si="167"/>
        <v>10</v>
      </c>
      <c r="W741" s="75">
        <f t="shared" ca="1" si="168"/>
        <v>12040</v>
      </c>
      <c r="X741" s="200">
        <f t="shared" ca="1" si="169"/>
        <v>21812</v>
      </c>
      <c r="Y741" s="1">
        <v>0</v>
      </c>
      <c r="Z741" s="1"/>
      <c r="AA741" s="219"/>
      <c r="AB741" s="302" t="s">
        <v>6699</v>
      </c>
      <c r="AC741" s="308">
        <v>43535</v>
      </c>
      <c r="AD741" s="309">
        <v>0.25</v>
      </c>
      <c r="AE741" s="302" t="s">
        <v>7510</v>
      </c>
      <c r="AF741">
        <f t="shared" si="163"/>
        <v>0</v>
      </c>
    </row>
    <row r="742" spans="1:32" ht="39" hidden="1" x14ac:dyDescent="0.25">
      <c r="A742" s="322" t="s">
        <v>2210</v>
      </c>
      <c r="B742" s="93" t="str">
        <f t="shared" si="170"/>
        <v>YES</v>
      </c>
      <c r="C742" s="93" t="s">
        <v>5503</v>
      </c>
      <c r="D742" s="4">
        <v>39618</v>
      </c>
      <c r="E742" s="2">
        <v>39692</v>
      </c>
      <c r="F742" s="2">
        <v>44075</v>
      </c>
      <c r="G742" s="6">
        <v>638.91999999999996</v>
      </c>
      <c r="H742" s="191" t="s">
        <v>3923</v>
      </c>
      <c r="I742" s="7" t="s">
        <v>79</v>
      </c>
      <c r="J742" s="105" t="s">
        <v>7665</v>
      </c>
      <c r="K742" s="266">
        <f t="shared" si="166"/>
        <v>2020</v>
      </c>
      <c r="L742" s="390" t="s">
        <v>5910</v>
      </c>
      <c r="M742" s="390" t="s">
        <v>7574</v>
      </c>
      <c r="N742" s="32" t="s">
        <v>2191</v>
      </c>
      <c r="O742" s="32" t="s">
        <v>2192</v>
      </c>
      <c r="P742" s="278" t="s">
        <v>2211</v>
      </c>
      <c r="Q742" s="233"/>
      <c r="R742" s="75">
        <v>2376.5</v>
      </c>
      <c r="S742" s="75"/>
      <c r="T742" s="75">
        <v>2376.5</v>
      </c>
      <c r="U742" s="200">
        <v>958.5</v>
      </c>
      <c r="V742" s="287">
        <f t="shared" ca="1" si="167"/>
        <v>10</v>
      </c>
      <c r="W742" s="75">
        <f t="shared" ca="1" si="168"/>
        <v>11182.5</v>
      </c>
      <c r="X742" s="200">
        <f t="shared" ca="1" si="169"/>
        <v>12600.5</v>
      </c>
      <c r="Y742" s="1">
        <v>0</v>
      </c>
      <c r="Z742" s="1"/>
      <c r="AA742" s="219"/>
      <c r="AB742" s="302" t="s">
        <v>6700</v>
      </c>
      <c r="AC742" s="308">
        <v>43535</v>
      </c>
      <c r="AD742" s="309">
        <v>0.25</v>
      </c>
      <c r="AE742" s="302" t="s">
        <v>7510</v>
      </c>
      <c r="AF742">
        <f t="shared" si="163"/>
        <v>0</v>
      </c>
    </row>
    <row r="743" spans="1:32" ht="39" hidden="1" x14ac:dyDescent="0.25">
      <c r="A743" s="322" t="s">
        <v>2212</v>
      </c>
      <c r="B743" s="93" t="str">
        <f t="shared" si="170"/>
        <v>YES</v>
      </c>
      <c r="C743" s="93" t="s">
        <v>5503</v>
      </c>
      <c r="D743" s="4">
        <v>39618</v>
      </c>
      <c r="E743" s="2">
        <v>39692</v>
      </c>
      <c r="F743" s="2">
        <v>44075</v>
      </c>
      <c r="G743" s="6">
        <v>690.54</v>
      </c>
      <c r="H743" s="191" t="s">
        <v>3923</v>
      </c>
      <c r="I743" s="7" t="s">
        <v>79</v>
      </c>
      <c r="J743" s="105" t="s">
        <v>7665</v>
      </c>
      <c r="K743" s="266">
        <f t="shared" si="166"/>
        <v>2020</v>
      </c>
      <c r="L743" s="390" t="s">
        <v>5910</v>
      </c>
      <c r="M743" s="390" t="s">
        <v>7574</v>
      </c>
      <c r="N743" s="32" t="s">
        <v>2191</v>
      </c>
      <c r="O743" s="32" t="s">
        <v>2192</v>
      </c>
      <c r="P743" s="278" t="s">
        <v>2213</v>
      </c>
      <c r="Q743" s="233"/>
      <c r="R743" s="75">
        <v>2558.5</v>
      </c>
      <c r="S743" s="75">
        <v>8292</v>
      </c>
      <c r="T743" s="75">
        <v>10850.5</v>
      </c>
      <c r="U743" s="200">
        <v>1036.5</v>
      </c>
      <c r="V743" s="287">
        <f t="shared" ca="1" si="167"/>
        <v>10</v>
      </c>
      <c r="W743" s="75">
        <f t="shared" ca="1" si="168"/>
        <v>12092.5</v>
      </c>
      <c r="X743" s="200">
        <f t="shared" ca="1" si="169"/>
        <v>21906.5</v>
      </c>
      <c r="Y743" s="1">
        <v>0</v>
      </c>
      <c r="Z743" s="1"/>
      <c r="AA743" s="219"/>
      <c r="AB743" s="302" t="s">
        <v>6701</v>
      </c>
      <c r="AC743" s="308">
        <v>43535</v>
      </c>
      <c r="AD743" s="309">
        <v>0.25</v>
      </c>
      <c r="AE743" s="302" t="s">
        <v>7510</v>
      </c>
      <c r="AF743">
        <f t="shared" si="163"/>
        <v>0</v>
      </c>
    </row>
    <row r="744" spans="1:32" ht="39" hidden="1" x14ac:dyDescent="0.25">
      <c r="A744" s="322" t="s">
        <v>2214</v>
      </c>
      <c r="B744" s="93" t="str">
        <f t="shared" si="170"/>
        <v>YES</v>
      </c>
      <c r="C744" s="93" t="s">
        <v>5503</v>
      </c>
      <c r="D744" s="4">
        <v>39618</v>
      </c>
      <c r="E744" s="2">
        <v>39692</v>
      </c>
      <c r="F744" s="2">
        <v>44075</v>
      </c>
      <c r="G744" s="6">
        <v>687.67</v>
      </c>
      <c r="H744" s="191" t="s">
        <v>3923</v>
      </c>
      <c r="I744" s="7" t="s">
        <v>79</v>
      </c>
      <c r="J744" s="105" t="s">
        <v>7665</v>
      </c>
      <c r="K744" s="266">
        <f t="shared" si="166"/>
        <v>2020</v>
      </c>
      <c r="L744" s="390" t="s">
        <v>5910</v>
      </c>
      <c r="M744" s="390" t="s">
        <v>7574</v>
      </c>
      <c r="N744" s="32" t="s">
        <v>2191</v>
      </c>
      <c r="O744" s="32" t="s">
        <v>2192</v>
      </c>
      <c r="P744" s="278" t="s">
        <v>2215</v>
      </c>
      <c r="Q744" s="233"/>
      <c r="R744" s="75">
        <v>2548</v>
      </c>
      <c r="S744" s="75"/>
      <c r="T744" s="75">
        <v>2548</v>
      </c>
      <c r="U744" s="200">
        <v>1032</v>
      </c>
      <c r="V744" s="287">
        <f t="shared" ca="1" si="167"/>
        <v>10</v>
      </c>
      <c r="W744" s="75">
        <f t="shared" ca="1" si="168"/>
        <v>12040</v>
      </c>
      <c r="X744" s="200">
        <f t="shared" ca="1" si="169"/>
        <v>13556</v>
      </c>
      <c r="Y744" s="1">
        <v>0</v>
      </c>
      <c r="Z744" s="1"/>
      <c r="AA744" s="219"/>
      <c r="AB744" s="302" t="s">
        <v>6702</v>
      </c>
      <c r="AC744" s="308">
        <v>43535</v>
      </c>
      <c r="AD744" s="309">
        <v>0.25</v>
      </c>
      <c r="AE744" s="302" t="s">
        <v>7510</v>
      </c>
      <c r="AF744">
        <f t="shared" si="163"/>
        <v>0</v>
      </c>
    </row>
    <row r="745" spans="1:32" ht="39" hidden="1" x14ac:dyDescent="0.25">
      <c r="A745" s="322" t="s">
        <v>2216</v>
      </c>
      <c r="B745" s="93" t="str">
        <f t="shared" si="170"/>
        <v>YES</v>
      </c>
      <c r="C745" s="93" t="s">
        <v>5503</v>
      </c>
      <c r="D745" s="4">
        <v>39618</v>
      </c>
      <c r="E745" s="2">
        <v>39692</v>
      </c>
      <c r="F745" s="2">
        <v>44075</v>
      </c>
      <c r="G745" s="6">
        <v>635.04</v>
      </c>
      <c r="H745" s="191" t="s">
        <v>3923</v>
      </c>
      <c r="I745" s="7" t="s">
        <v>79</v>
      </c>
      <c r="J745" s="105" t="s">
        <v>7665</v>
      </c>
      <c r="K745" s="266">
        <f t="shared" si="166"/>
        <v>2020</v>
      </c>
      <c r="L745" s="390" t="s">
        <v>5910</v>
      </c>
      <c r="M745" s="390" t="s">
        <v>7574</v>
      </c>
      <c r="N745" s="32" t="s">
        <v>2191</v>
      </c>
      <c r="O745" s="32" t="s">
        <v>2192</v>
      </c>
      <c r="P745" s="278" t="s">
        <v>2217</v>
      </c>
      <c r="Q745" s="233"/>
      <c r="R745" s="75">
        <v>2366</v>
      </c>
      <c r="S745" s="75">
        <v>17808</v>
      </c>
      <c r="T745" s="75">
        <v>20174</v>
      </c>
      <c r="U745" s="200">
        <v>954</v>
      </c>
      <c r="V745" s="287">
        <f t="shared" ca="1" si="167"/>
        <v>10</v>
      </c>
      <c r="W745" s="75">
        <f t="shared" ca="1" si="168"/>
        <v>11130</v>
      </c>
      <c r="X745" s="200">
        <f t="shared" ca="1" si="169"/>
        <v>30350</v>
      </c>
      <c r="Y745" s="1">
        <v>0</v>
      </c>
      <c r="Z745" s="1"/>
      <c r="AA745" s="219"/>
      <c r="AB745" s="302" t="s">
        <v>6703</v>
      </c>
      <c r="AC745" s="308">
        <v>43535</v>
      </c>
      <c r="AD745" s="309">
        <v>0.25</v>
      </c>
      <c r="AE745" s="302" t="s">
        <v>7510</v>
      </c>
      <c r="AF745">
        <f t="shared" si="163"/>
        <v>0</v>
      </c>
    </row>
    <row r="746" spans="1:32" ht="39" hidden="1" x14ac:dyDescent="0.25">
      <c r="A746" s="322" t="s">
        <v>2218</v>
      </c>
      <c r="B746" s="93" t="str">
        <f t="shared" si="170"/>
        <v>YES</v>
      </c>
      <c r="C746" s="93" t="s">
        <v>5503</v>
      </c>
      <c r="D746" s="4">
        <v>39618</v>
      </c>
      <c r="E746" s="2">
        <v>39692</v>
      </c>
      <c r="F746" s="2">
        <v>44075</v>
      </c>
      <c r="G746" s="6">
        <v>81.209999999999994</v>
      </c>
      <c r="H746" s="191" t="s">
        <v>3923</v>
      </c>
      <c r="I746" s="7" t="s">
        <v>79</v>
      </c>
      <c r="J746" s="105" t="s">
        <v>7665</v>
      </c>
      <c r="K746" s="266">
        <f t="shared" si="166"/>
        <v>2020</v>
      </c>
      <c r="L746" s="390" t="s">
        <v>5885</v>
      </c>
      <c r="M746" s="390" t="s">
        <v>7574</v>
      </c>
      <c r="N746" s="32" t="s">
        <v>2191</v>
      </c>
      <c r="O746" s="32" t="s">
        <v>2219</v>
      </c>
      <c r="P746" s="278" t="s">
        <v>2220</v>
      </c>
      <c r="Q746" s="233"/>
      <c r="R746" s="75">
        <v>427</v>
      </c>
      <c r="S746" s="75">
        <v>164</v>
      </c>
      <c r="T746" s="75">
        <v>591</v>
      </c>
      <c r="U746" s="200">
        <v>123</v>
      </c>
      <c r="V746" s="287">
        <f t="shared" ca="1" si="167"/>
        <v>10</v>
      </c>
      <c r="W746" s="75">
        <f t="shared" ca="1" si="168"/>
        <v>1435</v>
      </c>
      <c r="X746" s="200">
        <f t="shared" ca="1" si="169"/>
        <v>1903</v>
      </c>
      <c r="Y746" s="1">
        <v>0</v>
      </c>
      <c r="Z746" s="1"/>
      <c r="AA746" s="219"/>
      <c r="AB746" s="302" t="s">
        <v>6704</v>
      </c>
      <c r="AC746" s="308">
        <v>43535</v>
      </c>
      <c r="AD746" s="309">
        <v>0.25</v>
      </c>
      <c r="AE746" s="302" t="s">
        <v>7510</v>
      </c>
      <c r="AF746">
        <f t="shared" si="163"/>
        <v>0</v>
      </c>
    </row>
    <row r="747" spans="1:32" ht="39" hidden="1" x14ac:dyDescent="0.25">
      <c r="A747" s="322" t="s">
        <v>2221</v>
      </c>
      <c r="B747" s="93" t="str">
        <f t="shared" si="170"/>
        <v>YES</v>
      </c>
      <c r="C747" s="93" t="s">
        <v>5503</v>
      </c>
      <c r="D747" s="4">
        <v>39618</v>
      </c>
      <c r="E747" s="2">
        <v>39692</v>
      </c>
      <c r="F747" s="2">
        <v>44075</v>
      </c>
      <c r="G747" s="6">
        <v>80.97</v>
      </c>
      <c r="H747" s="191" t="s">
        <v>3923</v>
      </c>
      <c r="I747" s="7" t="s">
        <v>79</v>
      </c>
      <c r="J747" s="105" t="s">
        <v>7665</v>
      </c>
      <c r="K747" s="266">
        <f t="shared" si="166"/>
        <v>2020</v>
      </c>
      <c r="L747" s="390" t="s">
        <v>5885</v>
      </c>
      <c r="M747" s="390" t="s">
        <v>7574</v>
      </c>
      <c r="N747" s="32" t="s">
        <v>2191</v>
      </c>
      <c r="O747" s="32" t="s">
        <v>2219</v>
      </c>
      <c r="P747" s="278" t="s">
        <v>2222</v>
      </c>
      <c r="Q747" s="233"/>
      <c r="R747" s="75">
        <v>423.5</v>
      </c>
      <c r="S747" s="75">
        <v>162</v>
      </c>
      <c r="T747" s="75">
        <v>585.5</v>
      </c>
      <c r="U747" s="200">
        <v>121.5</v>
      </c>
      <c r="V747" s="287">
        <f t="shared" ca="1" si="167"/>
        <v>10</v>
      </c>
      <c r="W747" s="75">
        <f t="shared" ca="1" si="168"/>
        <v>1417.5</v>
      </c>
      <c r="X747" s="200">
        <f t="shared" ca="1" si="169"/>
        <v>1881.5</v>
      </c>
      <c r="Y747" s="1">
        <v>0</v>
      </c>
      <c r="Z747" s="1"/>
      <c r="AA747" s="219"/>
      <c r="AB747" s="302" t="s">
        <v>6705</v>
      </c>
      <c r="AC747" s="308">
        <v>43535</v>
      </c>
      <c r="AD747" s="309">
        <v>0.25</v>
      </c>
      <c r="AE747" s="302" t="s">
        <v>7510</v>
      </c>
      <c r="AF747">
        <f t="shared" si="163"/>
        <v>0</v>
      </c>
    </row>
    <row r="748" spans="1:32" ht="51.75" hidden="1" x14ac:dyDescent="0.25">
      <c r="A748" s="322" t="s">
        <v>2223</v>
      </c>
      <c r="B748" s="93" t="str">
        <f t="shared" si="170"/>
        <v>YES</v>
      </c>
      <c r="C748" s="93" t="s">
        <v>5503</v>
      </c>
      <c r="D748" s="4">
        <v>39618</v>
      </c>
      <c r="E748" s="2">
        <v>39692</v>
      </c>
      <c r="F748" s="2">
        <v>44075</v>
      </c>
      <c r="G748" s="6">
        <v>630.32000000000005</v>
      </c>
      <c r="H748" s="191" t="s">
        <v>3923</v>
      </c>
      <c r="I748" s="7" t="s">
        <v>79</v>
      </c>
      <c r="J748" s="105" t="s">
        <v>7665</v>
      </c>
      <c r="K748" s="266">
        <f t="shared" ref="K748:K779" si="171">YEAR(F748)</f>
        <v>2020</v>
      </c>
      <c r="L748" s="390" t="s">
        <v>5885</v>
      </c>
      <c r="M748" s="390" t="s">
        <v>7574</v>
      </c>
      <c r="N748" s="32" t="s">
        <v>2191</v>
      </c>
      <c r="O748" s="32" t="s">
        <v>2219</v>
      </c>
      <c r="P748" s="278" t="s">
        <v>2224</v>
      </c>
      <c r="Q748" s="233"/>
      <c r="R748" s="75">
        <v>2348.5</v>
      </c>
      <c r="S748" s="75"/>
      <c r="T748" s="75">
        <v>2348.5</v>
      </c>
      <c r="U748" s="200">
        <v>946.5</v>
      </c>
      <c r="V748" s="287">
        <f t="shared" ref="V748:V779" ca="1" si="172">IF(YEAR($W$3)-YEAR(E748)&gt;9,10,IF(MONTH($W$3)&lt;MONTH(E748),YEAR($W$3)-YEAR(E748),YEAR($W$3)-YEAR(E748)+1))</f>
        <v>10</v>
      </c>
      <c r="W748" s="75">
        <f t="shared" ref="W748:W779" ca="1" si="173">IF(V748&lt;6, ROUNDUP(G748,0)*$W$6*V748, ROUNDUP(G748,0)*($W$6*5 + (V748-5)*$W$7))</f>
        <v>11042.5</v>
      </c>
      <c r="X748" s="200">
        <f t="shared" ca="1" si="169"/>
        <v>12444.5</v>
      </c>
      <c r="Y748" s="1">
        <v>0</v>
      </c>
      <c r="Z748" s="1"/>
      <c r="AA748" s="219"/>
      <c r="AB748" s="302" t="s">
        <v>6706</v>
      </c>
      <c r="AC748" s="308">
        <v>43535</v>
      </c>
      <c r="AD748" s="309">
        <v>0.25</v>
      </c>
      <c r="AE748" s="302" t="s">
        <v>7510</v>
      </c>
      <c r="AF748">
        <f t="shared" si="163"/>
        <v>0</v>
      </c>
    </row>
    <row r="749" spans="1:32" ht="39" hidden="1" x14ac:dyDescent="0.25">
      <c r="A749" s="322" t="s">
        <v>2225</v>
      </c>
      <c r="B749" s="93" t="str">
        <f t="shared" si="170"/>
        <v>YES</v>
      </c>
      <c r="C749" s="93" t="s">
        <v>5503</v>
      </c>
      <c r="D749" s="4">
        <v>39618</v>
      </c>
      <c r="E749" s="2">
        <v>39692</v>
      </c>
      <c r="F749" s="2">
        <v>44075</v>
      </c>
      <c r="G749" s="6">
        <v>632.89</v>
      </c>
      <c r="H749" s="191" t="s">
        <v>3923</v>
      </c>
      <c r="I749" s="7" t="s">
        <v>79</v>
      </c>
      <c r="J749" s="105" t="s">
        <v>7665</v>
      </c>
      <c r="K749" s="266">
        <f t="shared" si="171"/>
        <v>2020</v>
      </c>
      <c r="L749" s="390" t="s">
        <v>5885</v>
      </c>
      <c r="M749" s="390" t="s">
        <v>7574</v>
      </c>
      <c r="N749" s="32" t="s">
        <v>2191</v>
      </c>
      <c r="O749" s="32" t="s">
        <v>2219</v>
      </c>
      <c r="P749" s="278" t="s">
        <v>2226</v>
      </c>
      <c r="Q749" s="233"/>
      <c r="R749" s="75">
        <v>2355.5</v>
      </c>
      <c r="S749" s="75"/>
      <c r="T749" s="75">
        <v>2355.5</v>
      </c>
      <c r="U749" s="200">
        <v>949.5</v>
      </c>
      <c r="V749" s="287">
        <f t="shared" ca="1" si="172"/>
        <v>10</v>
      </c>
      <c r="W749" s="75">
        <f t="shared" ca="1" si="173"/>
        <v>11077.5</v>
      </c>
      <c r="X749" s="200">
        <f t="shared" ca="1" si="169"/>
        <v>12483.5</v>
      </c>
      <c r="Y749" s="1">
        <v>0</v>
      </c>
      <c r="Z749" s="1"/>
      <c r="AA749" s="219"/>
      <c r="AB749" s="302" t="s">
        <v>6707</v>
      </c>
      <c r="AC749" s="308">
        <v>43535</v>
      </c>
      <c r="AD749" s="309">
        <v>0.25</v>
      </c>
      <c r="AE749" s="302" t="s">
        <v>7510</v>
      </c>
      <c r="AF749">
        <f t="shared" si="163"/>
        <v>0</v>
      </c>
    </row>
    <row r="750" spans="1:32" ht="39" hidden="1" x14ac:dyDescent="0.25">
      <c r="A750" s="322" t="s">
        <v>2227</v>
      </c>
      <c r="B750" s="93" t="str">
        <f t="shared" si="170"/>
        <v>YES</v>
      </c>
      <c r="C750" s="93" t="s">
        <v>5503</v>
      </c>
      <c r="D750" s="4">
        <v>39618</v>
      </c>
      <c r="E750" s="2">
        <v>39692</v>
      </c>
      <c r="F750" s="2">
        <v>44075</v>
      </c>
      <c r="G750" s="6">
        <v>646.22</v>
      </c>
      <c r="H750" s="191" t="s">
        <v>3923</v>
      </c>
      <c r="I750" s="7" t="s">
        <v>79</v>
      </c>
      <c r="J750" s="105" t="s">
        <v>7665</v>
      </c>
      <c r="K750" s="266">
        <f t="shared" si="171"/>
        <v>2020</v>
      </c>
      <c r="L750" s="390" t="s">
        <v>5885</v>
      </c>
      <c r="M750" s="390" t="s">
        <v>7574</v>
      </c>
      <c r="N750" s="32" t="s">
        <v>2191</v>
      </c>
      <c r="O750" s="32" t="s">
        <v>2219</v>
      </c>
      <c r="P750" s="278" t="s">
        <v>2228</v>
      </c>
      <c r="Q750" s="233"/>
      <c r="R750" s="75">
        <v>2404.5</v>
      </c>
      <c r="S750" s="75">
        <v>1294</v>
      </c>
      <c r="T750" s="75">
        <v>3698.5</v>
      </c>
      <c r="U750" s="200">
        <v>970.5</v>
      </c>
      <c r="V750" s="287">
        <f t="shared" ca="1" si="172"/>
        <v>10</v>
      </c>
      <c r="W750" s="75">
        <f t="shared" ca="1" si="173"/>
        <v>11322.5</v>
      </c>
      <c r="X750" s="200">
        <f t="shared" ca="1" si="169"/>
        <v>14050.5</v>
      </c>
      <c r="Y750" s="1">
        <v>0</v>
      </c>
      <c r="Z750" s="1"/>
      <c r="AA750" s="219"/>
      <c r="AB750" s="302" t="s">
        <v>6708</v>
      </c>
      <c r="AC750" s="308">
        <v>43535</v>
      </c>
      <c r="AD750" s="309">
        <v>0.25</v>
      </c>
      <c r="AE750" s="302" t="s">
        <v>7510</v>
      </c>
      <c r="AF750">
        <f t="shared" si="163"/>
        <v>0</v>
      </c>
    </row>
    <row r="751" spans="1:32" ht="39" hidden="1" x14ac:dyDescent="0.25">
      <c r="A751" s="322" t="s">
        <v>2229</v>
      </c>
      <c r="B751" s="93" t="str">
        <f t="shared" si="170"/>
        <v>YES</v>
      </c>
      <c r="C751" s="93" t="s">
        <v>5503</v>
      </c>
      <c r="D751" s="4">
        <v>39618</v>
      </c>
      <c r="E751" s="2">
        <v>39692</v>
      </c>
      <c r="F751" s="2">
        <v>44075</v>
      </c>
      <c r="G751" s="6">
        <v>643.44000000000005</v>
      </c>
      <c r="H751" s="191" t="s">
        <v>3923</v>
      </c>
      <c r="I751" s="7" t="s">
        <v>79</v>
      </c>
      <c r="J751" s="105" t="s">
        <v>7665</v>
      </c>
      <c r="K751" s="266">
        <f t="shared" si="171"/>
        <v>2020</v>
      </c>
      <c r="L751" s="390" t="s">
        <v>5885</v>
      </c>
      <c r="M751" s="390" t="s">
        <v>7574</v>
      </c>
      <c r="N751" s="32" t="s">
        <v>2191</v>
      </c>
      <c r="O751" s="32" t="s">
        <v>2219</v>
      </c>
      <c r="P751" s="278" t="s">
        <v>2230</v>
      </c>
      <c r="Q751" s="233"/>
      <c r="R751" s="75">
        <v>2394</v>
      </c>
      <c r="S751" s="75"/>
      <c r="T751" s="75">
        <v>2394</v>
      </c>
      <c r="U751" s="200">
        <v>966</v>
      </c>
      <c r="V751" s="287">
        <f t="shared" ca="1" si="172"/>
        <v>10</v>
      </c>
      <c r="W751" s="75">
        <f t="shared" ca="1" si="173"/>
        <v>11270</v>
      </c>
      <c r="X751" s="200">
        <f t="shared" ca="1" si="169"/>
        <v>12698</v>
      </c>
      <c r="Y751" s="1">
        <v>0</v>
      </c>
      <c r="Z751" s="1"/>
      <c r="AA751" s="219"/>
      <c r="AB751" s="302" t="s">
        <v>6709</v>
      </c>
      <c r="AC751" s="308">
        <v>43535</v>
      </c>
      <c r="AD751" s="309">
        <v>0.25</v>
      </c>
      <c r="AE751" s="302" t="s">
        <v>7510</v>
      </c>
      <c r="AF751">
        <f t="shared" si="163"/>
        <v>0</v>
      </c>
    </row>
    <row r="752" spans="1:32" ht="39" hidden="1" x14ac:dyDescent="0.25">
      <c r="A752" s="322" t="s">
        <v>2231</v>
      </c>
      <c r="B752" s="93" t="str">
        <f t="shared" si="170"/>
        <v>YES</v>
      </c>
      <c r="C752" s="93" t="s">
        <v>5503</v>
      </c>
      <c r="D752" s="4">
        <v>39618</v>
      </c>
      <c r="E752" s="2">
        <v>39692</v>
      </c>
      <c r="F752" s="2">
        <v>44075</v>
      </c>
      <c r="G752" s="6">
        <v>645.28</v>
      </c>
      <c r="H752" s="191" t="s">
        <v>3923</v>
      </c>
      <c r="I752" s="7" t="s">
        <v>79</v>
      </c>
      <c r="J752" s="105" t="s">
        <v>7665</v>
      </c>
      <c r="K752" s="266">
        <f t="shared" si="171"/>
        <v>2020</v>
      </c>
      <c r="L752" s="390" t="s">
        <v>5885</v>
      </c>
      <c r="M752" s="390" t="s">
        <v>7574</v>
      </c>
      <c r="N752" s="32" t="s">
        <v>2191</v>
      </c>
      <c r="O752" s="32" t="s">
        <v>2219</v>
      </c>
      <c r="P752" s="278" t="s">
        <v>2232</v>
      </c>
      <c r="Q752" s="233"/>
      <c r="R752" s="75">
        <v>2401</v>
      </c>
      <c r="S752" s="75"/>
      <c r="T752" s="75">
        <v>2401</v>
      </c>
      <c r="U752" s="200">
        <v>969</v>
      </c>
      <c r="V752" s="287">
        <f t="shared" ca="1" si="172"/>
        <v>10</v>
      </c>
      <c r="W752" s="75">
        <f t="shared" ca="1" si="173"/>
        <v>11305</v>
      </c>
      <c r="X752" s="200">
        <f t="shared" ca="1" si="169"/>
        <v>12737</v>
      </c>
      <c r="Y752" s="1">
        <v>0</v>
      </c>
      <c r="Z752" s="1"/>
      <c r="AA752" s="219"/>
      <c r="AB752" s="302" t="s">
        <v>6710</v>
      </c>
      <c r="AC752" s="308">
        <v>43535</v>
      </c>
      <c r="AD752" s="309">
        <v>0.25</v>
      </c>
      <c r="AE752" s="302" t="s">
        <v>7510</v>
      </c>
      <c r="AF752">
        <f t="shared" si="163"/>
        <v>0</v>
      </c>
    </row>
    <row r="753" spans="1:32" ht="51.75" hidden="1" x14ac:dyDescent="0.25">
      <c r="A753" s="322" t="s">
        <v>2233</v>
      </c>
      <c r="B753" s="93" t="str">
        <f t="shared" si="170"/>
        <v>YES</v>
      </c>
      <c r="C753" s="93" t="s">
        <v>5503</v>
      </c>
      <c r="D753" s="4">
        <v>39618</v>
      </c>
      <c r="E753" s="2">
        <v>39692</v>
      </c>
      <c r="F753" s="2">
        <v>44075</v>
      </c>
      <c r="G753" s="6">
        <v>606.29</v>
      </c>
      <c r="H753" s="191" t="s">
        <v>3923</v>
      </c>
      <c r="I753" s="7" t="s">
        <v>79</v>
      </c>
      <c r="J753" s="105" t="s">
        <v>7665</v>
      </c>
      <c r="K753" s="266">
        <f t="shared" si="171"/>
        <v>2020</v>
      </c>
      <c r="L753" s="390" t="s">
        <v>5885</v>
      </c>
      <c r="M753" s="390" t="s">
        <v>7574</v>
      </c>
      <c r="N753" s="32" t="s">
        <v>2191</v>
      </c>
      <c r="O753" s="32" t="s">
        <v>2219</v>
      </c>
      <c r="P753" s="278" t="s">
        <v>2234</v>
      </c>
      <c r="Q753" s="233"/>
      <c r="R753" s="75">
        <v>2264.5</v>
      </c>
      <c r="S753" s="75"/>
      <c r="T753" s="75">
        <v>2264.5</v>
      </c>
      <c r="U753" s="200">
        <v>910.5</v>
      </c>
      <c r="V753" s="287">
        <f t="shared" ca="1" si="172"/>
        <v>10</v>
      </c>
      <c r="W753" s="75">
        <f t="shared" ca="1" si="173"/>
        <v>10622.5</v>
      </c>
      <c r="X753" s="200">
        <f t="shared" ca="1" si="169"/>
        <v>11976.5</v>
      </c>
      <c r="Y753" s="1">
        <v>0</v>
      </c>
      <c r="Z753" s="1"/>
      <c r="AA753" s="219"/>
      <c r="AB753" s="302" t="s">
        <v>6711</v>
      </c>
      <c r="AC753" s="308">
        <v>43535</v>
      </c>
      <c r="AD753" s="309">
        <v>0.25</v>
      </c>
      <c r="AE753" s="302" t="s">
        <v>7510</v>
      </c>
      <c r="AF753">
        <f t="shared" si="163"/>
        <v>0</v>
      </c>
    </row>
    <row r="754" spans="1:32" ht="39" hidden="1" x14ac:dyDescent="0.25">
      <c r="A754" s="322" t="s">
        <v>2235</v>
      </c>
      <c r="B754" s="93" t="str">
        <f t="shared" si="170"/>
        <v>YES</v>
      </c>
      <c r="C754" s="93" t="s">
        <v>5503</v>
      </c>
      <c r="D754" s="4">
        <v>39618</v>
      </c>
      <c r="E754" s="2">
        <v>39692</v>
      </c>
      <c r="F754" s="2">
        <v>44075</v>
      </c>
      <c r="G754" s="6">
        <v>647.22</v>
      </c>
      <c r="H754" s="191" t="s">
        <v>3923</v>
      </c>
      <c r="I754" s="7" t="s">
        <v>79</v>
      </c>
      <c r="J754" s="105" t="s">
        <v>7665</v>
      </c>
      <c r="K754" s="266">
        <f t="shared" si="171"/>
        <v>2020</v>
      </c>
      <c r="L754" s="390" t="s">
        <v>5885</v>
      </c>
      <c r="M754" s="390" t="s">
        <v>7574</v>
      </c>
      <c r="N754" s="32" t="s">
        <v>2191</v>
      </c>
      <c r="O754" s="32" t="s">
        <v>2219</v>
      </c>
      <c r="P754" s="278" t="s">
        <v>2236</v>
      </c>
      <c r="Q754" s="233"/>
      <c r="R754" s="75">
        <v>2408</v>
      </c>
      <c r="S754" s="75"/>
      <c r="T754" s="75">
        <v>2408</v>
      </c>
      <c r="U754" s="200">
        <v>972</v>
      </c>
      <c r="V754" s="287">
        <f t="shared" ca="1" si="172"/>
        <v>10</v>
      </c>
      <c r="W754" s="75">
        <f t="shared" ca="1" si="173"/>
        <v>11340</v>
      </c>
      <c r="X754" s="200">
        <f t="shared" ca="1" si="169"/>
        <v>12776</v>
      </c>
      <c r="Y754" s="1">
        <v>0</v>
      </c>
      <c r="Z754" s="1"/>
      <c r="AA754" s="219"/>
      <c r="AB754" s="302" t="s">
        <v>6712</v>
      </c>
      <c r="AC754" s="308">
        <v>43535</v>
      </c>
      <c r="AD754" s="309">
        <v>0.25</v>
      </c>
      <c r="AE754" s="302" t="s">
        <v>7510</v>
      </c>
      <c r="AF754">
        <f t="shared" si="163"/>
        <v>0</v>
      </c>
    </row>
    <row r="755" spans="1:32" ht="51.75" hidden="1" x14ac:dyDescent="0.25">
      <c r="A755" s="322" t="s">
        <v>2237</v>
      </c>
      <c r="B755" s="93" t="str">
        <f t="shared" si="170"/>
        <v>YES</v>
      </c>
      <c r="C755" s="93" t="s">
        <v>5503</v>
      </c>
      <c r="D755" s="4">
        <v>39618</v>
      </c>
      <c r="E755" s="2">
        <v>39692</v>
      </c>
      <c r="F755" s="2">
        <v>44075</v>
      </c>
      <c r="G755" s="6">
        <v>489.3</v>
      </c>
      <c r="H755" s="191" t="s">
        <v>3923</v>
      </c>
      <c r="I755" s="7" t="s">
        <v>79</v>
      </c>
      <c r="J755" s="105" t="s">
        <v>7665</v>
      </c>
      <c r="K755" s="266">
        <f t="shared" si="171"/>
        <v>2020</v>
      </c>
      <c r="L755" s="390" t="s">
        <v>5885</v>
      </c>
      <c r="M755" s="390" t="s">
        <v>7574</v>
      </c>
      <c r="N755" s="32" t="s">
        <v>2191</v>
      </c>
      <c r="O755" s="32" t="s">
        <v>2219</v>
      </c>
      <c r="P755" s="278" t="s">
        <v>2238</v>
      </c>
      <c r="Q755" s="233"/>
      <c r="R755" s="75">
        <v>1855</v>
      </c>
      <c r="S755" s="75"/>
      <c r="T755" s="75">
        <v>1855</v>
      </c>
      <c r="U755" s="200">
        <v>735</v>
      </c>
      <c r="V755" s="287">
        <f t="shared" ca="1" si="172"/>
        <v>10</v>
      </c>
      <c r="W755" s="75">
        <f t="shared" ca="1" si="173"/>
        <v>8575</v>
      </c>
      <c r="X755" s="200">
        <f t="shared" ca="1" si="169"/>
        <v>9695</v>
      </c>
      <c r="Y755" s="1">
        <v>0</v>
      </c>
      <c r="Z755" s="1"/>
      <c r="AA755" s="219"/>
      <c r="AB755" s="302" t="s">
        <v>6713</v>
      </c>
      <c r="AC755" s="308">
        <v>43535</v>
      </c>
      <c r="AD755" s="309">
        <v>0.25</v>
      </c>
      <c r="AE755" s="302" t="s">
        <v>7510</v>
      </c>
      <c r="AF755">
        <f t="shared" si="163"/>
        <v>0</v>
      </c>
    </row>
    <row r="756" spans="1:32" ht="39" hidden="1" x14ac:dyDescent="0.25">
      <c r="A756" s="322" t="s">
        <v>2239</v>
      </c>
      <c r="B756" s="93" t="str">
        <f t="shared" si="170"/>
        <v>YES</v>
      </c>
      <c r="C756" s="93" t="s">
        <v>5503</v>
      </c>
      <c r="D756" s="4">
        <v>39618</v>
      </c>
      <c r="E756" s="2">
        <v>39692</v>
      </c>
      <c r="F756" s="2">
        <v>44075</v>
      </c>
      <c r="G756" s="6">
        <v>644.72</v>
      </c>
      <c r="H756" s="191" t="s">
        <v>3923</v>
      </c>
      <c r="I756" s="7" t="s">
        <v>79</v>
      </c>
      <c r="J756" s="105" t="s">
        <v>7665</v>
      </c>
      <c r="K756" s="266">
        <f t="shared" si="171"/>
        <v>2020</v>
      </c>
      <c r="L756" s="390" t="s">
        <v>5885</v>
      </c>
      <c r="M756" s="390" t="s">
        <v>7574</v>
      </c>
      <c r="N756" s="32" t="s">
        <v>2191</v>
      </c>
      <c r="O756" s="32" t="s">
        <v>2219</v>
      </c>
      <c r="P756" s="278" t="s">
        <v>2240</v>
      </c>
      <c r="Q756" s="233"/>
      <c r="R756" s="75">
        <v>2397.5</v>
      </c>
      <c r="S756" s="75"/>
      <c r="T756" s="75">
        <v>2397.5</v>
      </c>
      <c r="U756" s="200">
        <v>967.5</v>
      </c>
      <c r="V756" s="287">
        <f t="shared" ca="1" si="172"/>
        <v>10</v>
      </c>
      <c r="W756" s="75">
        <f t="shared" ca="1" si="173"/>
        <v>11287.5</v>
      </c>
      <c r="X756" s="200">
        <f t="shared" ca="1" si="169"/>
        <v>12717.5</v>
      </c>
      <c r="Y756" s="1">
        <v>0</v>
      </c>
      <c r="Z756" s="1"/>
      <c r="AA756" s="219"/>
      <c r="AB756" s="302" t="s">
        <v>7487</v>
      </c>
      <c r="AC756" s="308">
        <v>43535</v>
      </c>
      <c r="AD756" s="309">
        <v>0.25</v>
      </c>
      <c r="AE756" s="302" t="s">
        <v>7510</v>
      </c>
      <c r="AF756">
        <f t="shared" si="163"/>
        <v>0</v>
      </c>
    </row>
    <row r="757" spans="1:32" ht="39" hidden="1" x14ac:dyDescent="0.25">
      <c r="A757" s="322" t="s">
        <v>2241</v>
      </c>
      <c r="B757" s="93" t="str">
        <f t="shared" si="170"/>
        <v>YES</v>
      </c>
      <c r="C757" s="93" t="s">
        <v>5503</v>
      </c>
      <c r="D757" s="4">
        <v>39618</v>
      </c>
      <c r="E757" s="2">
        <v>39692</v>
      </c>
      <c r="F757" s="2">
        <v>44075</v>
      </c>
      <c r="G757" s="6">
        <v>648.96</v>
      </c>
      <c r="H757" s="191" t="s">
        <v>3923</v>
      </c>
      <c r="I757" s="7" t="s">
        <v>79</v>
      </c>
      <c r="J757" s="105" t="s">
        <v>7665</v>
      </c>
      <c r="K757" s="266">
        <f t="shared" si="171"/>
        <v>2020</v>
      </c>
      <c r="L757" s="390" t="s">
        <v>5885</v>
      </c>
      <c r="M757" s="390" t="s">
        <v>7574</v>
      </c>
      <c r="N757" s="32" t="s">
        <v>2191</v>
      </c>
      <c r="O757" s="32" t="s">
        <v>2219</v>
      </c>
      <c r="P757" s="278" t="s">
        <v>2242</v>
      </c>
      <c r="Q757" s="233"/>
      <c r="R757" s="75">
        <v>2411.5</v>
      </c>
      <c r="S757" s="75"/>
      <c r="T757" s="75">
        <v>2411.5</v>
      </c>
      <c r="U757" s="200">
        <v>973.5</v>
      </c>
      <c r="V757" s="287">
        <f t="shared" ca="1" si="172"/>
        <v>10</v>
      </c>
      <c r="W757" s="75">
        <f t="shared" ca="1" si="173"/>
        <v>11357.5</v>
      </c>
      <c r="X757" s="200">
        <f t="shared" ca="1" si="169"/>
        <v>12795.5</v>
      </c>
      <c r="Y757" s="1">
        <v>0</v>
      </c>
      <c r="Z757" s="1"/>
      <c r="AA757" s="219"/>
      <c r="AB757" s="302" t="s">
        <v>6714</v>
      </c>
      <c r="AC757" s="308">
        <v>43535</v>
      </c>
      <c r="AD757" s="309">
        <v>0.25</v>
      </c>
      <c r="AE757" s="302" t="s">
        <v>7510</v>
      </c>
      <c r="AF757">
        <f t="shared" si="163"/>
        <v>0</v>
      </c>
    </row>
    <row r="758" spans="1:32" ht="39" hidden="1" x14ac:dyDescent="0.25">
      <c r="A758" s="322" t="s">
        <v>2243</v>
      </c>
      <c r="B758" s="93" t="str">
        <f t="shared" si="170"/>
        <v>YES</v>
      </c>
      <c r="C758" s="93" t="s">
        <v>5503</v>
      </c>
      <c r="D758" s="4">
        <v>39618</v>
      </c>
      <c r="E758" s="2">
        <v>39692</v>
      </c>
      <c r="F758" s="2">
        <v>44075</v>
      </c>
      <c r="G758" s="6">
        <v>641.12</v>
      </c>
      <c r="H758" s="191" t="s">
        <v>3923</v>
      </c>
      <c r="I758" s="7" t="s">
        <v>79</v>
      </c>
      <c r="J758" s="105" t="s">
        <v>7665</v>
      </c>
      <c r="K758" s="266">
        <f t="shared" si="171"/>
        <v>2020</v>
      </c>
      <c r="L758" s="390" t="s">
        <v>5885</v>
      </c>
      <c r="M758" s="390" t="s">
        <v>7574</v>
      </c>
      <c r="N758" s="32" t="s">
        <v>2191</v>
      </c>
      <c r="O758" s="32" t="s">
        <v>2219</v>
      </c>
      <c r="P758" s="278" t="s">
        <v>2244</v>
      </c>
      <c r="Q758" s="233"/>
      <c r="R758" s="75">
        <v>2387</v>
      </c>
      <c r="S758" s="75">
        <v>5136</v>
      </c>
      <c r="T758" s="75">
        <v>7523</v>
      </c>
      <c r="U758" s="200">
        <v>963</v>
      </c>
      <c r="V758" s="287">
        <f t="shared" ca="1" si="172"/>
        <v>10</v>
      </c>
      <c r="W758" s="75">
        <f t="shared" ca="1" si="173"/>
        <v>11235</v>
      </c>
      <c r="X758" s="200">
        <f t="shared" ca="1" si="169"/>
        <v>17795</v>
      </c>
      <c r="Y758" s="1">
        <v>0</v>
      </c>
      <c r="Z758" s="1"/>
      <c r="AA758" s="219"/>
      <c r="AB758" s="302" t="s">
        <v>6715</v>
      </c>
      <c r="AC758" s="308">
        <v>43535</v>
      </c>
      <c r="AD758" s="309">
        <v>0.25</v>
      </c>
      <c r="AE758" s="302" t="s">
        <v>7510</v>
      </c>
      <c r="AF758">
        <f t="shared" si="163"/>
        <v>0</v>
      </c>
    </row>
    <row r="759" spans="1:32" ht="39" hidden="1" x14ac:dyDescent="0.25">
      <c r="A759" s="322" t="s">
        <v>2245</v>
      </c>
      <c r="B759" s="93" t="str">
        <f t="shared" si="170"/>
        <v>YES</v>
      </c>
      <c r="C759" s="93" t="s">
        <v>5503</v>
      </c>
      <c r="D759" s="4">
        <v>39618</v>
      </c>
      <c r="E759" s="2">
        <v>39692</v>
      </c>
      <c r="F759" s="2">
        <v>44075</v>
      </c>
      <c r="G759" s="6">
        <v>646</v>
      </c>
      <c r="H759" s="191" t="s">
        <v>3923</v>
      </c>
      <c r="I759" s="7" t="s">
        <v>79</v>
      </c>
      <c r="J759" s="105" t="s">
        <v>7665</v>
      </c>
      <c r="K759" s="266">
        <f t="shared" si="171"/>
        <v>2020</v>
      </c>
      <c r="L759" s="390" t="s">
        <v>5885</v>
      </c>
      <c r="M759" s="390" t="s">
        <v>7574</v>
      </c>
      <c r="N759" s="32" t="s">
        <v>2191</v>
      </c>
      <c r="O759" s="32" t="s">
        <v>2219</v>
      </c>
      <c r="P759" s="278" t="s">
        <v>2246</v>
      </c>
      <c r="Q759" s="233"/>
      <c r="R759" s="75">
        <v>2401</v>
      </c>
      <c r="S759" s="75">
        <v>4522</v>
      </c>
      <c r="T759" s="75">
        <v>6923</v>
      </c>
      <c r="U759" s="200">
        <v>969</v>
      </c>
      <c r="V759" s="287">
        <f t="shared" ca="1" si="172"/>
        <v>10</v>
      </c>
      <c r="W759" s="75">
        <f t="shared" ca="1" si="173"/>
        <v>11305</v>
      </c>
      <c r="X759" s="200">
        <f t="shared" ca="1" si="169"/>
        <v>17259</v>
      </c>
      <c r="Y759" s="1">
        <v>0</v>
      </c>
      <c r="Z759" s="1"/>
      <c r="AA759" s="219"/>
      <c r="AB759" s="302" t="s">
        <v>6716</v>
      </c>
      <c r="AC759" s="308">
        <v>43535</v>
      </c>
      <c r="AD759" s="309">
        <v>0.25</v>
      </c>
      <c r="AE759" s="302" t="s">
        <v>7510</v>
      </c>
      <c r="AF759">
        <f t="shared" si="163"/>
        <v>0</v>
      </c>
    </row>
    <row r="760" spans="1:32" ht="39" hidden="1" x14ac:dyDescent="0.25">
      <c r="A760" s="322" t="s">
        <v>2247</v>
      </c>
      <c r="B760" s="93" t="str">
        <f t="shared" si="170"/>
        <v>YES</v>
      </c>
      <c r="C760" s="93" t="s">
        <v>5503</v>
      </c>
      <c r="D760" s="4">
        <v>39618</v>
      </c>
      <c r="E760" s="2">
        <v>39692</v>
      </c>
      <c r="F760" s="2">
        <v>44075</v>
      </c>
      <c r="G760" s="6">
        <v>482.34</v>
      </c>
      <c r="H760" s="191" t="s">
        <v>3923</v>
      </c>
      <c r="I760" s="7" t="s">
        <v>79</v>
      </c>
      <c r="J760" s="105" t="s">
        <v>7665</v>
      </c>
      <c r="K760" s="266">
        <f t="shared" si="171"/>
        <v>2020</v>
      </c>
      <c r="L760" s="390" t="s">
        <v>5885</v>
      </c>
      <c r="M760" s="390" t="s">
        <v>7574</v>
      </c>
      <c r="N760" s="32" t="s">
        <v>2191</v>
      </c>
      <c r="O760" s="32" t="s">
        <v>2219</v>
      </c>
      <c r="P760" s="278" t="s">
        <v>2248</v>
      </c>
      <c r="Q760" s="233"/>
      <c r="R760" s="75">
        <v>1830.5</v>
      </c>
      <c r="S760" s="75">
        <v>1932</v>
      </c>
      <c r="T760" s="75">
        <v>3762.5</v>
      </c>
      <c r="U760" s="200">
        <v>724.5</v>
      </c>
      <c r="V760" s="287">
        <f t="shared" ca="1" si="172"/>
        <v>10</v>
      </c>
      <c r="W760" s="75">
        <f t="shared" ca="1" si="173"/>
        <v>8452.5</v>
      </c>
      <c r="X760" s="200">
        <f t="shared" ca="1" si="169"/>
        <v>11490.5</v>
      </c>
      <c r="Y760" s="1">
        <v>0</v>
      </c>
      <c r="Z760" s="1"/>
      <c r="AA760" s="219"/>
      <c r="AB760" s="302" t="s">
        <v>6717</v>
      </c>
      <c r="AC760" s="308">
        <v>43535</v>
      </c>
      <c r="AD760" s="309">
        <v>0.25</v>
      </c>
      <c r="AE760" s="302" t="s">
        <v>7510</v>
      </c>
      <c r="AF760">
        <f t="shared" si="163"/>
        <v>0</v>
      </c>
    </row>
    <row r="761" spans="1:32" ht="39" hidden="1" x14ac:dyDescent="0.25">
      <c r="A761" s="322" t="s">
        <v>2249</v>
      </c>
      <c r="B761" s="93" t="str">
        <f t="shared" si="170"/>
        <v>YES</v>
      </c>
      <c r="C761" s="93" t="s">
        <v>5503</v>
      </c>
      <c r="D761" s="4">
        <v>39618</v>
      </c>
      <c r="E761" s="2">
        <v>39692</v>
      </c>
      <c r="F761" s="2">
        <v>44075</v>
      </c>
      <c r="G761" s="6">
        <v>641.44000000000005</v>
      </c>
      <c r="H761" s="191" t="s">
        <v>3923</v>
      </c>
      <c r="I761" s="7" t="s">
        <v>79</v>
      </c>
      <c r="J761" s="105" t="s">
        <v>7665</v>
      </c>
      <c r="K761" s="266">
        <f t="shared" si="171"/>
        <v>2020</v>
      </c>
      <c r="L761" s="390" t="s">
        <v>5885</v>
      </c>
      <c r="M761" s="390" t="s">
        <v>7574</v>
      </c>
      <c r="N761" s="32" t="s">
        <v>2191</v>
      </c>
      <c r="O761" s="32" t="s">
        <v>2219</v>
      </c>
      <c r="P761" s="278" t="s">
        <v>2250</v>
      </c>
      <c r="Q761" s="233"/>
      <c r="R761" s="75">
        <v>2387</v>
      </c>
      <c r="S761" s="75">
        <v>3210</v>
      </c>
      <c r="T761" s="75">
        <v>5597</v>
      </c>
      <c r="U761" s="200">
        <v>963</v>
      </c>
      <c r="V761" s="287">
        <f t="shared" ca="1" si="172"/>
        <v>10</v>
      </c>
      <c r="W761" s="75">
        <f t="shared" ca="1" si="173"/>
        <v>11235</v>
      </c>
      <c r="X761" s="200">
        <f t="shared" ca="1" si="169"/>
        <v>15869</v>
      </c>
      <c r="Y761" s="1">
        <v>0</v>
      </c>
      <c r="Z761" s="1"/>
      <c r="AA761" s="219"/>
      <c r="AB761" s="302" t="s">
        <v>6718</v>
      </c>
      <c r="AC761" s="308">
        <v>43535</v>
      </c>
      <c r="AD761" s="309">
        <v>0.25</v>
      </c>
      <c r="AE761" s="302" t="s">
        <v>7510</v>
      </c>
      <c r="AF761">
        <f t="shared" si="163"/>
        <v>0</v>
      </c>
    </row>
    <row r="762" spans="1:32" ht="39" hidden="1" x14ac:dyDescent="0.25">
      <c r="A762" s="322" t="s">
        <v>2251</v>
      </c>
      <c r="B762" s="93" t="str">
        <f t="shared" ref="B762:B787" si="174">IF(COUNTIF(GIS,A762),"YES","NO")</f>
        <v>YES</v>
      </c>
      <c r="C762" s="93" t="s">
        <v>5503</v>
      </c>
      <c r="D762" s="4">
        <v>39618</v>
      </c>
      <c r="E762" s="2">
        <v>39692</v>
      </c>
      <c r="F762" s="2">
        <v>44075</v>
      </c>
      <c r="G762" s="6">
        <v>649.76</v>
      </c>
      <c r="H762" s="191" t="s">
        <v>3923</v>
      </c>
      <c r="I762" s="7" t="s">
        <v>79</v>
      </c>
      <c r="J762" s="105" t="s">
        <v>7665</v>
      </c>
      <c r="K762" s="266">
        <f t="shared" si="171"/>
        <v>2020</v>
      </c>
      <c r="L762" s="390" t="s">
        <v>5885</v>
      </c>
      <c r="M762" s="390" t="s">
        <v>7574</v>
      </c>
      <c r="N762" s="32" t="s">
        <v>2191</v>
      </c>
      <c r="O762" s="32" t="s">
        <v>2219</v>
      </c>
      <c r="P762" s="278" t="s">
        <v>2252</v>
      </c>
      <c r="Q762" s="233"/>
      <c r="R762" s="75">
        <v>2415</v>
      </c>
      <c r="S762" s="75">
        <v>2600</v>
      </c>
      <c r="T762" s="75">
        <v>5015</v>
      </c>
      <c r="U762" s="200">
        <v>975</v>
      </c>
      <c r="V762" s="287">
        <f t="shared" ca="1" si="172"/>
        <v>10</v>
      </c>
      <c r="W762" s="75">
        <f t="shared" ca="1" si="173"/>
        <v>11375</v>
      </c>
      <c r="X762" s="200">
        <f t="shared" ca="1" si="169"/>
        <v>15415</v>
      </c>
      <c r="Y762" s="1">
        <v>0</v>
      </c>
      <c r="Z762" s="1"/>
      <c r="AA762" s="219"/>
      <c r="AB762" s="302" t="s">
        <v>6719</v>
      </c>
      <c r="AC762" s="308">
        <v>43535</v>
      </c>
      <c r="AD762" s="309">
        <v>0.25</v>
      </c>
      <c r="AE762" s="302" t="s">
        <v>7510</v>
      </c>
      <c r="AF762">
        <f t="shared" si="163"/>
        <v>0</v>
      </c>
    </row>
    <row r="763" spans="1:32" ht="39" hidden="1" x14ac:dyDescent="0.25">
      <c r="A763" s="322" t="s">
        <v>2253</v>
      </c>
      <c r="B763" s="93" t="str">
        <f t="shared" si="174"/>
        <v>YES</v>
      </c>
      <c r="C763" s="93" t="s">
        <v>5503</v>
      </c>
      <c r="D763" s="4">
        <v>39618</v>
      </c>
      <c r="E763" s="2">
        <v>39692</v>
      </c>
      <c r="F763" s="2">
        <v>44075</v>
      </c>
      <c r="G763" s="6">
        <v>642.64</v>
      </c>
      <c r="H763" s="191" t="s">
        <v>3923</v>
      </c>
      <c r="I763" s="7" t="s">
        <v>79</v>
      </c>
      <c r="J763" s="105" t="s">
        <v>7665</v>
      </c>
      <c r="K763" s="266">
        <f t="shared" si="171"/>
        <v>2020</v>
      </c>
      <c r="L763" s="390" t="s">
        <v>5885</v>
      </c>
      <c r="M763" s="390" t="s">
        <v>7574</v>
      </c>
      <c r="N763" s="32" t="s">
        <v>2191</v>
      </c>
      <c r="O763" s="32" t="s">
        <v>2219</v>
      </c>
      <c r="P763" s="278" t="s">
        <v>2254</v>
      </c>
      <c r="Q763" s="233"/>
      <c r="R763" s="75">
        <v>2390.5</v>
      </c>
      <c r="S763" s="75"/>
      <c r="T763" s="75">
        <v>2390.5</v>
      </c>
      <c r="U763" s="200">
        <v>964.5</v>
      </c>
      <c r="V763" s="287">
        <f t="shared" ca="1" si="172"/>
        <v>10</v>
      </c>
      <c r="W763" s="75">
        <f t="shared" ca="1" si="173"/>
        <v>11252.5</v>
      </c>
      <c r="X763" s="200">
        <f t="shared" ca="1" si="169"/>
        <v>12678.5</v>
      </c>
      <c r="Y763" s="1">
        <v>0</v>
      </c>
      <c r="Z763" s="1"/>
      <c r="AA763" s="219"/>
      <c r="AB763" s="302" t="s">
        <v>6720</v>
      </c>
      <c r="AC763" s="308">
        <v>43535</v>
      </c>
      <c r="AD763" s="309">
        <v>0.25</v>
      </c>
      <c r="AE763" s="302" t="s">
        <v>7510</v>
      </c>
      <c r="AF763">
        <f t="shared" si="163"/>
        <v>0</v>
      </c>
    </row>
    <row r="764" spans="1:32" ht="39" hidden="1" x14ac:dyDescent="0.25">
      <c r="A764" s="322" t="s">
        <v>2255</v>
      </c>
      <c r="B764" s="93" t="str">
        <f t="shared" si="174"/>
        <v>YES</v>
      </c>
      <c r="C764" s="93" t="s">
        <v>5503</v>
      </c>
      <c r="D764" s="4">
        <v>39618</v>
      </c>
      <c r="E764" s="2">
        <v>39692</v>
      </c>
      <c r="F764" s="2">
        <v>44075</v>
      </c>
      <c r="G764" s="6">
        <v>643.52</v>
      </c>
      <c r="H764" s="191" t="s">
        <v>3923</v>
      </c>
      <c r="I764" s="7" t="s">
        <v>79</v>
      </c>
      <c r="J764" s="105" t="s">
        <v>7665</v>
      </c>
      <c r="K764" s="266">
        <f t="shared" si="171"/>
        <v>2020</v>
      </c>
      <c r="L764" s="390" t="s">
        <v>5885</v>
      </c>
      <c r="M764" s="390" t="s">
        <v>7574</v>
      </c>
      <c r="N764" s="32" t="s">
        <v>2191</v>
      </c>
      <c r="O764" s="32" t="s">
        <v>2219</v>
      </c>
      <c r="P764" s="278" t="s">
        <v>2256</v>
      </c>
      <c r="Q764" s="233"/>
      <c r="R764" s="75">
        <v>2394</v>
      </c>
      <c r="S764" s="75"/>
      <c r="T764" s="75">
        <v>2394</v>
      </c>
      <c r="U764" s="200">
        <v>966</v>
      </c>
      <c r="V764" s="287">
        <f t="shared" ca="1" si="172"/>
        <v>10</v>
      </c>
      <c r="W764" s="75">
        <f t="shared" ca="1" si="173"/>
        <v>11270</v>
      </c>
      <c r="X764" s="200">
        <f t="shared" ca="1" si="169"/>
        <v>12698</v>
      </c>
      <c r="Y764" s="1">
        <v>0</v>
      </c>
      <c r="Z764" s="1"/>
      <c r="AA764" s="219"/>
      <c r="AB764" s="302" t="s">
        <v>6721</v>
      </c>
      <c r="AC764" s="308">
        <v>43535</v>
      </c>
      <c r="AD764" s="309">
        <v>0.25</v>
      </c>
      <c r="AE764" s="302" t="s">
        <v>7510</v>
      </c>
      <c r="AF764">
        <f t="shared" si="163"/>
        <v>0</v>
      </c>
    </row>
    <row r="765" spans="1:32" ht="51.75" hidden="1" x14ac:dyDescent="0.25">
      <c r="A765" s="322" t="s">
        <v>2257</v>
      </c>
      <c r="B765" s="93" t="str">
        <f t="shared" si="174"/>
        <v>YES</v>
      </c>
      <c r="C765" s="93" t="s">
        <v>5503</v>
      </c>
      <c r="D765" s="4">
        <v>39618</v>
      </c>
      <c r="E765" s="2">
        <v>39692</v>
      </c>
      <c r="F765" s="2">
        <v>44075</v>
      </c>
      <c r="G765" s="6">
        <v>601.12</v>
      </c>
      <c r="H765" s="191" t="s">
        <v>3923</v>
      </c>
      <c r="I765" s="7" t="s">
        <v>79</v>
      </c>
      <c r="J765" s="105" t="s">
        <v>7665</v>
      </c>
      <c r="K765" s="266">
        <f t="shared" si="171"/>
        <v>2020</v>
      </c>
      <c r="L765" s="390" t="s">
        <v>5885</v>
      </c>
      <c r="M765" s="390" t="s">
        <v>7574</v>
      </c>
      <c r="N765" s="32" t="s">
        <v>2191</v>
      </c>
      <c r="O765" s="32" t="s">
        <v>2219</v>
      </c>
      <c r="P765" s="278" t="s">
        <v>2258</v>
      </c>
      <c r="Q765" s="233"/>
      <c r="R765" s="75">
        <v>2247</v>
      </c>
      <c r="S765" s="75"/>
      <c r="T765" s="75">
        <v>2247</v>
      </c>
      <c r="U765" s="200">
        <v>903</v>
      </c>
      <c r="V765" s="287">
        <f t="shared" ca="1" si="172"/>
        <v>10</v>
      </c>
      <c r="W765" s="75">
        <f t="shared" ca="1" si="173"/>
        <v>10535</v>
      </c>
      <c r="X765" s="200">
        <f t="shared" ca="1" si="169"/>
        <v>11879</v>
      </c>
      <c r="Y765" s="1">
        <v>0</v>
      </c>
      <c r="Z765" s="1"/>
      <c r="AA765" s="219"/>
      <c r="AB765" s="302" t="s">
        <v>6722</v>
      </c>
      <c r="AC765" s="308">
        <v>43535</v>
      </c>
      <c r="AD765" s="309">
        <v>0.25</v>
      </c>
      <c r="AE765" s="302" t="s">
        <v>7510</v>
      </c>
      <c r="AF765">
        <f t="shared" si="163"/>
        <v>0</v>
      </c>
    </row>
    <row r="766" spans="1:32" ht="39" hidden="1" x14ac:dyDescent="0.25">
      <c r="A766" s="322" t="s">
        <v>2259</v>
      </c>
      <c r="B766" s="93" t="str">
        <f t="shared" si="174"/>
        <v>YES</v>
      </c>
      <c r="C766" s="93" t="s">
        <v>5503</v>
      </c>
      <c r="D766" s="4">
        <v>39618</v>
      </c>
      <c r="E766" s="2">
        <v>39692</v>
      </c>
      <c r="F766" s="2">
        <v>44075</v>
      </c>
      <c r="G766" s="6">
        <v>639.6</v>
      </c>
      <c r="H766" s="191" t="s">
        <v>3923</v>
      </c>
      <c r="I766" s="7" t="s">
        <v>79</v>
      </c>
      <c r="J766" s="105" t="s">
        <v>7665</v>
      </c>
      <c r="K766" s="266">
        <f t="shared" si="171"/>
        <v>2020</v>
      </c>
      <c r="L766" s="390" t="s">
        <v>5885</v>
      </c>
      <c r="M766" s="390" t="s">
        <v>7574</v>
      </c>
      <c r="N766" s="32" t="s">
        <v>2191</v>
      </c>
      <c r="O766" s="32" t="s">
        <v>2219</v>
      </c>
      <c r="P766" s="278" t="s">
        <v>2260</v>
      </c>
      <c r="Q766" s="233"/>
      <c r="R766" s="75">
        <v>2380</v>
      </c>
      <c r="S766" s="75"/>
      <c r="T766" s="75">
        <v>2380</v>
      </c>
      <c r="U766" s="200">
        <v>960</v>
      </c>
      <c r="V766" s="287">
        <f t="shared" ca="1" si="172"/>
        <v>10</v>
      </c>
      <c r="W766" s="75">
        <f t="shared" ca="1" si="173"/>
        <v>11200</v>
      </c>
      <c r="X766" s="200">
        <f t="shared" ca="1" si="169"/>
        <v>12620</v>
      </c>
      <c r="Y766" s="1">
        <v>0</v>
      </c>
      <c r="Z766" s="1"/>
      <c r="AA766" s="219"/>
      <c r="AB766" s="302" t="s">
        <v>6723</v>
      </c>
      <c r="AC766" s="308">
        <v>43535</v>
      </c>
      <c r="AD766" s="309">
        <v>0.25</v>
      </c>
      <c r="AE766" s="302" t="s">
        <v>7510</v>
      </c>
      <c r="AF766">
        <f t="shared" si="163"/>
        <v>0</v>
      </c>
    </row>
    <row r="767" spans="1:32" ht="39" hidden="1" x14ac:dyDescent="0.25">
      <c r="A767" s="322" t="s">
        <v>2261</v>
      </c>
      <c r="B767" s="93" t="str">
        <f t="shared" si="174"/>
        <v>YES</v>
      </c>
      <c r="C767" s="93" t="s">
        <v>5503</v>
      </c>
      <c r="D767" s="4">
        <v>39618</v>
      </c>
      <c r="E767" s="2">
        <v>39692</v>
      </c>
      <c r="F767" s="2">
        <v>44075</v>
      </c>
      <c r="G767" s="6">
        <v>641.34</v>
      </c>
      <c r="H767" s="191" t="s">
        <v>3923</v>
      </c>
      <c r="I767" s="7" t="s">
        <v>79</v>
      </c>
      <c r="J767" s="105" t="s">
        <v>7665</v>
      </c>
      <c r="K767" s="266">
        <f t="shared" si="171"/>
        <v>2020</v>
      </c>
      <c r="L767" s="390" t="s">
        <v>5885</v>
      </c>
      <c r="M767" s="390" t="s">
        <v>7574</v>
      </c>
      <c r="N767" s="32" t="s">
        <v>2191</v>
      </c>
      <c r="O767" s="32" t="s">
        <v>2219</v>
      </c>
      <c r="P767" s="278" t="s">
        <v>2262</v>
      </c>
      <c r="Q767" s="233"/>
      <c r="R767" s="75">
        <v>2387</v>
      </c>
      <c r="S767" s="75"/>
      <c r="T767" s="75">
        <v>2387</v>
      </c>
      <c r="U767" s="200">
        <v>963</v>
      </c>
      <c r="V767" s="287">
        <f t="shared" ca="1" si="172"/>
        <v>10</v>
      </c>
      <c r="W767" s="75">
        <f t="shared" ca="1" si="173"/>
        <v>11235</v>
      </c>
      <c r="X767" s="200">
        <f t="shared" ca="1" si="169"/>
        <v>12659</v>
      </c>
      <c r="Y767" s="1">
        <v>0</v>
      </c>
      <c r="Z767" s="1"/>
      <c r="AA767" s="219"/>
      <c r="AB767" s="302" t="s">
        <v>6724</v>
      </c>
      <c r="AC767" s="308">
        <v>43535</v>
      </c>
      <c r="AD767" s="309">
        <v>0.25</v>
      </c>
      <c r="AE767" s="302" t="s">
        <v>7510</v>
      </c>
      <c r="AF767">
        <f t="shared" si="163"/>
        <v>0</v>
      </c>
    </row>
    <row r="768" spans="1:32" ht="39" hidden="1" x14ac:dyDescent="0.25">
      <c r="A768" s="322" t="s">
        <v>2263</v>
      </c>
      <c r="B768" s="93" t="str">
        <f t="shared" si="174"/>
        <v>YES</v>
      </c>
      <c r="C768" s="93" t="s">
        <v>5503</v>
      </c>
      <c r="D768" s="4">
        <v>39618</v>
      </c>
      <c r="E768" s="2">
        <v>39692</v>
      </c>
      <c r="F768" s="2">
        <v>44075</v>
      </c>
      <c r="G768" s="6">
        <v>642.78</v>
      </c>
      <c r="H768" s="191" t="s">
        <v>3923</v>
      </c>
      <c r="I768" s="7" t="s">
        <v>79</v>
      </c>
      <c r="J768" s="105" t="s">
        <v>7665</v>
      </c>
      <c r="K768" s="266">
        <f t="shared" si="171"/>
        <v>2020</v>
      </c>
      <c r="L768" s="390" t="s">
        <v>5885</v>
      </c>
      <c r="M768" s="390" t="s">
        <v>7574</v>
      </c>
      <c r="N768" s="32" t="s">
        <v>2191</v>
      </c>
      <c r="O768" s="32" t="s">
        <v>2219</v>
      </c>
      <c r="P768" s="278" t="s">
        <v>2264</v>
      </c>
      <c r="Q768" s="233"/>
      <c r="R768" s="75">
        <v>2390.5</v>
      </c>
      <c r="S768" s="75"/>
      <c r="T768" s="75">
        <v>2390.5</v>
      </c>
      <c r="U768" s="200">
        <v>964.5</v>
      </c>
      <c r="V768" s="287">
        <f t="shared" ca="1" si="172"/>
        <v>10</v>
      </c>
      <c r="W768" s="75">
        <f t="shared" ca="1" si="173"/>
        <v>11252.5</v>
      </c>
      <c r="X768" s="200">
        <f t="shared" ca="1" si="169"/>
        <v>12678.5</v>
      </c>
      <c r="Y768" s="1">
        <v>0</v>
      </c>
      <c r="Z768" s="1"/>
      <c r="AA768" s="219"/>
      <c r="AB768" s="302" t="s">
        <v>6725</v>
      </c>
      <c r="AC768" s="308">
        <v>43535</v>
      </c>
      <c r="AD768" s="309">
        <v>0.25</v>
      </c>
      <c r="AE768" s="302" t="s">
        <v>7510</v>
      </c>
      <c r="AF768">
        <f t="shared" si="163"/>
        <v>0</v>
      </c>
    </row>
    <row r="769" spans="1:32" ht="39" hidden="1" x14ac:dyDescent="0.25">
      <c r="A769" s="322" t="s">
        <v>2265</v>
      </c>
      <c r="B769" s="93" t="str">
        <f t="shared" si="174"/>
        <v>YES</v>
      </c>
      <c r="C769" s="93" t="s">
        <v>5503</v>
      </c>
      <c r="D769" s="4">
        <v>39618</v>
      </c>
      <c r="E769" s="2">
        <v>39692</v>
      </c>
      <c r="F769" s="2">
        <v>44075</v>
      </c>
      <c r="G769" s="6">
        <v>407.22</v>
      </c>
      <c r="H769" s="191" t="s">
        <v>3923</v>
      </c>
      <c r="I769" s="7" t="s">
        <v>79</v>
      </c>
      <c r="J769" s="105" t="s">
        <v>7665</v>
      </c>
      <c r="K769" s="266">
        <f t="shared" si="171"/>
        <v>2020</v>
      </c>
      <c r="L769" s="390" t="s">
        <v>5885</v>
      </c>
      <c r="M769" s="390" t="s">
        <v>7574</v>
      </c>
      <c r="N769" s="32" t="s">
        <v>2191</v>
      </c>
      <c r="O769" s="32" t="s">
        <v>2219</v>
      </c>
      <c r="P769" s="278" t="s">
        <v>2266</v>
      </c>
      <c r="Q769" s="233"/>
      <c r="R769" s="75">
        <v>1568</v>
      </c>
      <c r="S769" s="75"/>
      <c r="T769" s="75">
        <v>1568</v>
      </c>
      <c r="U769" s="200">
        <v>612</v>
      </c>
      <c r="V769" s="287">
        <f t="shared" ca="1" si="172"/>
        <v>10</v>
      </c>
      <c r="W769" s="75">
        <f t="shared" ca="1" si="173"/>
        <v>7140</v>
      </c>
      <c r="X769" s="200">
        <f t="shared" ca="1" si="169"/>
        <v>8096</v>
      </c>
      <c r="Y769" s="1">
        <v>0</v>
      </c>
      <c r="Z769" s="1"/>
      <c r="AA769" s="219"/>
      <c r="AB769" s="302" t="s">
        <v>6726</v>
      </c>
      <c r="AC769" s="308">
        <v>43535</v>
      </c>
      <c r="AD769" s="309">
        <v>0.25</v>
      </c>
      <c r="AE769" s="302" t="s">
        <v>7510</v>
      </c>
      <c r="AF769">
        <f t="shared" si="163"/>
        <v>0</v>
      </c>
    </row>
    <row r="770" spans="1:32" ht="51.75" hidden="1" x14ac:dyDescent="0.25">
      <c r="A770" s="322" t="s">
        <v>2267</v>
      </c>
      <c r="B770" s="93" t="str">
        <f t="shared" si="174"/>
        <v>YES</v>
      </c>
      <c r="C770" s="93" t="s">
        <v>5503</v>
      </c>
      <c r="D770" s="4">
        <v>39618</v>
      </c>
      <c r="E770" s="2">
        <v>39692</v>
      </c>
      <c r="F770" s="2">
        <v>44075</v>
      </c>
      <c r="G770" s="6">
        <v>465.01</v>
      </c>
      <c r="H770" s="191" t="s">
        <v>3923</v>
      </c>
      <c r="I770" s="7" t="s">
        <v>79</v>
      </c>
      <c r="J770" s="105" t="s">
        <v>7665</v>
      </c>
      <c r="K770" s="266">
        <f t="shared" si="171"/>
        <v>2020</v>
      </c>
      <c r="L770" s="390" t="s">
        <v>5885</v>
      </c>
      <c r="M770" s="390" t="s">
        <v>7574</v>
      </c>
      <c r="N770" s="32" t="s">
        <v>2191</v>
      </c>
      <c r="O770" s="32" t="s">
        <v>2219</v>
      </c>
      <c r="P770" s="278" t="s">
        <v>2268</v>
      </c>
      <c r="Q770" s="233"/>
      <c r="R770" s="75">
        <v>1771</v>
      </c>
      <c r="S770" s="75"/>
      <c r="T770" s="75">
        <v>1771</v>
      </c>
      <c r="U770" s="200">
        <v>699</v>
      </c>
      <c r="V770" s="287">
        <f t="shared" ca="1" si="172"/>
        <v>10</v>
      </c>
      <c r="W770" s="75">
        <f t="shared" ca="1" si="173"/>
        <v>8155</v>
      </c>
      <c r="X770" s="200">
        <f t="shared" ca="1" si="169"/>
        <v>9227</v>
      </c>
      <c r="Y770" s="1">
        <v>0</v>
      </c>
      <c r="Z770" s="1"/>
      <c r="AA770" s="219"/>
      <c r="AB770" s="302" t="s">
        <v>6727</v>
      </c>
      <c r="AC770" s="308">
        <v>43535</v>
      </c>
      <c r="AD770" s="309">
        <v>0.25</v>
      </c>
      <c r="AE770" s="302" t="s">
        <v>7510</v>
      </c>
      <c r="AF770">
        <f t="shared" si="163"/>
        <v>0</v>
      </c>
    </row>
    <row r="771" spans="1:32" ht="39" hidden="1" x14ac:dyDescent="0.25">
      <c r="A771" s="322" t="s">
        <v>2269</v>
      </c>
      <c r="B771" s="93" t="str">
        <f t="shared" si="174"/>
        <v>YES</v>
      </c>
      <c r="C771" s="93" t="s">
        <v>5503</v>
      </c>
      <c r="D771" s="4">
        <v>39618</v>
      </c>
      <c r="E771" s="2">
        <v>39692</v>
      </c>
      <c r="F771" s="2">
        <v>44075</v>
      </c>
      <c r="G771" s="6">
        <v>181.1</v>
      </c>
      <c r="H771" s="191" t="s">
        <v>3923</v>
      </c>
      <c r="I771" s="7" t="s">
        <v>79</v>
      </c>
      <c r="J771" s="105" t="s">
        <v>7665</v>
      </c>
      <c r="K771" s="266">
        <f t="shared" si="171"/>
        <v>2020</v>
      </c>
      <c r="L771" s="390" t="s">
        <v>5885</v>
      </c>
      <c r="M771" s="390" t="s">
        <v>7574</v>
      </c>
      <c r="N771" s="32" t="s">
        <v>2191</v>
      </c>
      <c r="O771" s="32" t="s">
        <v>2219</v>
      </c>
      <c r="P771" s="278" t="s">
        <v>2270</v>
      </c>
      <c r="Q771" s="233"/>
      <c r="R771" s="75">
        <v>777</v>
      </c>
      <c r="S771" s="75">
        <v>364</v>
      </c>
      <c r="T771" s="75">
        <v>1141</v>
      </c>
      <c r="U771" s="200">
        <v>273</v>
      </c>
      <c r="V771" s="287">
        <f t="shared" ca="1" si="172"/>
        <v>10</v>
      </c>
      <c r="W771" s="75">
        <f t="shared" ca="1" si="173"/>
        <v>3185</v>
      </c>
      <c r="X771" s="200">
        <f t="shared" ca="1" si="169"/>
        <v>4053</v>
      </c>
      <c r="Y771" s="1">
        <v>0</v>
      </c>
      <c r="Z771" s="1"/>
      <c r="AA771" s="219"/>
      <c r="AB771" s="302" t="s">
        <v>6728</v>
      </c>
      <c r="AC771" s="308">
        <v>43535</v>
      </c>
      <c r="AD771" s="309">
        <v>0.25</v>
      </c>
      <c r="AE771" s="302" t="s">
        <v>7510</v>
      </c>
      <c r="AF771">
        <f t="shared" si="163"/>
        <v>0</v>
      </c>
    </row>
    <row r="772" spans="1:32" ht="39" hidden="1" x14ac:dyDescent="0.25">
      <c r="A772" s="322" t="s">
        <v>2271</v>
      </c>
      <c r="B772" s="93" t="str">
        <f t="shared" si="174"/>
        <v>YES</v>
      </c>
      <c r="C772" s="93" t="s">
        <v>5503</v>
      </c>
      <c r="D772" s="4">
        <v>39618</v>
      </c>
      <c r="E772" s="2">
        <v>39692</v>
      </c>
      <c r="F772" s="2">
        <v>44075</v>
      </c>
      <c r="G772" s="6">
        <v>649.20000000000005</v>
      </c>
      <c r="H772" s="191" t="s">
        <v>3923</v>
      </c>
      <c r="I772" s="7" t="s">
        <v>79</v>
      </c>
      <c r="J772" s="105" t="s">
        <v>7665</v>
      </c>
      <c r="K772" s="266">
        <f t="shared" si="171"/>
        <v>2020</v>
      </c>
      <c r="L772" s="390" t="s">
        <v>5885</v>
      </c>
      <c r="M772" s="390" t="s">
        <v>7574</v>
      </c>
      <c r="N772" s="32" t="s">
        <v>2191</v>
      </c>
      <c r="O772" s="32" t="s">
        <v>2219</v>
      </c>
      <c r="P772" s="278" t="s">
        <v>2272</v>
      </c>
      <c r="Q772" s="233"/>
      <c r="R772" s="75">
        <v>2415</v>
      </c>
      <c r="S772" s="75"/>
      <c r="T772" s="75">
        <v>2415</v>
      </c>
      <c r="U772" s="200">
        <v>975</v>
      </c>
      <c r="V772" s="287">
        <f t="shared" ca="1" si="172"/>
        <v>10</v>
      </c>
      <c r="W772" s="75">
        <f t="shared" ca="1" si="173"/>
        <v>11375</v>
      </c>
      <c r="X772" s="200">
        <f t="shared" ca="1" si="169"/>
        <v>12815</v>
      </c>
      <c r="Y772" s="1">
        <v>0</v>
      </c>
      <c r="Z772" s="1"/>
      <c r="AA772" s="219"/>
      <c r="AB772" s="302" t="s">
        <v>6729</v>
      </c>
      <c r="AC772" s="308">
        <v>43535</v>
      </c>
      <c r="AD772" s="309">
        <v>0.25</v>
      </c>
      <c r="AE772" s="302" t="s">
        <v>7510</v>
      </c>
      <c r="AF772">
        <f t="shared" si="163"/>
        <v>0</v>
      </c>
    </row>
    <row r="773" spans="1:32" ht="39" hidden="1" x14ac:dyDescent="0.25">
      <c r="A773" s="322" t="s">
        <v>2273</v>
      </c>
      <c r="B773" s="93" t="str">
        <f t="shared" si="174"/>
        <v>YES</v>
      </c>
      <c r="C773" s="93" t="s">
        <v>5503</v>
      </c>
      <c r="D773" s="4">
        <v>39618</v>
      </c>
      <c r="E773" s="2">
        <v>39692</v>
      </c>
      <c r="F773" s="2">
        <v>44075</v>
      </c>
      <c r="G773" s="6">
        <v>648.34</v>
      </c>
      <c r="H773" s="191" t="s">
        <v>3923</v>
      </c>
      <c r="I773" s="7" t="s">
        <v>79</v>
      </c>
      <c r="J773" s="105" t="s">
        <v>7665</v>
      </c>
      <c r="K773" s="266">
        <f t="shared" si="171"/>
        <v>2020</v>
      </c>
      <c r="L773" s="390" t="s">
        <v>5885</v>
      </c>
      <c r="M773" s="390" t="s">
        <v>7574</v>
      </c>
      <c r="N773" s="32" t="s">
        <v>2191</v>
      </c>
      <c r="O773" s="32" t="s">
        <v>2219</v>
      </c>
      <c r="P773" s="278" t="s">
        <v>2274</v>
      </c>
      <c r="Q773" s="233"/>
      <c r="R773" s="75">
        <v>2411.5</v>
      </c>
      <c r="S773" s="75"/>
      <c r="T773" s="75">
        <v>2411.5</v>
      </c>
      <c r="U773" s="200">
        <v>973.5</v>
      </c>
      <c r="V773" s="287">
        <f t="shared" ca="1" si="172"/>
        <v>10</v>
      </c>
      <c r="W773" s="75">
        <f t="shared" ca="1" si="173"/>
        <v>11357.5</v>
      </c>
      <c r="X773" s="200">
        <f t="shared" ca="1" si="169"/>
        <v>12795.5</v>
      </c>
      <c r="Y773" s="1">
        <v>0</v>
      </c>
      <c r="Z773" s="1"/>
      <c r="AA773" s="219"/>
      <c r="AB773" s="302" t="s">
        <v>6730</v>
      </c>
      <c r="AC773" s="308">
        <v>43535</v>
      </c>
      <c r="AD773" s="309">
        <v>0.25</v>
      </c>
      <c r="AE773" s="302" t="s">
        <v>7510</v>
      </c>
      <c r="AF773">
        <f t="shared" si="163"/>
        <v>0</v>
      </c>
    </row>
    <row r="774" spans="1:32" ht="39" hidden="1" x14ac:dyDescent="0.25">
      <c r="A774" s="322" t="s">
        <v>2275</v>
      </c>
      <c r="B774" s="93" t="str">
        <f t="shared" si="174"/>
        <v>YES</v>
      </c>
      <c r="C774" s="93" t="s">
        <v>5503</v>
      </c>
      <c r="D774" s="4">
        <v>39618</v>
      </c>
      <c r="E774" s="2">
        <v>39692</v>
      </c>
      <c r="F774" s="2">
        <v>44075</v>
      </c>
      <c r="G774" s="6">
        <v>567.77</v>
      </c>
      <c r="H774" s="191" t="s">
        <v>3923</v>
      </c>
      <c r="I774" s="7" t="s">
        <v>79</v>
      </c>
      <c r="J774" s="105" t="s">
        <v>7665</v>
      </c>
      <c r="K774" s="266">
        <f t="shared" si="171"/>
        <v>2020</v>
      </c>
      <c r="L774" s="390" t="s">
        <v>5885</v>
      </c>
      <c r="M774" s="390" t="s">
        <v>7574</v>
      </c>
      <c r="N774" s="32" t="s">
        <v>2191</v>
      </c>
      <c r="O774" s="32" t="s">
        <v>2219</v>
      </c>
      <c r="P774" s="278" t="s">
        <v>2276</v>
      </c>
      <c r="Q774" s="233"/>
      <c r="R774" s="75">
        <v>2128</v>
      </c>
      <c r="S774" s="75"/>
      <c r="T774" s="75">
        <v>2128</v>
      </c>
      <c r="U774" s="200">
        <v>852</v>
      </c>
      <c r="V774" s="287">
        <f t="shared" ca="1" si="172"/>
        <v>10</v>
      </c>
      <c r="W774" s="75">
        <f t="shared" ca="1" si="173"/>
        <v>9940</v>
      </c>
      <c r="X774" s="200">
        <f t="shared" ca="1" si="169"/>
        <v>11216</v>
      </c>
      <c r="Y774" s="1">
        <v>0</v>
      </c>
      <c r="Z774" s="1"/>
      <c r="AA774" s="219"/>
      <c r="AB774" s="302" t="s">
        <v>6731</v>
      </c>
      <c r="AC774" s="308">
        <v>43535</v>
      </c>
      <c r="AD774" s="309">
        <v>0.25</v>
      </c>
      <c r="AE774" s="302" t="s">
        <v>7510</v>
      </c>
      <c r="AF774">
        <f t="shared" si="163"/>
        <v>0</v>
      </c>
    </row>
    <row r="775" spans="1:32" ht="39" hidden="1" x14ac:dyDescent="0.25">
      <c r="A775" s="322" t="s">
        <v>2277</v>
      </c>
      <c r="B775" s="93" t="str">
        <f t="shared" si="174"/>
        <v>YES</v>
      </c>
      <c r="C775" s="93" t="s">
        <v>5503</v>
      </c>
      <c r="D775" s="4">
        <v>39618</v>
      </c>
      <c r="E775" s="2">
        <v>39692</v>
      </c>
      <c r="F775" s="2">
        <v>44075</v>
      </c>
      <c r="G775" s="6">
        <v>644.08000000000004</v>
      </c>
      <c r="H775" s="191" t="s">
        <v>3923</v>
      </c>
      <c r="I775" s="7" t="s">
        <v>79</v>
      </c>
      <c r="J775" s="105" t="s">
        <v>7665</v>
      </c>
      <c r="K775" s="266">
        <f t="shared" si="171"/>
        <v>2020</v>
      </c>
      <c r="L775" s="390" t="s">
        <v>5885</v>
      </c>
      <c r="M775" s="390" t="s">
        <v>7574</v>
      </c>
      <c r="N775" s="32" t="s">
        <v>2191</v>
      </c>
      <c r="O775" s="32" t="s">
        <v>2219</v>
      </c>
      <c r="P775" s="278" t="s">
        <v>2278</v>
      </c>
      <c r="Q775" s="233"/>
      <c r="R775" s="75">
        <v>2397.5</v>
      </c>
      <c r="S775" s="75">
        <v>3870</v>
      </c>
      <c r="T775" s="75">
        <v>6267.5</v>
      </c>
      <c r="U775" s="200">
        <v>967.5</v>
      </c>
      <c r="V775" s="287">
        <f t="shared" ca="1" si="172"/>
        <v>10</v>
      </c>
      <c r="W775" s="75">
        <f t="shared" ca="1" si="173"/>
        <v>11287.5</v>
      </c>
      <c r="X775" s="200">
        <f t="shared" ca="1" si="169"/>
        <v>16587.5</v>
      </c>
      <c r="Y775" s="1">
        <v>0</v>
      </c>
      <c r="Z775" s="1"/>
      <c r="AA775" s="219"/>
      <c r="AB775" s="302" t="s">
        <v>6732</v>
      </c>
      <c r="AC775" s="308">
        <v>43535</v>
      </c>
      <c r="AD775" s="309">
        <v>0.25</v>
      </c>
      <c r="AE775" s="302" t="s">
        <v>7510</v>
      </c>
      <c r="AF775">
        <f t="shared" si="163"/>
        <v>0</v>
      </c>
    </row>
    <row r="776" spans="1:32" ht="51.75" hidden="1" x14ac:dyDescent="0.25">
      <c r="A776" s="322" t="s">
        <v>2279</v>
      </c>
      <c r="B776" s="93" t="str">
        <f t="shared" si="174"/>
        <v>YES</v>
      </c>
      <c r="C776" s="93" t="s">
        <v>5503</v>
      </c>
      <c r="D776" s="4">
        <v>39618</v>
      </c>
      <c r="E776" s="2">
        <v>39692</v>
      </c>
      <c r="F776" s="2">
        <v>44075</v>
      </c>
      <c r="G776" s="6">
        <v>634.57000000000005</v>
      </c>
      <c r="H776" s="191" t="s">
        <v>3923</v>
      </c>
      <c r="I776" s="7" t="s">
        <v>79</v>
      </c>
      <c r="J776" s="105" t="s">
        <v>7665</v>
      </c>
      <c r="K776" s="266">
        <f t="shared" si="171"/>
        <v>2020</v>
      </c>
      <c r="L776" s="390" t="s">
        <v>5885</v>
      </c>
      <c r="M776" s="390" t="s">
        <v>7574</v>
      </c>
      <c r="N776" s="32" t="s">
        <v>2191</v>
      </c>
      <c r="O776" s="32" t="s">
        <v>2219</v>
      </c>
      <c r="P776" s="278" t="s">
        <v>2280</v>
      </c>
      <c r="Q776" s="233"/>
      <c r="R776" s="75">
        <v>2362.5</v>
      </c>
      <c r="S776" s="75"/>
      <c r="T776" s="75">
        <v>2362.5</v>
      </c>
      <c r="U776" s="200">
        <v>952.5</v>
      </c>
      <c r="V776" s="287">
        <f t="shared" ca="1" si="172"/>
        <v>10</v>
      </c>
      <c r="W776" s="75">
        <f t="shared" ca="1" si="173"/>
        <v>11112.5</v>
      </c>
      <c r="X776" s="200">
        <f t="shared" ca="1" si="169"/>
        <v>12522.5</v>
      </c>
      <c r="Y776" s="1">
        <v>0</v>
      </c>
      <c r="Z776" s="1"/>
      <c r="AA776" s="219"/>
      <c r="AB776" s="302" t="s">
        <v>6733</v>
      </c>
      <c r="AC776" s="308">
        <v>43535</v>
      </c>
      <c r="AD776" s="309">
        <v>0.25</v>
      </c>
      <c r="AE776" s="302" t="s">
        <v>7510</v>
      </c>
      <c r="AF776">
        <f t="shared" si="163"/>
        <v>0</v>
      </c>
    </row>
    <row r="777" spans="1:32" ht="39" hidden="1" x14ac:dyDescent="0.25">
      <c r="A777" s="322" t="s">
        <v>2281</v>
      </c>
      <c r="B777" s="93" t="str">
        <f t="shared" si="174"/>
        <v>YES</v>
      </c>
      <c r="C777" s="93" t="s">
        <v>5503</v>
      </c>
      <c r="D777" s="4">
        <v>39618</v>
      </c>
      <c r="E777" s="2">
        <v>39692</v>
      </c>
      <c r="F777" s="2">
        <v>44075</v>
      </c>
      <c r="G777" s="6">
        <v>640.46</v>
      </c>
      <c r="H777" s="191" t="s">
        <v>3923</v>
      </c>
      <c r="I777" s="7" t="s">
        <v>79</v>
      </c>
      <c r="J777" s="105" t="s">
        <v>7665</v>
      </c>
      <c r="K777" s="266">
        <f t="shared" si="171"/>
        <v>2020</v>
      </c>
      <c r="L777" s="390" t="s">
        <v>5885</v>
      </c>
      <c r="M777" s="390" t="s">
        <v>7574</v>
      </c>
      <c r="N777" s="32" t="s">
        <v>2191</v>
      </c>
      <c r="O777" s="32" t="s">
        <v>2219</v>
      </c>
      <c r="P777" s="278" t="s">
        <v>2282</v>
      </c>
      <c r="Q777" s="233"/>
      <c r="R777" s="75">
        <v>2383.5</v>
      </c>
      <c r="S777" s="75">
        <v>5128</v>
      </c>
      <c r="T777" s="75">
        <v>7511.5</v>
      </c>
      <c r="U777" s="200">
        <v>961.5</v>
      </c>
      <c r="V777" s="287">
        <f t="shared" ca="1" si="172"/>
        <v>10</v>
      </c>
      <c r="W777" s="75">
        <f t="shared" ca="1" si="173"/>
        <v>11217.5</v>
      </c>
      <c r="X777" s="200">
        <f t="shared" ca="1" si="169"/>
        <v>17767.5</v>
      </c>
      <c r="Y777" s="1">
        <v>0</v>
      </c>
      <c r="Z777" s="1"/>
      <c r="AA777" s="219"/>
      <c r="AB777" s="302" t="s">
        <v>6734</v>
      </c>
      <c r="AC777" s="308">
        <v>43535</v>
      </c>
      <c r="AD777" s="309">
        <v>0.25</v>
      </c>
      <c r="AE777" s="302" t="s">
        <v>7510</v>
      </c>
      <c r="AF777">
        <f t="shared" si="163"/>
        <v>0</v>
      </c>
    </row>
    <row r="778" spans="1:32" ht="39" hidden="1" x14ac:dyDescent="0.25">
      <c r="A778" s="322" t="s">
        <v>2283</v>
      </c>
      <c r="B778" s="93" t="str">
        <f t="shared" si="174"/>
        <v>YES</v>
      </c>
      <c r="C778" s="93" t="s">
        <v>5503</v>
      </c>
      <c r="D778" s="4">
        <v>39618</v>
      </c>
      <c r="E778" s="2">
        <v>39692</v>
      </c>
      <c r="F778" s="2">
        <v>44075</v>
      </c>
      <c r="G778" s="6">
        <v>641.82000000000005</v>
      </c>
      <c r="H778" s="191" t="s">
        <v>3923</v>
      </c>
      <c r="I778" s="7" t="s">
        <v>79</v>
      </c>
      <c r="J778" s="105" t="s">
        <v>7665</v>
      </c>
      <c r="K778" s="266">
        <f t="shared" si="171"/>
        <v>2020</v>
      </c>
      <c r="L778" s="390" t="s">
        <v>5885</v>
      </c>
      <c r="M778" s="390" t="s">
        <v>7574</v>
      </c>
      <c r="N778" s="32" t="s">
        <v>2191</v>
      </c>
      <c r="O778" s="32" t="s">
        <v>2219</v>
      </c>
      <c r="P778" s="278" t="s">
        <v>2284</v>
      </c>
      <c r="Q778" s="233"/>
      <c r="R778" s="75">
        <v>2387</v>
      </c>
      <c r="S778" s="75">
        <v>5778</v>
      </c>
      <c r="T778" s="75">
        <v>8165</v>
      </c>
      <c r="U778" s="200">
        <v>963</v>
      </c>
      <c r="V778" s="287">
        <f t="shared" ca="1" si="172"/>
        <v>10</v>
      </c>
      <c r="W778" s="75">
        <f t="shared" ca="1" si="173"/>
        <v>11235</v>
      </c>
      <c r="X778" s="200">
        <f t="shared" ca="1" si="169"/>
        <v>18437</v>
      </c>
      <c r="Y778" s="1">
        <v>0</v>
      </c>
      <c r="Z778" s="1"/>
      <c r="AA778" s="219"/>
      <c r="AB778" s="302" t="s">
        <v>6735</v>
      </c>
      <c r="AC778" s="308">
        <v>43535</v>
      </c>
      <c r="AD778" s="309">
        <v>0.25</v>
      </c>
      <c r="AE778" s="302" t="s">
        <v>7510</v>
      </c>
      <c r="AF778">
        <f t="shared" si="163"/>
        <v>0</v>
      </c>
    </row>
    <row r="779" spans="1:32" ht="39" hidden="1" x14ac:dyDescent="0.25">
      <c r="A779" s="322" t="s">
        <v>2285</v>
      </c>
      <c r="B779" s="93" t="str">
        <f t="shared" si="174"/>
        <v>YES</v>
      </c>
      <c r="C779" s="93" t="s">
        <v>5503</v>
      </c>
      <c r="D779" s="4">
        <v>39618</v>
      </c>
      <c r="E779" s="2">
        <v>39692</v>
      </c>
      <c r="F779" s="2">
        <v>44075</v>
      </c>
      <c r="G779" s="6">
        <v>613.97</v>
      </c>
      <c r="H779" s="191" t="s">
        <v>3923</v>
      </c>
      <c r="I779" s="7" t="s">
        <v>79</v>
      </c>
      <c r="J779" s="105" t="s">
        <v>7665</v>
      </c>
      <c r="K779" s="266">
        <f t="shared" si="171"/>
        <v>2020</v>
      </c>
      <c r="L779" s="390" t="s">
        <v>5885</v>
      </c>
      <c r="M779" s="390" t="s">
        <v>7574</v>
      </c>
      <c r="N779" s="32" t="s">
        <v>2191</v>
      </c>
      <c r="O779" s="32" t="s">
        <v>2219</v>
      </c>
      <c r="P779" s="278" t="s">
        <v>2286</v>
      </c>
      <c r="Q779" s="233"/>
      <c r="R779" s="75">
        <v>2289</v>
      </c>
      <c r="S779" s="75"/>
      <c r="T779" s="75">
        <v>2289</v>
      </c>
      <c r="U779" s="200">
        <v>921</v>
      </c>
      <c r="V779" s="287">
        <f t="shared" ca="1" si="172"/>
        <v>10</v>
      </c>
      <c r="W779" s="75">
        <f t="shared" ca="1" si="173"/>
        <v>10745</v>
      </c>
      <c r="X779" s="200">
        <f t="shared" ca="1" si="169"/>
        <v>12113</v>
      </c>
      <c r="Y779" s="1">
        <v>0</v>
      </c>
      <c r="Z779" s="1"/>
      <c r="AA779" s="219"/>
      <c r="AB779" s="302" t="s">
        <v>6736</v>
      </c>
      <c r="AC779" s="308">
        <v>43535</v>
      </c>
      <c r="AD779" s="309">
        <v>0.25</v>
      </c>
      <c r="AE779" s="302" t="s">
        <v>7510</v>
      </c>
      <c r="AF779">
        <f t="shared" ref="AF779:AF842" si="175">COUNTIF(FilterList,A779)</f>
        <v>0</v>
      </c>
    </row>
    <row r="780" spans="1:32" ht="39" hidden="1" x14ac:dyDescent="0.25">
      <c r="A780" s="322" t="s">
        <v>2287</v>
      </c>
      <c r="B780" s="93" t="str">
        <f t="shared" si="174"/>
        <v>YES</v>
      </c>
      <c r="C780" s="93" t="s">
        <v>5503</v>
      </c>
      <c r="D780" s="4">
        <v>39618</v>
      </c>
      <c r="E780" s="2">
        <v>39692</v>
      </c>
      <c r="F780" s="2">
        <f t="shared" ref="F780:F843" si="176">DATE(YEAR(E780)+10,MONTH(E780),DAY(E780))</f>
        <v>43344</v>
      </c>
      <c r="G780" s="6">
        <v>200</v>
      </c>
      <c r="H780" s="7" t="s">
        <v>2288</v>
      </c>
      <c r="I780" s="7" t="s">
        <v>86</v>
      </c>
      <c r="J780" s="186"/>
      <c r="K780" s="266">
        <f t="shared" ref="K780:K787" si="177">YEAR(F780)</f>
        <v>2018</v>
      </c>
      <c r="L780" s="413"/>
      <c r="M780" s="413"/>
      <c r="N780" s="32" t="s">
        <v>497</v>
      </c>
      <c r="O780" s="32" t="s">
        <v>2289</v>
      </c>
      <c r="P780" s="278" t="s">
        <v>2290</v>
      </c>
      <c r="Q780" s="233"/>
      <c r="R780" s="75">
        <v>840</v>
      </c>
      <c r="S780" s="75">
        <v>21600</v>
      </c>
      <c r="T780" s="75">
        <v>22440</v>
      </c>
      <c r="U780" s="200">
        <v>300</v>
      </c>
      <c r="V780" s="287">
        <f t="shared" ref="V780:V787" ca="1" si="178">IF(YEAR($W$3)-YEAR(E780)&gt;9,10,IF(MONTH($W$3)&lt;MONTH(E780),YEAR($W$3)-YEAR(E780),YEAR($W$3)-YEAR(E780)+1))</f>
        <v>10</v>
      </c>
      <c r="W780" s="75">
        <f t="shared" ref="W780:W787" ca="1" si="179">IF(V780&lt;6, ROUNDUP(G780,0)*$W$6*V780, ROUNDUP(G780,0)*($W$6*5 + (V780-5)*$W$7))</f>
        <v>3500</v>
      </c>
      <c r="X780" s="200">
        <f t="shared" ref="X780:X787" ca="1" si="180">IF(V780=0,T780,((T780-ROUNDUP(G780,0)*1.5)+W780))</f>
        <v>25640</v>
      </c>
      <c r="Y780" s="1">
        <v>0</v>
      </c>
      <c r="Z780" s="1"/>
      <c r="AA780" s="219"/>
      <c r="AB780" s="302" t="s">
        <v>6737</v>
      </c>
      <c r="AC780" s="302"/>
      <c r="AD780" s="302"/>
      <c r="AE780" s="302"/>
      <c r="AF780">
        <f t="shared" si="175"/>
        <v>0</v>
      </c>
    </row>
    <row r="781" spans="1:32" ht="39" hidden="1" x14ac:dyDescent="0.25">
      <c r="A781" s="322" t="s">
        <v>2291</v>
      </c>
      <c r="B781" s="93" t="str">
        <f t="shared" si="174"/>
        <v>YES</v>
      </c>
      <c r="C781" s="93" t="s">
        <v>5503</v>
      </c>
      <c r="D781" s="4">
        <v>39618</v>
      </c>
      <c r="E781" s="2">
        <v>39692</v>
      </c>
      <c r="F781" s="2">
        <f t="shared" si="176"/>
        <v>43344</v>
      </c>
      <c r="G781" s="6">
        <v>50</v>
      </c>
      <c r="H781" s="7" t="s">
        <v>2288</v>
      </c>
      <c r="I781" s="7" t="s">
        <v>86</v>
      </c>
      <c r="J781" s="186"/>
      <c r="K781" s="266">
        <f t="shared" si="177"/>
        <v>2018</v>
      </c>
      <c r="L781" s="413"/>
      <c r="M781" s="413"/>
      <c r="N781" s="32" t="s">
        <v>497</v>
      </c>
      <c r="O781" s="32" t="s">
        <v>2292</v>
      </c>
      <c r="P781" s="278" t="s">
        <v>2293</v>
      </c>
      <c r="Q781" s="233"/>
      <c r="R781" s="75">
        <v>315</v>
      </c>
      <c r="S781" s="75">
        <v>1400</v>
      </c>
      <c r="T781" s="75">
        <v>1715</v>
      </c>
      <c r="U781" s="200">
        <v>75</v>
      </c>
      <c r="V781" s="287">
        <f t="shared" ca="1" si="178"/>
        <v>10</v>
      </c>
      <c r="W781" s="75">
        <f t="shared" ca="1" si="179"/>
        <v>875</v>
      </c>
      <c r="X781" s="200">
        <f t="shared" ca="1" si="180"/>
        <v>2515</v>
      </c>
      <c r="Y781" s="1">
        <v>0</v>
      </c>
      <c r="Z781" s="1"/>
      <c r="AA781" s="219"/>
      <c r="AB781" s="302" t="s">
        <v>6738</v>
      </c>
      <c r="AC781" s="302"/>
      <c r="AD781" s="302"/>
      <c r="AE781" s="302"/>
      <c r="AF781">
        <f t="shared" si="175"/>
        <v>0</v>
      </c>
    </row>
    <row r="782" spans="1:32" ht="26.25" hidden="1" x14ac:dyDescent="0.25">
      <c r="A782" s="322" t="s">
        <v>2294</v>
      </c>
      <c r="B782" s="93" t="str">
        <f t="shared" si="174"/>
        <v>YES</v>
      </c>
      <c r="C782" s="93" t="s">
        <v>5503</v>
      </c>
      <c r="D782" s="4">
        <v>39618</v>
      </c>
      <c r="E782" s="2">
        <v>39692</v>
      </c>
      <c r="F782" s="2">
        <f t="shared" si="176"/>
        <v>43344</v>
      </c>
      <c r="G782" s="6">
        <v>80</v>
      </c>
      <c r="H782" s="7" t="s">
        <v>2288</v>
      </c>
      <c r="I782" s="7" t="s">
        <v>86</v>
      </c>
      <c r="J782" s="186"/>
      <c r="K782" s="266">
        <f t="shared" si="177"/>
        <v>2018</v>
      </c>
      <c r="L782" s="413"/>
      <c r="M782" s="413"/>
      <c r="N782" s="32" t="s">
        <v>497</v>
      </c>
      <c r="O782" s="32" t="s">
        <v>2295</v>
      </c>
      <c r="P782" s="278" t="s">
        <v>2296</v>
      </c>
      <c r="Q782" s="233"/>
      <c r="R782" s="75">
        <v>420</v>
      </c>
      <c r="S782" s="75">
        <v>2240</v>
      </c>
      <c r="T782" s="75">
        <v>2660</v>
      </c>
      <c r="U782" s="200">
        <v>120</v>
      </c>
      <c r="V782" s="287">
        <f t="shared" ca="1" si="178"/>
        <v>10</v>
      </c>
      <c r="W782" s="75">
        <f t="shared" ca="1" si="179"/>
        <v>1400</v>
      </c>
      <c r="X782" s="200">
        <f t="shared" ca="1" si="180"/>
        <v>3940</v>
      </c>
      <c r="Y782" s="1">
        <v>0</v>
      </c>
      <c r="Z782" s="1"/>
      <c r="AA782" s="219"/>
      <c r="AB782" s="302" t="s">
        <v>6739</v>
      </c>
      <c r="AC782" s="302"/>
      <c r="AD782" s="302"/>
      <c r="AE782" s="302"/>
      <c r="AF782">
        <f t="shared" si="175"/>
        <v>0</v>
      </c>
    </row>
    <row r="783" spans="1:32" hidden="1" x14ac:dyDescent="0.25">
      <c r="A783" s="322" t="s">
        <v>2297</v>
      </c>
      <c r="B783" s="93" t="str">
        <f t="shared" si="174"/>
        <v>YES</v>
      </c>
      <c r="C783" s="93" t="s">
        <v>5503</v>
      </c>
      <c r="D783" s="4">
        <v>39618</v>
      </c>
      <c r="E783" s="2">
        <v>39692</v>
      </c>
      <c r="F783" s="2">
        <f t="shared" si="176"/>
        <v>43344</v>
      </c>
      <c r="G783" s="6">
        <v>24.96</v>
      </c>
      <c r="H783" s="7" t="s">
        <v>2288</v>
      </c>
      <c r="I783" s="7" t="s">
        <v>86</v>
      </c>
      <c r="J783" s="186"/>
      <c r="K783" s="266">
        <f t="shared" si="177"/>
        <v>2018</v>
      </c>
      <c r="L783" s="413"/>
      <c r="M783" s="413"/>
      <c r="N783" s="32" t="s">
        <v>2298</v>
      </c>
      <c r="O783" s="32" t="s">
        <v>2299</v>
      </c>
      <c r="P783" s="278" t="s">
        <v>2300</v>
      </c>
      <c r="Q783" s="233"/>
      <c r="R783" s="75">
        <v>227.5</v>
      </c>
      <c r="S783" s="75">
        <v>450</v>
      </c>
      <c r="T783" s="75">
        <v>677.5</v>
      </c>
      <c r="U783" s="200">
        <v>37.5</v>
      </c>
      <c r="V783" s="287">
        <f t="shared" ca="1" si="178"/>
        <v>10</v>
      </c>
      <c r="W783" s="75">
        <f t="shared" ca="1" si="179"/>
        <v>437.5</v>
      </c>
      <c r="X783" s="200">
        <f t="shared" ca="1" si="180"/>
        <v>1077.5</v>
      </c>
      <c r="Y783" s="1">
        <v>0</v>
      </c>
      <c r="Z783" s="1"/>
      <c r="AA783" s="219"/>
      <c r="AB783" s="302" t="s">
        <v>6740</v>
      </c>
      <c r="AC783" s="302"/>
      <c r="AD783" s="302"/>
      <c r="AE783" s="302"/>
      <c r="AF783">
        <f t="shared" si="175"/>
        <v>0</v>
      </c>
    </row>
    <row r="784" spans="1:32" ht="26.25" hidden="1" x14ac:dyDescent="0.25">
      <c r="A784" s="322" t="s">
        <v>2301</v>
      </c>
      <c r="B784" s="93" t="str">
        <f t="shared" si="174"/>
        <v>YES</v>
      </c>
      <c r="C784" s="93" t="s">
        <v>5503</v>
      </c>
      <c r="D784" s="4">
        <v>39618</v>
      </c>
      <c r="E784" s="2">
        <v>39692</v>
      </c>
      <c r="F784" s="2">
        <f t="shared" si="176"/>
        <v>43344</v>
      </c>
      <c r="G784" s="6">
        <v>39.979999999999997</v>
      </c>
      <c r="H784" s="7" t="s">
        <v>2288</v>
      </c>
      <c r="I784" s="7" t="s">
        <v>86</v>
      </c>
      <c r="J784" s="186"/>
      <c r="K784" s="266">
        <f t="shared" si="177"/>
        <v>2018</v>
      </c>
      <c r="L784" s="413"/>
      <c r="M784" s="413"/>
      <c r="N784" s="32" t="s">
        <v>497</v>
      </c>
      <c r="O784" s="32" t="s">
        <v>2302</v>
      </c>
      <c r="P784" s="278" t="s">
        <v>2303</v>
      </c>
      <c r="Q784" s="233"/>
      <c r="R784" s="75">
        <v>280</v>
      </c>
      <c r="S784" s="75"/>
      <c r="T784" s="75">
        <v>280</v>
      </c>
      <c r="U784" s="200">
        <v>60</v>
      </c>
      <c r="V784" s="287">
        <f t="shared" ca="1" si="178"/>
        <v>10</v>
      </c>
      <c r="W784" s="75">
        <f t="shared" ca="1" si="179"/>
        <v>700</v>
      </c>
      <c r="X784" s="200">
        <f t="shared" ca="1" si="180"/>
        <v>920</v>
      </c>
      <c r="Y784" s="1">
        <v>0</v>
      </c>
      <c r="Z784" s="1"/>
      <c r="AA784" s="219"/>
      <c r="AB784" s="302" t="s">
        <v>6741</v>
      </c>
      <c r="AC784" s="302"/>
      <c r="AD784" s="302"/>
      <c r="AE784" s="302"/>
      <c r="AF784">
        <f t="shared" si="175"/>
        <v>0</v>
      </c>
    </row>
    <row r="785" spans="1:32" ht="26.25" hidden="1" x14ac:dyDescent="0.25">
      <c r="A785" s="322" t="s">
        <v>2304</v>
      </c>
      <c r="B785" s="93" t="str">
        <f t="shared" si="174"/>
        <v>NO</v>
      </c>
      <c r="C785" s="93" t="s">
        <v>5503</v>
      </c>
      <c r="D785" s="4">
        <v>39618</v>
      </c>
      <c r="E785" s="2">
        <v>39692</v>
      </c>
      <c r="F785" s="2">
        <f t="shared" si="176"/>
        <v>43344</v>
      </c>
      <c r="G785" s="6">
        <v>40</v>
      </c>
      <c r="H785" s="7" t="s">
        <v>2305</v>
      </c>
      <c r="I785" s="7" t="s">
        <v>86</v>
      </c>
      <c r="J785" s="105" t="s">
        <v>5163</v>
      </c>
      <c r="K785" s="266">
        <f t="shared" si="177"/>
        <v>2018</v>
      </c>
      <c r="L785" s="412"/>
      <c r="M785" s="412"/>
      <c r="N785" s="32" t="s">
        <v>497</v>
      </c>
      <c r="O785" s="32" t="s">
        <v>2306</v>
      </c>
      <c r="P785" s="278" t="s">
        <v>2307</v>
      </c>
      <c r="Q785" s="233"/>
      <c r="R785" s="75">
        <v>280</v>
      </c>
      <c r="S785" s="75"/>
      <c r="T785" s="75">
        <v>280</v>
      </c>
      <c r="U785" s="200">
        <v>60</v>
      </c>
      <c r="V785" s="287">
        <f t="shared" ca="1" si="178"/>
        <v>10</v>
      </c>
      <c r="W785" s="75">
        <f t="shared" ca="1" si="179"/>
        <v>700</v>
      </c>
      <c r="X785" s="200">
        <f t="shared" ca="1" si="180"/>
        <v>920</v>
      </c>
      <c r="Y785" s="1">
        <v>0</v>
      </c>
      <c r="Z785" s="1"/>
      <c r="AA785" s="219"/>
      <c r="AB785" s="302"/>
      <c r="AC785" s="302"/>
      <c r="AD785" s="302"/>
      <c r="AE785" s="302"/>
      <c r="AF785">
        <f t="shared" si="175"/>
        <v>0</v>
      </c>
    </row>
    <row r="786" spans="1:32" ht="26.25" hidden="1" x14ac:dyDescent="0.25">
      <c r="A786" s="322" t="s">
        <v>2308</v>
      </c>
      <c r="B786" s="93" t="str">
        <f t="shared" si="174"/>
        <v>YES</v>
      </c>
      <c r="C786" s="93" t="s">
        <v>5503</v>
      </c>
      <c r="D786" s="4">
        <v>39618</v>
      </c>
      <c r="E786" s="2">
        <v>39692</v>
      </c>
      <c r="F786" s="2">
        <f t="shared" si="176"/>
        <v>43344</v>
      </c>
      <c r="G786" s="6">
        <v>80</v>
      </c>
      <c r="H786" s="7" t="s">
        <v>2305</v>
      </c>
      <c r="I786" s="7" t="s">
        <v>86</v>
      </c>
      <c r="J786" s="105" t="s">
        <v>6208</v>
      </c>
      <c r="K786" s="266">
        <f t="shared" si="177"/>
        <v>2018</v>
      </c>
      <c r="L786" s="412"/>
      <c r="M786" s="412"/>
      <c r="N786" s="32" t="s">
        <v>497</v>
      </c>
      <c r="O786" s="32" t="s">
        <v>2309</v>
      </c>
      <c r="P786" s="278" t="s">
        <v>2310</v>
      </c>
      <c r="Q786" s="233"/>
      <c r="R786" s="75">
        <v>420</v>
      </c>
      <c r="S786" s="75">
        <v>8640</v>
      </c>
      <c r="T786" s="75">
        <v>9060</v>
      </c>
      <c r="U786" s="200">
        <v>120</v>
      </c>
      <c r="V786" s="287">
        <f t="shared" ca="1" si="178"/>
        <v>10</v>
      </c>
      <c r="W786" s="75">
        <f t="shared" ca="1" si="179"/>
        <v>1400</v>
      </c>
      <c r="X786" s="200">
        <f t="shared" ca="1" si="180"/>
        <v>10340</v>
      </c>
      <c r="Y786" s="1">
        <v>0</v>
      </c>
      <c r="Z786" s="1"/>
      <c r="AA786" s="219"/>
      <c r="AB786" s="302"/>
      <c r="AC786" s="302"/>
      <c r="AD786" s="302"/>
      <c r="AE786" s="302"/>
      <c r="AF786">
        <f t="shared" si="175"/>
        <v>0</v>
      </c>
    </row>
    <row r="787" spans="1:32" ht="26.25" hidden="1" x14ac:dyDescent="0.25">
      <c r="A787" s="322" t="s">
        <v>2311</v>
      </c>
      <c r="B787" s="93" t="str">
        <f t="shared" si="174"/>
        <v>NO</v>
      </c>
      <c r="C787" s="93" t="s">
        <v>5503</v>
      </c>
      <c r="D787" s="4">
        <v>39618</v>
      </c>
      <c r="E787" s="2">
        <v>39692</v>
      </c>
      <c r="F787" s="2">
        <f t="shared" si="176"/>
        <v>43344</v>
      </c>
      <c r="G787" s="6">
        <v>40.24</v>
      </c>
      <c r="H787" s="7" t="s">
        <v>2305</v>
      </c>
      <c r="I787" s="7" t="s">
        <v>86</v>
      </c>
      <c r="J787" s="105" t="s">
        <v>5163</v>
      </c>
      <c r="K787" s="266">
        <f t="shared" si="177"/>
        <v>2018</v>
      </c>
      <c r="L787" s="412"/>
      <c r="M787" s="412"/>
      <c r="N787" s="32" t="s">
        <v>2312</v>
      </c>
      <c r="O787" s="32" t="s">
        <v>2309</v>
      </c>
      <c r="P787" s="278" t="s">
        <v>2313</v>
      </c>
      <c r="Q787" s="233"/>
      <c r="R787" s="75">
        <v>283.5</v>
      </c>
      <c r="S787" s="75">
        <v>11398</v>
      </c>
      <c r="T787" s="75">
        <v>11681.5</v>
      </c>
      <c r="U787" s="200">
        <v>61.5</v>
      </c>
      <c r="V787" s="287">
        <f t="shared" ca="1" si="178"/>
        <v>10</v>
      </c>
      <c r="W787" s="75">
        <f t="shared" ca="1" si="179"/>
        <v>717.5</v>
      </c>
      <c r="X787" s="200">
        <f t="shared" ca="1" si="180"/>
        <v>12337.5</v>
      </c>
      <c r="Y787" s="1">
        <v>0</v>
      </c>
      <c r="Z787" s="1"/>
      <c r="AA787" s="219"/>
      <c r="AB787" s="302"/>
      <c r="AC787" s="302"/>
      <c r="AD787" s="302"/>
      <c r="AE787" s="302"/>
      <c r="AF787">
        <f t="shared" si="175"/>
        <v>0</v>
      </c>
    </row>
    <row r="788" spans="1:32" ht="15.75" hidden="1" thickBot="1" x14ac:dyDescent="0.3">
      <c r="C788" s="93" t="s">
        <v>5503</v>
      </c>
      <c r="D788" s="4"/>
      <c r="E788" s="2"/>
      <c r="F788" s="2"/>
      <c r="G788" s="6"/>
      <c r="H788" s="7"/>
      <c r="I788" s="7"/>
      <c r="J788" s="186"/>
      <c r="K788" s="186"/>
      <c r="L788" s="386"/>
      <c r="M788" s="386"/>
      <c r="N788" s="32"/>
      <c r="O788" s="32"/>
      <c r="P788" s="278"/>
      <c r="Q788" s="239" t="s">
        <v>2314</v>
      </c>
      <c r="R788" s="76">
        <v>130354</v>
      </c>
      <c r="S788" s="76">
        <v>139728</v>
      </c>
      <c r="T788" s="76">
        <v>270082</v>
      </c>
      <c r="U788" s="200"/>
      <c r="V788" s="75"/>
      <c r="W788" s="75"/>
      <c r="X788" s="200"/>
      <c r="Y788" s="1"/>
      <c r="Z788" s="1"/>
      <c r="AA788" s="219"/>
      <c r="AB788" s="302"/>
      <c r="AC788" s="302"/>
      <c r="AD788" s="302"/>
      <c r="AE788" s="302"/>
      <c r="AF788">
        <f t="shared" si="175"/>
        <v>0</v>
      </c>
    </row>
    <row r="789" spans="1:32" hidden="1" x14ac:dyDescent="0.25">
      <c r="A789" s="322"/>
      <c r="D789" s="4"/>
      <c r="E789" s="2"/>
      <c r="F789" s="2"/>
      <c r="G789" s="6"/>
      <c r="H789" s="7"/>
      <c r="I789" s="7"/>
      <c r="J789" s="186"/>
      <c r="K789" s="186"/>
      <c r="L789" s="386"/>
      <c r="M789" s="386"/>
      <c r="N789" s="32"/>
      <c r="O789" s="32"/>
      <c r="P789" s="278"/>
      <c r="Q789" s="233" t="s">
        <v>2315</v>
      </c>
      <c r="R789" s="75">
        <v>-99000</v>
      </c>
      <c r="S789" s="75"/>
      <c r="T789" s="75">
        <v>-99000</v>
      </c>
      <c r="U789" s="200"/>
      <c r="V789" s="75"/>
      <c r="W789" s="75"/>
      <c r="X789" s="200"/>
      <c r="Y789" s="1"/>
      <c r="Z789" s="1"/>
      <c r="AA789" s="219"/>
      <c r="AB789" s="302"/>
      <c r="AC789" s="302"/>
      <c r="AD789" s="302"/>
      <c r="AE789" s="302"/>
      <c r="AF789">
        <f t="shared" si="175"/>
        <v>0</v>
      </c>
    </row>
    <row r="790" spans="1:32" hidden="1" x14ac:dyDescent="0.25">
      <c r="A790" s="322"/>
      <c r="D790" s="4"/>
      <c r="E790" s="2"/>
      <c r="F790" s="2"/>
      <c r="G790" s="6"/>
      <c r="H790" s="7"/>
      <c r="I790" s="7"/>
      <c r="J790" s="186"/>
      <c r="K790" s="186"/>
      <c r="L790" s="386"/>
      <c r="M790" s="386"/>
      <c r="N790" s="32"/>
      <c r="O790" s="32"/>
      <c r="P790" s="278"/>
      <c r="Q790" s="233" t="s">
        <v>2316</v>
      </c>
      <c r="R790" s="75">
        <v>-171082</v>
      </c>
      <c r="S790" s="75"/>
      <c r="T790" s="75">
        <v>-171082</v>
      </c>
      <c r="U790" s="200"/>
      <c r="V790" s="75"/>
      <c r="W790" s="75"/>
      <c r="X790" s="200"/>
      <c r="Y790" s="1"/>
      <c r="Z790" s="1"/>
      <c r="AA790" s="219"/>
      <c r="AB790" s="302"/>
      <c r="AC790" s="302"/>
      <c r="AD790" s="302"/>
      <c r="AE790" s="302"/>
      <c r="AF790">
        <f t="shared" si="175"/>
        <v>0</v>
      </c>
    </row>
    <row r="791" spans="1:32" hidden="1" x14ac:dyDescent="0.25">
      <c r="A791" s="322"/>
      <c r="D791" s="4"/>
      <c r="E791" s="2"/>
      <c r="F791" s="2"/>
      <c r="G791" s="6"/>
      <c r="H791" s="7"/>
      <c r="I791" s="7"/>
      <c r="J791" s="186"/>
      <c r="K791" s="186"/>
      <c r="L791" s="386"/>
      <c r="M791" s="386"/>
      <c r="N791" s="32"/>
      <c r="O791" s="32"/>
      <c r="P791" s="278"/>
      <c r="Q791" s="233"/>
      <c r="R791" s="75"/>
      <c r="S791" s="75"/>
      <c r="T791" s="75"/>
      <c r="U791" s="200"/>
      <c r="V791" s="75"/>
      <c r="W791" s="75"/>
      <c r="X791" s="200"/>
      <c r="Y791" s="1"/>
      <c r="Z791" s="1"/>
      <c r="AA791" s="219"/>
      <c r="AB791" s="302"/>
      <c r="AC791" s="302"/>
      <c r="AD791" s="302"/>
      <c r="AE791" s="302"/>
      <c r="AF791">
        <f t="shared" si="175"/>
        <v>0</v>
      </c>
    </row>
    <row r="792" spans="1:32" ht="27" hidden="1" thickBot="1" x14ac:dyDescent="0.3">
      <c r="A792" s="322" t="s">
        <v>224</v>
      </c>
      <c r="B792" s="93" t="str">
        <f>IF(COUNTIF(GIS,A792),"YES","NO")</f>
        <v>NO</v>
      </c>
      <c r="C792" s="93" t="s">
        <v>5503</v>
      </c>
      <c r="F792" s="2"/>
      <c r="G792" s="6"/>
      <c r="H792" s="7"/>
      <c r="I792" s="7"/>
      <c r="J792" s="105" t="s">
        <v>4830</v>
      </c>
      <c r="K792" s="266"/>
      <c r="L792" s="381"/>
      <c r="M792" s="381"/>
      <c r="N792" s="271"/>
      <c r="O792" s="32"/>
      <c r="P792" s="278"/>
      <c r="Q792" s="234"/>
      <c r="R792" s="75"/>
      <c r="S792" s="75"/>
      <c r="T792" s="82">
        <v>-11941</v>
      </c>
      <c r="U792" s="200"/>
      <c r="V792" s="75"/>
      <c r="W792" s="75"/>
      <c r="X792" s="200"/>
      <c r="Y792" s="1"/>
      <c r="Z792" s="1"/>
      <c r="AA792" s="219"/>
      <c r="AB792" s="302"/>
      <c r="AC792" s="302"/>
      <c r="AD792" s="302"/>
      <c r="AE792" s="302"/>
      <c r="AF792">
        <f t="shared" si="175"/>
        <v>0</v>
      </c>
    </row>
    <row r="793" spans="1:32" ht="27.75" hidden="1" thickTop="1" thickBot="1" x14ac:dyDescent="0.3">
      <c r="A793" s="322" t="s">
        <v>864</v>
      </c>
      <c r="B793" s="93" t="str">
        <f>IF(COUNTIF(GIS,A793),"YES","NO")</f>
        <v>NO</v>
      </c>
      <c r="C793" s="93" t="s">
        <v>5503</v>
      </c>
      <c r="F793" s="2"/>
      <c r="G793" s="6"/>
      <c r="H793" s="7"/>
      <c r="I793" s="7"/>
      <c r="J793" s="105" t="s">
        <v>4830</v>
      </c>
      <c r="K793" s="266"/>
      <c r="L793" s="381"/>
      <c r="M793" s="381"/>
      <c r="N793" s="271"/>
      <c r="O793" s="32"/>
      <c r="P793" s="278"/>
      <c r="Q793" s="234"/>
      <c r="R793" s="75"/>
      <c r="S793" s="75"/>
      <c r="T793" s="87">
        <v>-10399</v>
      </c>
      <c r="U793" s="200"/>
      <c r="V793" s="75"/>
      <c r="W793" s="75"/>
      <c r="X793" s="200"/>
      <c r="Y793" s="1"/>
      <c r="Z793" s="1"/>
      <c r="AA793" s="219"/>
      <c r="AB793" s="302"/>
      <c r="AC793" s="302"/>
      <c r="AD793" s="302"/>
      <c r="AE793" s="302"/>
      <c r="AF793">
        <f t="shared" si="175"/>
        <v>0</v>
      </c>
    </row>
    <row r="794" spans="1:32" hidden="1" x14ac:dyDescent="0.25">
      <c r="A794" s="322"/>
      <c r="D794" s="4"/>
      <c r="E794" s="2"/>
      <c r="F794" s="2"/>
      <c r="G794" s="6"/>
      <c r="H794" s="7"/>
      <c r="I794" s="7"/>
      <c r="J794" s="186"/>
      <c r="K794" s="186"/>
      <c r="L794" s="386"/>
      <c r="M794" s="386"/>
      <c r="N794" s="32"/>
      <c r="O794" s="32"/>
      <c r="P794" s="278"/>
      <c r="Q794" s="233"/>
      <c r="R794" s="75"/>
      <c r="S794" s="75"/>
      <c r="T794" s="75"/>
      <c r="U794" s="200"/>
      <c r="V794" s="75"/>
      <c r="W794" s="75"/>
      <c r="X794" s="200"/>
      <c r="Y794" s="1"/>
      <c r="Z794" s="1"/>
      <c r="AA794" s="219"/>
      <c r="AB794" s="302"/>
      <c r="AC794" s="302"/>
      <c r="AD794" s="302"/>
      <c r="AE794" s="302"/>
      <c r="AF794">
        <f t="shared" si="175"/>
        <v>0</v>
      </c>
    </row>
    <row r="795" spans="1:32" hidden="1" x14ac:dyDescent="0.25">
      <c r="A795" s="322"/>
      <c r="D795" s="4"/>
      <c r="E795" s="2"/>
      <c r="F795" s="2"/>
      <c r="G795" s="6"/>
      <c r="H795" s="7"/>
      <c r="I795" s="7"/>
      <c r="J795" s="186"/>
      <c r="K795" s="186"/>
      <c r="L795" s="386"/>
      <c r="M795" s="386"/>
      <c r="N795" s="32"/>
      <c r="O795" s="32"/>
      <c r="P795" s="278"/>
      <c r="Q795" s="233"/>
      <c r="R795" s="75"/>
      <c r="S795" s="75"/>
      <c r="T795" s="75"/>
      <c r="U795" s="200"/>
      <c r="V795" s="75"/>
      <c r="W795" s="75"/>
      <c r="X795" s="200"/>
      <c r="Y795" s="17"/>
      <c r="Z795" s="1"/>
      <c r="AA795" s="219"/>
      <c r="AB795" s="302"/>
      <c r="AC795" s="302"/>
      <c r="AD795" s="302"/>
      <c r="AE795" s="302"/>
      <c r="AF795">
        <f t="shared" si="175"/>
        <v>0</v>
      </c>
    </row>
    <row r="796" spans="1:32" hidden="1" x14ac:dyDescent="0.25">
      <c r="A796" s="322"/>
      <c r="D796" s="4"/>
      <c r="E796" s="2"/>
      <c r="F796" s="2"/>
      <c r="G796" s="6"/>
      <c r="H796" s="7"/>
      <c r="I796" s="7"/>
      <c r="J796" s="186"/>
      <c r="K796" s="186"/>
      <c r="L796" s="386"/>
      <c r="M796" s="386"/>
      <c r="N796" s="32"/>
      <c r="O796" s="32"/>
      <c r="P796" s="278"/>
      <c r="Q796" s="233"/>
      <c r="R796" s="75"/>
      <c r="S796" s="75"/>
      <c r="T796" s="75"/>
      <c r="U796" s="200"/>
      <c r="V796" s="75"/>
      <c r="W796" s="75"/>
      <c r="X796" s="200"/>
      <c r="Y796" s="1"/>
      <c r="Z796" s="1"/>
      <c r="AA796" s="219"/>
      <c r="AB796" s="302"/>
      <c r="AC796" s="302"/>
      <c r="AD796" s="302"/>
      <c r="AE796" s="302"/>
      <c r="AF796">
        <f t="shared" si="175"/>
        <v>0</v>
      </c>
    </row>
    <row r="797" spans="1:32" hidden="1" x14ac:dyDescent="0.25">
      <c r="A797" s="322"/>
      <c r="D797" s="4"/>
      <c r="E797" s="2"/>
      <c r="F797" s="2"/>
      <c r="G797" s="6"/>
      <c r="H797" s="7"/>
      <c r="I797" s="7"/>
      <c r="J797" s="186"/>
      <c r="K797" s="186"/>
      <c r="L797" s="386"/>
      <c r="M797" s="386"/>
      <c r="N797" s="32"/>
      <c r="O797" s="32"/>
      <c r="P797" s="278"/>
      <c r="Q797" s="233"/>
      <c r="R797" s="75"/>
      <c r="S797" s="75"/>
      <c r="T797" s="75"/>
      <c r="U797" s="200"/>
      <c r="V797" s="75"/>
      <c r="W797" s="75"/>
      <c r="X797" s="200"/>
      <c r="Y797" s="1"/>
      <c r="Z797" s="1"/>
      <c r="AA797" s="219"/>
      <c r="AB797" s="302"/>
      <c r="AC797" s="302"/>
      <c r="AD797" s="302"/>
      <c r="AE797" s="302"/>
      <c r="AF797">
        <f t="shared" si="175"/>
        <v>0</v>
      </c>
    </row>
    <row r="798" spans="1:32" ht="26.25" hidden="1" x14ac:dyDescent="0.25">
      <c r="A798" s="322" t="s">
        <v>2317</v>
      </c>
      <c r="B798" s="93" t="str">
        <f t="shared" ref="B798:B812" si="181">IF(COUNTIF(GIS,A800),"YES","NO")</f>
        <v>YES</v>
      </c>
      <c r="C798" s="93" t="s">
        <v>5503</v>
      </c>
      <c r="D798" s="4">
        <v>39645</v>
      </c>
      <c r="E798" s="2">
        <v>39753</v>
      </c>
      <c r="F798" s="2">
        <f t="shared" si="176"/>
        <v>43405</v>
      </c>
      <c r="G798" s="6">
        <v>40</v>
      </c>
      <c r="H798" s="7" t="s">
        <v>511</v>
      </c>
      <c r="I798" s="7" t="s">
        <v>512</v>
      </c>
      <c r="J798" s="105" t="s">
        <v>5274</v>
      </c>
      <c r="K798" s="266">
        <f t="shared" ref="K798:K816" si="182">YEAR(F798)</f>
        <v>2018</v>
      </c>
      <c r="L798" s="381"/>
      <c r="M798" s="381"/>
      <c r="N798" s="32" t="s">
        <v>497</v>
      </c>
      <c r="O798" s="32" t="s">
        <v>2319</v>
      </c>
      <c r="P798" s="278" t="s">
        <v>2320</v>
      </c>
      <c r="Q798" s="233" t="s">
        <v>2318</v>
      </c>
      <c r="R798" s="75">
        <v>280</v>
      </c>
      <c r="S798" s="75">
        <v>151920</v>
      </c>
      <c r="T798" s="75">
        <v>152200</v>
      </c>
      <c r="U798" s="200">
        <v>80</v>
      </c>
      <c r="V798" s="287">
        <f t="shared" ref="V798:V816" ca="1" si="183">IF(YEAR($W$3)-YEAR(E798)&gt;9,10,IF(MONTH($W$3)&lt;MONTH(E798),YEAR($W$3)-YEAR(E798),YEAR($W$3)-YEAR(E798)+1))</f>
        <v>10</v>
      </c>
      <c r="W798" s="75">
        <f t="shared" ref="W798:W816" ca="1" si="184">IF(V798&lt;6, ROUNDUP(G798,0)*$W$6*V798, ROUNDUP(G798,0)*($W$6*5 + (V798-5)*$W$7))</f>
        <v>700</v>
      </c>
      <c r="X798" s="200">
        <f t="shared" ref="X798:X816" ca="1" si="185">IF(V798=0,T798,((T798-ROUNDUP(G798,0)*1.5)+W798))</f>
        <v>152840</v>
      </c>
      <c r="Y798" s="1">
        <v>0.5</v>
      </c>
      <c r="Z798" s="1"/>
      <c r="AA798" s="219"/>
      <c r="AB798" s="301" t="s">
        <v>6742</v>
      </c>
      <c r="AC798" s="310">
        <v>42312</v>
      </c>
      <c r="AD798" s="311">
        <v>0.25</v>
      </c>
      <c r="AE798" s="312" t="s">
        <v>6246</v>
      </c>
      <c r="AF798">
        <f t="shared" si="175"/>
        <v>0</v>
      </c>
    </row>
    <row r="799" spans="1:32" hidden="1" x14ac:dyDescent="0.25">
      <c r="A799" s="322" t="s">
        <v>2321</v>
      </c>
      <c r="B799" s="93" t="str">
        <f t="shared" si="181"/>
        <v>YES</v>
      </c>
      <c r="C799" s="93" t="s">
        <v>5503</v>
      </c>
      <c r="D799" s="4">
        <v>39645</v>
      </c>
      <c r="E799" s="2">
        <v>39753</v>
      </c>
      <c r="F799" s="2">
        <f t="shared" si="176"/>
        <v>43405</v>
      </c>
      <c r="G799" s="6">
        <v>80</v>
      </c>
      <c r="H799" s="7" t="s">
        <v>511</v>
      </c>
      <c r="I799" s="7" t="s">
        <v>512</v>
      </c>
      <c r="J799" s="189"/>
      <c r="K799" s="266">
        <f t="shared" si="182"/>
        <v>2018</v>
      </c>
      <c r="L799" s="389"/>
      <c r="M799" s="389"/>
      <c r="N799" s="32" t="s">
        <v>497</v>
      </c>
      <c r="O799" s="273" t="s">
        <v>2323</v>
      </c>
      <c r="P799" s="282" t="s">
        <v>2324</v>
      </c>
      <c r="Q799" s="233" t="s">
        <v>2322</v>
      </c>
      <c r="R799" s="75">
        <v>420</v>
      </c>
      <c r="S799" s="75">
        <v>399840</v>
      </c>
      <c r="T799" s="75">
        <v>400260</v>
      </c>
      <c r="U799" s="200">
        <v>160</v>
      </c>
      <c r="V799" s="287">
        <f t="shared" ca="1" si="183"/>
        <v>10</v>
      </c>
      <c r="W799" s="75">
        <f t="shared" ca="1" si="184"/>
        <v>1400</v>
      </c>
      <c r="X799" s="200">
        <f t="shared" ca="1" si="185"/>
        <v>401540</v>
      </c>
      <c r="Y799" s="1">
        <v>0.5</v>
      </c>
      <c r="Z799" s="1"/>
      <c r="AA799" s="219"/>
      <c r="AB799" s="301" t="s">
        <v>6743</v>
      </c>
      <c r="AC799" s="310">
        <v>42898</v>
      </c>
      <c r="AD799" s="311">
        <v>0.25</v>
      </c>
      <c r="AE799" s="312" t="s">
        <v>6243</v>
      </c>
      <c r="AF799">
        <f t="shared" si="175"/>
        <v>0</v>
      </c>
    </row>
    <row r="800" spans="1:32" ht="26.25" hidden="1" x14ac:dyDescent="0.25">
      <c r="A800" s="322" t="s">
        <v>2325</v>
      </c>
      <c r="B800" s="93" t="str">
        <f t="shared" si="181"/>
        <v>YES</v>
      </c>
      <c r="C800" s="93" t="s">
        <v>5503</v>
      </c>
      <c r="D800" s="4">
        <v>39645</v>
      </c>
      <c r="E800" s="2">
        <v>39753</v>
      </c>
      <c r="F800" s="2">
        <f t="shared" si="176"/>
        <v>43405</v>
      </c>
      <c r="G800" s="6">
        <v>320</v>
      </c>
      <c r="H800" s="7" t="s">
        <v>899</v>
      </c>
      <c r="I800" s="7" t="s">
        <v>512</v>
      </c>
      <c r="J800" s="109" t="s">
        <v>5273</v>
      </c>
      <c r="K800" s="266">
        <f t="shared" si="182"/>
        <v>2018</v>
      </c>
      <c r="L800" s="385"/>
      <c r="M800" s="385"/>
      <c r="N800" s="32" t="s">
        <v>497</v>
      </c>
      <c r="O800" s="32" t="s">
        <v>2327</v>
      </c>
      <c r="P800" s="278" t="s">
        <v>2328</v>
      </c>
      <c r="Q800" s="233" t="s">
        <v>2326</v>
      </c>
      <c r="R800" s="75">
        <v>1260</v>
      </c>
      <c r="S800" s="75">
        <v>111360</v>
      </c>
      <c r="T800" s="75">
        <v>112620</v>
      </c>
      <c r="U800" s="200">
        <v>640</v>
      </c>
      <c r="V800" s="287">
        <f t="shared" ca="1" si="183"/>
        <v>10</v>
      </c>
      <c r="W800" s="75">
        <f t="shared" ca="1" si="184"/>
        <v>5600</v>
      </c>
      <c r="X800" s="200">
        <f t="shared" ca="1" si="185"/>
        <v>117740</v>
      </c>
      <c r="Y800" s="1">
        <v>0.5</v>
      </c>
      <c r="Z800" s="1"/>
      <c r="AA800" s="219"/>
      <c r="AB800" s="302" t="s">
        <v>6241</v>
      </c>
      <c r="AC800" s="308">
        <v>42793</v>
      </c>
      <c r="AD800" s="309">
        <v>0.25</v>
      </c>
      <c r="AE800" s="312" t="s">
        <v>6240</v>
      </c>
      <c r="AF800">
        <f t="shared" si="175"/>
        <v>0</v>
      </c>
    </row>
    <row r="801" spans="1:32" ht="39" x14ac:dyDescent="0.25">
      <c r="A801" s="322" t="s">
        <v>2329</v>
      </c>
      <c r="B801" s="93" t="str">
        <f t="shared" si="181"/>
        <v>YES</v>
      </c>
      <c r="C801" s="93" t="s">
        <v>5503</v>
      </c>
      <c r="D801" s="4">
        <v>39645</v>
      </c>
      <c r="E801" s="2">
        <v>39753</v>
      </c>
      <c r="F801" s="2">
        <f t="shared" si="176"/>
        <v>43405</v>
      </c>
      <c r="G801" s="6">
        <v>1680</v>
      </c>
      <c r="H801" s="7" t="s">
        <v>2024</v>
      </c>
      <c r="I801" s="7" t="s">
        <v>512</v>
      </c>
      <c r="J801" s="189"/>
      <c r="K801" s="266">
        <f t="shared" si="182"/>
        <v>2018</v>
      </c>
      <c r="L801" s="389"/>
      <c r="M801" s="389"/>
      <c r="N801" s="32" t="s">
        <v>497</v>
      </c>
      <c r="O801" s="32" t="s">
        <v>2331</v>
      </c>
      <c r="P801" s="278" t="s">
        <v>2332</v>
      </c>
      <c r="Q801" s="233" t="s">
        <v>2330</v>
      </c>
      <c r="R801" s="75">
        <v>6020</v>
      </c>
      <c r="S801" s="75">
        <v>63840</v>
      </c>
      <c r="T801" s="75">
        <v>69860</v>
      </c>
      <c r="U801" s="200">
        <v>3360</v>
      </c>
      <c r="V801" s="287">
        <f t="shared" ca="1" si="183"/>
        <v>10</v>
      </c>
      <c r="W801" s="75">
        <f t="shared" ca="1" si="184"/>
        <v>29400</v>
      </c>
      <c r="X801" s="200">
        <f t="shared" ca="1" si="185"/>
        <v>96740</v>
      </c>
      <c r="Y801" s="1">
        <v>0.5</v>
      </c>
      <c r="Z801" s="1"/>
      <c r="AA801" s="219"/>
      <c r="AB801" s="302" t="s">
        <v>6744</v>
      </c>
      <c r="AC801" s="302"/>
      <c r="AD801" s="302"/>
      <c r="AE801" s="302"/>
      <c r="AF801">
        <f t="shared" si="175"/>
        <v>0</v>
      </c>
    </row>
    <row r="802" spans="1:32" ht="26.25" hidden="1" x14ac:dyDescent="0.25">
      <c r="A802" s="322" t="s">
        <v>2333</v>
      </c>
      <c r="B802" s="93" t="str">
        <f t="shared" si="181"/>
        <v>YES</v>
      </c>
      <c r="C802" s="93" t="s">
        <v>5503</v>
      </c>
      <c r="D802" s="4">
        <v>39645</v>
      </c>
      <c r="E802" s="2">
        <v>39753</v>
      </c>
      <c r="F802" s="2">
        <f t="shared" si="176"/>
        <v>43405</v>
      </c>
      <c r="G802" s="6">
        <v>160</v>
      </c>
      <c r="H802" s="7" t="s">
        <v>899</v>
      </c>
      <c r="I802" s="7" t="s">
        <v>512</v>
      </c>
      <c r="J802" s="109" t="s">
        <v>898</v>
      </c>
      <c r="K802" s="266">
        <f t="shared" si="182"/>
        <v>2018</v>
      </c>
      <c r="L802" s="385"/>
      <c r="M802" s="385"/>
      <c r="N802" s="32" t="s">
        <v>497</v>
      </c>
      <c r="O802" s="32" t="s">
        <v>2335</v>
      </c>
      <c r="P802" s="278" t="s">
        <v>2336</v>
      </c>
      <c r="Q802" s="233" t="s">
        <v>2334</v>
      </c>
      <c r="R802" s="75">
        <v>700</v>
      </c>
      <c r="S802" s="75">
        <v>15680</v>
      </c>
      <c r="T802" s="75">
        <v>16380</v>
      </c>
      <c r="U802" s="200">
        <v>320</v>
      </c>
      <c r="V802" s="287">
        <f t="shared" ca="1" si="183"/>
        <v>10</v>
      </c>
      <c r="W802" s="75">
        <f t="shared" ca="1" si="184"/>
        <v>2800</v>
      </c>
      <c r="X802" s="200">
        <f t="shared" ca="1" si="185"/>
        <v>18940</v>
      </c>
      <c r="Y802" s="1">
        <v>0.5</v>
      </c>
      <c r="Z802" s="1"/>
      <c r="AA802" s="219"/>
      <c r="AB802" s="302" t="s">
        <v>5398</v>
      </c>
      <c r="AC802" s="308">
        <v>42829</v>
      </c>
      <c r="AD802" s="309">
        <v>0.25</v>
      </c>
      <c r="AE802" s="312" t="s">
        <v>6235</v>
      </c>
      <c r="AF802">
        <f t="shared" si="175"/>
        <v>0</v>
      </c>
    </row>
    <row r="803" spans="1:32" hidden="1" x14ac:dyDescent="0.25">
      <c r="A803" s="322" t="s">
        <v>2337</v>
      </c>
      <c r="B803" s="93" t="str">
        <f t="shared" si="181"/>
        <v>YES</v>
      </c>
      <c r="C803" s="93" t="s">
        <v>5503</v>
      </c>
      <c r="D803" s="4">
        <v>39645</v>
      </c>
      <c r="E803" s="2">
        <v>39753</v>
      </c>
      <c r="F803" s="2">
        <f t="shared" si="176"/>
        <v>43405</v>
      </c>
      <c r="G803" s="6">
        <v>945.11</v>
      </c>
      <c r="H803" s="7" t="s">
        <v>564</v>
      </c>
      <c r="I803" s="7" t="s">
        <v>512</v>
      </c>
      <c r="J803" s="189"/>
      <c r="K803" s="266">
        <f t="shared" si="182"/>
        <v>2018</v>
      </c>
      <c r="L803" s="389"/>
      <c r="M803" s="389"/>
      <c r="N803" s="32" t="s">
        <v>2339</v>
      </c>
      <c r="O803" s="32" t="s">
        <v>2340</v>
      </c>
      <c r="P803" s="278" t="s">
        <v>2341</v>
      </c>
      <c r="Q803" s="233" t="s">
        <v>2338</v>
      </c>
      <c r="R803" s="75">
        <v>3451</v>
      </c>
      <c r="S803" s="75">
        <v>26488</v>
      </c>
      <c r="T803" s="75">
        <v>29939</v>
      </c>
      <c r="U803" s="200">
        <v>1892</v>
      </c>
      <c r="V803" s="287">
        <f t="shared" ca="1" si="183"/>
        <v>10</v>
      </c>
      <c r="W803" s="75">
        <f t="shared" ca="1" si="184"/>
        <v>16555</v>
      </c>
      <c r="X803" s="200">
        <f t="shared" ca="1" si="185"/>
        <v>45075</v>
      </c>
      <c r="Y803" s="1">
        <v>0.5</v>
      </c>
      <c r="Z803" s="1"/>
      <c r="AA803" s="219"/>
      <c r="AB803" s="302" t="s">
        <v>6745</v>
      </c>
      <c r="AC803" s="302"/>
      <c r="AD803" s="302"/>
      <c r="AE803" s="302"/>
      <c r="AF803">
        <f t="shared" si="175"/>
        <v>0</v>
      </c>
    </row>
    <row r="804" spans="1:32" hidden="1" x14ac:dyDescent="0.25">
      <c r="A804" s="322" t="s">
        <v>2342</v>
      </c>
      <c r="B804" s="93" t="str">
        <f t="shared" si="181"/>
        <v>YES</v>
      </c>
      <c r="C804" s="93" t="s">
        <v>5503</v>
      </c>
      <c r="D804" s="4">
        <v>39645</v>
      </c>
      <c r="E804" s="2">
        <v>39753</v>
      </c>
      <c r="F804" s="2">
        <f t="shared" si="176"/>
        <v>43405</v>
      </c>
      <c r="G804" s="6">
        <v>1285.5899999999999</v>
      </c>
      <c r="H804" s="7" t="s">
        <v>522</v>
      </c>
      <c r="I804" s="7" t="s">
        <v>512</v>
      </c>
      <c r="J804" s="189"/>
      <c r="K804" s="266">
        <f t="shared" si="182"/>
        <v>2018</v>
      </c>
      <c r="L804" s="389"/>
      <c r="M804" s="389"/>
      <c r="N804" s="32" t="s">
        <v>2339</v>
      </c>
      <c r="O804" s="32" t="s">
        <v>2344</v>
      </c>
      <c r="P804" s="278" t="s">
        <v>2345</v>
      </c>
      <c r="Q804" s="233" t="s">
        <v>2343</v>
      </c>
      <c r="R804" s="75">
        <v>4641</v>
      </c>
      <c r="S804" s="75">
        <v>151748</v>
      </c>
      <c r="T804" s="75">
        <v>156389</v>
      </c>
      <c r="U804" s="200">
        <v>2572</v>
      </c>
      <c r="V804" s="287">
        <f t="shared" ca="1" si="183"/>
        <v>10</v>
      </c>
      <c r="W804" s="75">
        <f t="shared" ca="1" si="184"/>
        <v>22505</v>
      </c>
      <c r="X804" s="200">
        <f t="shared" ca="1" si="185"/>
        <v>176965</v>
      </c>
      <c r="Y804" s="1">
        <v>0.5</v>
      </c>
      <c r="Z804" s="1"/>
      <c r="AA804" s="219"/>
      <c r="AB804" s="302" t="s">
        <v>6255</v>
      </c>
      <c r="AC804" s="308">
        <v>41723</v>
      </c>
      <c r="AD804" s="309">
        <v>0.25</v>
      </c>
      <c r="AE804" s="302" t="s">
        <v>6230</v>
      </c>
      <c r="AF804">
        <f t="shared" si="175"/>
        <v>0</v>
      </c>
    </row>
    <row r="805" spans="1:32" hidden="1" x14ac:dyDescent="0.25">
      <c r="A805" s="322" t="s">
        <v>2346</v>
      </c>
      <c r="B805" s="93" t="str">
        <f t="shared" si="181"/>
        <v>YES</v>
      </c>
      <c r="C805" s="93" t="s">
        <v>5503</v>
      </c>
      <c r="D805" s="4">
        <v>39645</v>
      </c>
      <c r="E805" s="2">
        <v>39753</v>
      </c>
      <c r="F805" s="2">
        <f t="shared" si="176"/>
        <v>43405</v>
      </c>
      <c r="G805" s="6">
        <v>640</v>
      </c>
      <c r="H805" s="7" t="s">
        <v>522</v>
      </c>
      <c r="I805" s="7" t="s">
        <v>512</v>
      </c>
      <c r="J805" s="189"/>
      <c r="K805" s="266">
        <f t="shared" si="182"/>
        <v>2018</v>
      </c>
      <c r="L805" s="389"/>
      <c r="M805" s="389"/>
      <c r="N805" s="32" t="s">
        <v>2339</v>
      </c>
      <c r="O805" s="32" t="s">
        <v>2344</v>
      </c>
      <c r="P805" s="278" t="s">
        <v>2348</v>
      </c>
      <c r="Q805" s="233" t="s">
        <v>2347</v>
      </c>
      <c r="R805" s="75">
        <v>2380</v>
      </c>
      <c r="S805" s="75">
        <v>75520</v>
      </c>
      <c r="T805" s="75">
        <v>77900</v>
      </c>
      <c r="U805" s="200">
        <v>1280</v>
      </c>
      <c r="V805" s="287">
        <f t="shared" ca="1" si="183"/>
        <v>10</v>
      </c>
      <c r="W805" s="75">
        <f t="shared" ca="1" si="184"/>
        <v>11200</v>
      </c>
      <c r="X805" s="200">
        <f t="shared" ca="1" si="185"/>
        <v>88140</v>
      </c>
      <c r="Y805" s="1">
        <v>0.5</v>
      </c>
      <c r="Z805" s="1"/>
      <c r="AA805" s="219"/>
      <c r="AB805" s="302" t="s">
        <v>6256</v>
      </c>
      <c r="AC805" s="308">
        <v>41723</v>
      </c>
      <c r="AD805" s="309">
        <v>0.25</v>
      </c>
      <c r="AE805" s="302" t="s">
        <v>6230</v>
      </c>
      <c r="AF805">
        <f t="shared" si="175"/>
        <v>0</v>
      </c>
    </row>
    <row r="806" spans="1:32" ht="26.25" hidden="1" x14ac:dyDescent="0.25">
      <c r="A806" s="322" t="s">
        <v>2349</v>
      </c>
      <c r="B806" s="93" t="str">
        <f t="shared" si="181"/>
        <v>YES</v>
      </c>
      <c r="C806" s="93" t="s">
        <v>5503</v>
      </c>
      <c r="D806" s="4">
        <v>39645</v>
      </c>
      <c r="E806" s="2">
        <v>39753</v>
      </c>
      <c r="F806" s="2">
        <f t="shared" si="176"/>
        <v>43405</v>
      </c>
      <c r="G806" s="6">
        <v>1137.97</v>
      </c>
      <c r="H806" s="7" t="s">
        <v>1575</v>
      </c>
      <c r="I806" s="7" t="s">
        <v>198</v>
      </c>
      <c r="J806" s="105" t="s">
        <v>5188</v>
      </c>
      <c r="K806" s="266">
        <f t="shared" si="182"/>
        <v>2018</v>
      </c>
      <c r="L806" s="389"/>
      <c r="M806" s="389"/>
      <c r="N806" s="32" t="s">
        <v>2351</v>
      </c>
      <c r="O806" s="32" t="s">
        <v>2352</v>
      </c>
      <c r="P806" s="278" t="s">
        <v>2353</v>
      </c>
      <c r="Q806" s="233" t="s">
        <v>2350</v>
      </c>
      <c r="R806" s="75">
        <v>4123</v>
      </c>
      <c r="S806" s="75">
        <v>31864</v>
      </c>
      <c r="T806" s="75">
        <v>35987</v>
      </c>
      <c r="U806" s="200">
        <v>2276</v>
      </c>
      <c r="V806" s="287">
        <f t="shared" ca="1" si="183"/>
        <v>10</v>
      </c>
      <c r="W806" s="75">
        <f t="shared" ca="1" si="184"/>
        <v>19915</v>
      </c>
      <c r="X806" s="200">
        <f t="shared" ca="1" si="185"/>
        <v>54195</v>
      </c>
      <c r="Y806" s="1">
        <v>0.5</v>
      </c>
      <c r="Z806" s="1"/>
      <c r="AA806" s="219"/>
      <c r="AB806" s="302" t="s">
        <v>6746</v>
      </c>
      <c r="AC806" s="302"/>
      <c r="AD806" s="302"/>
      <c r="AE806" s="302"/>
      <c r="AF806">
        <f t="shared" si="175"/>
        <v>0</v>
      </c>
    </row>
    <row r="807" spans="1:32" ht="26.25" hidden="1" x14ac:dyDescent="0.25">
      <c r="A807" s="322" t="s">
        <v>2354</v>
      </c>
      <c r="B807" s="93" t="str">
        <f t="shared" si="181"/>
        <v>YES</v>
      </c>
      <c r="C807" s="93" t="s">
        <v>5503</v>
      </c>
      <c r="D807" s="4">
        <v>39645</v>
      </c>
      <c r="E807" s="2">
        <v>39753</v>
      </c>
      <c r="F807" s="2">
        <f t="shared" si="176"/>
        <v>43405</v>
      </c>
      <c r="G807" s="6">
        <v>1046.45</v>
      </c>
      <c r="H807" s="7" t="s">
        <v>1575</v>
      </c>
      <c r="I807" s="7" t="s">
        <v>198</v>
      </c>
      <c r="J807" s="105" t="s">
        <v>5188</v>
      </c>
      <c r="K807" s="266">
        <f t="shared" si="182"/>
        <v>2018</v>
      </c>
      <c r="L807" s="389"/>
      <c r="M807" s="389"/>
      <c r="N807" s="32" t="s">
        <v>2351</v>
      </c>
      <c r="O807" s="32" t="s">
        <v>2356</v>
      </c>
      <c r="P807" s="278" t="s">
        <v>2357</v>
      </c>
      <c r="Q807" s="233" t="s">
        <v>2355</v>
      </c>
      <c r="R807" s="75">
        <v>3804.5</v>
      </c>
      <c r="S807" s="75">
        <v>29316</v>
      </c>
      <c r="T807" s="75">
        <v>33120.5</v>
      </c>
      <c r="U807" s="200">
        <v>2094</v>
      </c>
      <c r="V807" s="287">
        <f t="shared" ca="1" si="183"/>
        <v>10</v>
      </c>
      <c r="W807" s="75">
        <f t="shared" ca="1" si="184"/>
        <v>18322.5</v>
      </c>
      <c r="X807" s="200">
        <f t="shared" ca="1" si="185"/>
        <v>49872.5</v>
      </c>
      <c r="Y807" s="1">
        <v>0.5</v>
      </c>
      <c r="Z807" s="1"/>
      <c r="AA807" s="219"/>
      <c r="AB807" s="302" t="s">
        <v>6747</v>
      </c>
      <c r="AC807" s="302"/>
      <c r="AD807" s="302"/>
      <c r="AE807" s="302"/>
      <c r="AF807">
        <f t="shared" si="175"/>
        <v>0</v>
      </c>
    </row>
    <row r="808" spans="1:32" ht="39" hidden="1" x14ac:dyDescent="0.25">
      <c r="A808" s="322" t="s">
        <v>2358</v>
      </c>
      <c r="B808" s="93" t="str">
        <f t="shared" si="181"/>
        <v>YES</v>
      </c>
      <c r="C808" s="93" t="s">
        <v>5503</v>
      </c>
      <c r="D808" s="4">
        <v>39645</v>
      </c>
      <c r="E808" s="2">
        <v>39753</v>
      </c>
      <c r="F808" s="2">
        <f t="shared" si="176"/>
        <v>43405</v>
      </c>
      <c r="G808" s="6">
        <v>1765.55</v>
      </c>
      <c r="H808" s="7" t="s">
        <v>1575</v>
      </c>
      <c r="I808" s="7" t="s">
        <v>198</v>
      </c>
      <c r="J808" s="105" t="s">
        <v>5188</v>
      </c>
      <c r="K808" s="266">
        <f t="shared" si="182"/>
        <v>2018</v>
      </c>
      <c r="L808" s="389"/>
      <c r="M808" s="389"/>
      <c r="N808" s="32" t="s">
        <v>2351</v>
      </c>
      <c r="O808" s="32" t="s">
        <v>2356</v>
      </c>
      <c r="P808" s="278" t="s">
        <v>2360</v>
      </c>
      <c r="Q808" s="233" t="s">
        <v>2359</v>
      </c>
      <c r="R808" s="75">
        <v>6321</v>
      </c>
      <c r="S808" s="75">
        <v>40618</v>
      </c>
      <c r="T808" s="75">
        <v>46939</v>
      </c>
      <c r="U808" s="200">
        <v>3532</v>
      </c>
      <c r="V808" s="287">
        <f t="shared" ca="1" si="183"/>
        <v>10</v>
      </c>
      <c r="W808" s="75">
        <f t="shared" ca="1" si="184"/>
        <v>30905</v>
      </c>
      <c r="X808" s="200">
        <f t="shared" ca="1" si="185"/>
        <v>75195</v>
      </c>
      <c r="Y808" s="1">
        <v>0.5</v>
      </c>
      <c r="Z808" s="1"/>
      <c r="AA808" s="219"/>
      <c r="AB808" s="302" t="s">
        <v>6748</v>
      </c>
      <c r="AC808" s="302"/>
      <c r="AD808" s="302"/>
      <c r="AE808" s="302"/>
      <c r="AF808">
        <f t="shared" si="175"/>
        <v>0</v>
      </c>
    </row>
    <row r="809" spans="1:32" ht="39" hidden="1" x14ac:dyDescent="0.25">
      <c r="A809" s="322" t="s">
        <v>2361</v>
      </c>
      <c r="B809" s="93" t="str">
        <f t="shared" si="181"/>
        <v>YES</v>
      </c>
      <c r="C809" s="93" t="s">
        <v>5503</v>
      </c>
      <c r="D809" s="4">
        <v>39645</v>
      </c>
      <c r="E809" s="2">
        <v>39753</v>
      </c>
      <c r="F809" s="2">
        <f t="shared" si="176"/>
        <v>43405</v>
      </c>
      <c r="G809" s="6">
        <v>960</v>
      </c>
      <c r="H809" s="7" t="s">
        <v>1575</v>
      </c>
      <c r="I809" s="7" t="s">
        <v>198</v>
      </c>
      <c r="J809" s="105" t="s">
        <v>5188</v>
      </c>
      <c r="K809" s="266">
        <f t="shared" si="182"/>
        <v>2018</v>
      </c>
      <c r="L809" s="389"/>
      <c r="M809" s="389"/>
      <c r="N809" s="32" t="s">
        <v>2351</v>
      </c>
      <c r="O809" s="32" t="s">
        <v>2356</v>
      </c>
      <c r="P809" s="278" t="s">
        <v>2363</v>
      </c>
      <c r="Q809" s="233" t="s">
        <v>2362</v>
      </c>
      <c r="R809" s="75">
        <v>3500</v>
      </c>
      <c r="S809" s="75">
        <v>26880</v>
      </c>
      <c r="T809" s="75">
        <v>30380</v>
      </c>
      <c r="U809" s="200">
        <v>1920</v>
      </c>
      <c r="V809" s="287">
        <f t="shared" ca="1" si="183"/>
        <v>10</v>
      </c>
      <c r="W809" s="75">
        <f t="shared" ca="1" si="184"/>
        <v>16800</v>
      </c>
      <c r="X809" s="200">
        <f t="shared" ca="1" si="185"/>
        <v>45740</v>
      </c>
      <c r="Y809" s="1">
        <v>0.5</v>
      </c>
      <c r="Z809" s="1"/>
      <c r="AA809" s="219"/>
      <c r="AB809" s="302" t="s">
        <v>6749</v>
      </c>
      <c r="AC809" s="302"/>
      <c r="AD809" s="302"/>
      <c r="AE809" s="302"/>
      <c r="AF809">
        <f t="shared" si="175"/>
        <v>0</v>
      </c>
    </row>
    <row r="810" spans="1:32" ht="26.25" hidden="1" x14ac:dyDescent="0.25">
      <c r="A810" s="322" t="s">
        <v>2364</v>
      </c>
      <c r="B810" s="93" t="str">
        <f t="shared" si="181"/>
        <v>YES</v>
      </c>
      <c r="C810" s="93" t="s">
        <v>5503</v>
      </c>
      <c r="D810" s="4">
        <v>39645</v>
      </c>
      <c r="E810" s="2">
        <v>39753</v>
      </c>
      <c r="F810" s="2">
        <f t="shared" si="176"/>
        <v>43405</v>
      </c>
      <c r="G810" s="6">
        <v>283.60000000000002</v>
      </c>
      <c r="H810" s="7" t="s">
        <v>2366</v>
      </c>
      <c r="I810" s="7" t="s">
        <v>15</v>
      </c>
      <c r="J810" s="109" t="s">
        <v>4817</v>
      </c>
      <c r="K810" s="266">
        <f t="shared" si="182"/>
        <v>2018</v>
      </c>
      <c r="L810" s="385"/>
      <c r="M810" s="385"/>
      <c r="N810" s="32" t="s">
        <v>2367</v>
      </c>
      <c r="O810" s="32" t="s">
        <v>2368</v>
      </c>
      <c r="P810" s="278" t="s">
        <v>2369</v>
      </c>
      <c r="Q810" s="233" t="s">
        <v>2365</v>
      </c>
      <c r="R810" s="75">
        <v>1134</v>
      </c>
      <c r="S810" s="75">
        <v>266392</v>
      </c>
      <c r="T810" s="75">
        <v>267526</v>
      </c>
      <c r="U810" s="200">
        <v>568</v>
      </c>
      <c r="V810" s="287">
        <f t="shared" ca="1" si="183"/>
        <v>10</v>
      </c>
      <c r="W810" s="75">
        <f t="shared" ca="1" si="184"/>
        <v>4970</v>
      </c>
      <c r="X810" s="200">
        <f t="shared" ca="1" si="185"/>
        <v>272070</v>
      </c>
      <c r="Y810" s="1">
        <v>0.5</v>
      </c>
      <c r="Z810" s="1"/>
      <c r="AA810" s="219"/>
      <c r="AB810" s="302" t="s">
        <v>6750</v>
      </c>
      <c r="AC810" s="302"/>
      <c r="AD810" s="302"/>
      <c r="AE810" s="302"/>
      <c r="AF810">
        <f t="shared" si="175"/>
        <v>0</v>
      </c>
    </row>
    <row r="811" spans="1:32" ht="26.25" hidden="1" x14ac:dyDescent="0.25">
      <c r="A811" s="322" t="s">
        <v>2370</v>
      </c>
      <c r="B811" s="93" t="str">
        <f t="shared" si="181"/>
        <v>YES</v>
      </c>
      <c r="C811" s="93" t="s">
        <v>5503</v>
      </c>
      <c r="D811" s="4">
        <v>39645</v>
      </c>
      <c r="E811" s="2">
        <v>39753</v>
      </c>
      <c r="F811" s="2">
        <f t="shared" si="176"/>
        <v>43405</v>
      </c>
      <c r="G811" s="6">
        <v>2272.88</v>
      </c>
      <c r="H811" s="7" t="s">
        <v>209</v>
      </c>
      <c r="I811" s="7" t="s">
        <v>15</v>
      </c>
      <c r="J811" s="189"/>
      <c r="K811" s="266">
        <f t="shared" si="182"/>
        <v>2018</v>
      </c>
      <c r="L811" s="389"/>
      <c r="M811" s="389"/>
      <c r="N811" s="32" t="s">
        <v>2372</v>
      </c>
      <c r="O811" s="32" t="s">
        <v>2368</v>
      </c>
      <c r="P811" s="278" t="s">
        <v>2373</v>
      </c>
      <c r="Q811" s="233" t="s">
        <v>2371</v>
      </c>
      <c r="R811" s="75">
        <v>8095.5</v>
      </c>
      <c r="S811" s="75">
        <v>290944</v>
      </c>
      <c r="T811" s="75">
        <v>299039.5</v>
      </c>
      <c r="U811" s="200">
        <v>4546</v>
      </c>
      <c r="V811" s="287">
        <f t="shared" ca="1" si="183"/>
        <v>10</v>
      </c>
      <c r="W811" s="75">
        <f t="shared" ca="1" si="184"/>
        <v>39777.5</v>
      </c>
      <c r="X811" s="200">
        <f t="shared" ca="1" si="185"/>
        <v>335407.5</v>
      </c>
      <c r="Y811" s="1">
        <v>0.5</v>
      </c>
      <c r="Z811" s="1"/>
      <c r="AA811" s="219"/>
      <c r="AB811" s="302" t="s">
        <v>6751</v>
      </c>
      <c r="AC811" s="302"/>
      <c r="AD811" s="302"/>
      <c r="AE811" s="302"/>
      <c r="AF811">
        <f t="shared" si="175"/>
        <v>0</v>
      </c>
    </row>
    <row r="812" spans="1:32" ht="26.25" hidden="1" x14ac:dyDescent="0.25">
      <c r="A812" s="322" t="s">
        <v>2374</v>
      </c>
      <c r="B812" s="93" t="str">
        <f t="shared" si="181"/>
        <v>YES</v>
      </c>
      <c r="C812" s="93" t="s">
        <v>5503</v>
      </c>
      <c r="D812" s="4">
        <v>39645</v>
      </c>
      <c r="E812" s="2">
        <v>39753</v>
      </c>
      <c r="F812" s="2">
        <f t="shared" si="176"/>
        <v>43405</v>
      </c>
      <c r="G812" s="6">
        <v>1493.85</v>
      </c>
      <c r="H812" s="7" t="s">
        <v>209</v>
      </c>
      <c r="I812" s="7" t="s">
        <v>15</v>
      </c>
      <c r="J812" s="189"/>
      <c r="K812" s="266">
        <f t="shared" si="182"/>
        <v>2018</v>
      </c>
      <c r="L812" s="389"/>
      <c r="M812" s="389"/>
      <c r="N812" s="32" t="s">
        <v>2376</v>
      </c>
      <c r="O812" s="32" t="s">
        <v>2368</v>
      </c>
      <c r="P812" s="278" t="s">
        <v>2377</v>
      </c>
      <c r="Q812" s="233" t="s">
        <v>2375</v>
      </c>
      <c r="R812" s="75">
        <v>5369</v>
      </c>
      <c r="S812" s="75">
        <v>191232</v>
      </c>
      <c r="T812" s="75">
        <v>196601</v>
      </c>
      <c r="U812" s="200">
        <v>2988</v>
      </c>
      <c r="V812" s="287">
        <f t="shared" ca="1" si="183"/>
        <v>10</v>
      </c>
      <c r="W812" s="75">
        <f t="shared" ca="1" si="184"/>
        <v>26145</v>
      </c>
      <c r="X812" s="200">
        <f t="shared" ca="1" si="185"/>
        <v>220505</v>
      </c>
      <c r="Y812" s="1">
        <v>0.5</v>
      </c>
      <c r="Z812" s="1"/>
      <c r="AA812" s="219"/>
      <c r="AB812" s="302" t="s">
        <v>6752</v>
      </c>
      <c r="AC812" s="302"/>
      <c r="AD812" s="302"/>
      <c r="AE812" s="302"/>
      <c r="AF812">
        <f t="shared" si="175"/>
        <v>0</v>
      </c>
    </row>
    <row r="813" spans="1:32" ht="26.25" hidden="1" x14ac:dyDescent="0.25">
      <c r="A813" s="322" t="s">
        <v>2378</v>
      </c>
      <c r="B813" s="93" t="str">
        <f>IF(COUNTIF(GIS,A813),"YES","NO")</f>
        <v>YES</v>
      </c>
      <c r="C813" s="93" t="s">
        <v>5503</v>
      </c>
      <c r="D813" s="4">
        <v>39645</v>
      </c>
      <c r="E813" s="2">
        <v>39753</v>
      </c>
      <c r="F813" s="2">
        <f t="shared" si="176"/>
        <v>43405</v>
      </c>
      <c r="G813" s="6">
        <v>183.19</v>
      </c>
      <c r="H813" s="7" t="s">
        <v>209</v>
      </c>
      <c r="I813" s="7" t="s">
        <v>15</v>
      </c>
      <c r="J813" s="189"/>
      <c r="K813" s="266">
        <f t="shared" si="182"/>
        <v>2018</v>
      </c>
      <c r="L813" s="389"/>
      <c r="M813" s="389"/>
      <c r="N813" s="32" t="s">
        <v>2376</v>
      </c>
      <c r="O813" s="32" t="s">
        <v>2368</v>
      </c>
      <c r="P813" s="278" t="s">
        <v>2380</v>
      </c>
      <c r="Q813" s="233" t="s">
        <v>2379</v>
      </c>
      <c r="R813" s="75">
        <v>784</v>
      </c>
      <c r="S813" s="75">
        <v>41032</v>
      </c>
      <c r="T813" s="75">
        <v>41816</v>
      </c>
      <c r="U813" s="200">
        <v>368</v>
      </c>
      <c r="V813" s="287">
        <f t="shared" ca="1" si="183"/>
        <v>10</v>
      </c>
      <c r="W813" s="75">
        <f t="shared" ca="1" si="184"/>
        <v>3220</v>
      </c>
      <c r="X813" s="200">
        <f t="shared" ca="1" si="185"/>
        <v>44760</v>
      </c>
      <c r="Y813" s="1">
        <v>0.5</v>
      </c>
      <c r="Z813" s="1"/>
      <c r="AA813" s="219"/>
      <c r="AB813" s="302" t="s">
        <v>6753</v>
      </c>
      <c r="AC813" s="302"/>
      <c r="AD813" s="302"/>
      <c r="AE813" s="302"/>
      <c r="AF813">
        <f t="shared" si="175"/>
        <v>0</v>
      </c>
    </row>
    <row r="814" spans="1:32" ht="26.25" hidden="1" x14ac:dyDescent="0.25">
      <c r="A814" s="322" t="s">
        <v>2381</v>
      </c>
      <c r="B814" s="93" t="str">
        <f>IF(COUNTIF(GIS,A814),"YES","NO")</f>
        <v>YES</v>
      </c>
      <c r="C814" s="93" t="s">
        <v>5503</v>
      </c>
      <c r="D814" s="4">
        <v>39645</v>
      </c>
      <c r="E814" s="2">
        <v>39753</v>
      </c>
      <c r="F814" s="2">
        <f t="shared" si="176"/>
        <v>43405</v>
      </c>
      <c r="G814" s="6">
        <v>1237.06</v>
      </c>
      <c r="H814" s="7" t="s">
        <v>420</v>
      </c>
      <c r="I814" s="7" t="s">
        <v>15</v>
      </c>
      <c r="J814" s="105" t="s">
        <v>7647</v>
      </c>
      <c r="K814" s="266">
        <f t="shared" si="182"/>
        <v>2018</v>
      </c>
      <c r="L814" s="386"/>
      <c r="M814" s="386"/>
      <c r="N814" s="32" t="s">
        <v>2372</v>
      </c>
      <c r="O814" s="32" t="s">
        <v>2368</v>
      </c>
      <c r="P814" s="278" t="s">
        <v>2383</v>
      </c>
      <c r="Q814" s="233" t="s">
        <v>2382</v>
      </c>
      <c r="R814" s="75">
        <v>4473</v>
      </c>
      <c r="S814" s="75">
        <v>443204</v>
      </c>
      <c r="T814" s="75">
        <v>447677</v>
      </c>
      <c r="U814" s="200">
        <v>2476</v>
      </c>
      <c r="V814" s="287">
        <f t="shared" ca="1" si="183"/>
        <v>10</v>
      </c>
      <c r="W814" s="75">
        <f t="shared" ca="1" si="184"/>
        <v>21665</v>
      </c>
      <c r="X814" s="200">
        <f t="shared" ca="1" si="185"/>
        <v>467485</v>
      </c>
      <c r="Y814" s="1">
        <v>0.5</v>
      </c>
      <c r="Z814" s="1"/>
      <c r="AA814" s="219"/>
      <c r="AB814" s="312" t="s">
        <v>6754</v>
      </c>
      <c r="AC814" s="310">
        <v>43383</v>
      </c>
      <c r="AD814" s="311">
        <v>0.2</v>
      </c>
      <c r="AE814" s="302" t="s">
        <v>5388</v>
      </c>
      <c r="AF814">
        <f t="shared" si="175"/>
        <v>0</v>
      </c>
    </row>
    <row r="815" spans="1:32" ht="51.75" hidden="1" x14ac:dyDescent="0.25">
      <c r="A815" s="322" t="s">
        <v>2384</v>
      </c>
      <c r="B815" s="93" t="str">
        <f>IF(COUNTIF(GIS,A815),"YES","NO")</f>
        <v>NO</v>
      </c>
      <c r="C815" s="93" t="s">
        <v>5503</v>
      </c>
      <c r="D815" s="4">
        <v>39645</v>
      </c>
      <c r="E815" s="2">
        <v>39753</v>
      </c>
      <c r="F815" s="2">
        <f t="shared" si="176"/>
        <v>43405</v>
      </c>
      <c r="G815" s="6">
        <v>579.02</v>
      </c>
      <c r="H815" s="7" t="s">
        <v>1359</v>
      </c>
      <c r="I815" s="7" t="s">
        <v>15</v>
      </c>
      <c r="J815" s="105" t="s">
        <v>2388</v>
      </c>
      <c r="K815" s="266">
        <f t="shared" si="182"/>
        <v>2018</v>
      </c>
      <c r="L815" s="381"/>
      <c r="M815" s="381"/>
      <c r="N815" s="32" t="s">
        <v>2386</v>
      </c>
      <c r="O815" s="32" t="s">
        <v>2368</v>
      </c>
      <c r="P815" s="278" t="s">
        <v>2387</v>
      </c>
      <c r="Q815" s="233" t="s">
        <v>2385</v>
      </c>
      <c r="R815" s="75">
        <v>2691.5</v>
      </c>
      <c r="S815" s="75">
        <v>202662</v>
      </c>
      <c r="T815" s="75">
        <v>205353.5</v>
      </c>
      <c r="U815" s="200">
        <v>1160</v>
      </c>
      <c r="V815" s="287">
        <f t="shared" ca="1" si="183"/>
        <v>10</v>
      </c>
      <c r="W815" s="75">
        <f t="shared" ca="1" si="184"/>
        <v>10150</v>
      </c>
      <c r="X815" s="200">
        <f t="shared" ca="1" si="185"/>
        <v>214633.5</v>
      </c>
      <c r="Y815" s="1">
        <v>0.5</v>
      </c>
      <c r="Z815" s="1"/>
      <c r="AA815" s="219"/>
      <c r="AB815" s="302" t="s">
        <v>6755</v>
      </c>
      <c r="AC815" s="302"/>
      <c r="AD815" s="302"/>
      <c r="AE815" s="302"/>
      <c r="AF815">
        <f t="shared" si="175"/>
        <v>0</v>
      </c>
    </row>
    <row r="816" spans="1:32" ht="26.25" hidden="1" x14ac:dyDescent="0.25">
      <c r="A816" s="322" t="s">
        <v>2389</v>
      </c>
      <c r="B816" s="93" t="str">
        <f>IF(COUNTIF(GIS,A816),"YES","NO")</f>
        <v>NO</v>
      </c>
      <c r="C816" s="93" t="s">
        <v>5503</v>
      </c>
      <c r="D816" s="4">
        <v>39645</v>
      </c>
      <c r="E816" s="2">
        <v>39753</v>
      </c>
      <c r="F816" s="2">
        <f t="shared" si="176"/>
        <v>43405</v>
      </c>
      <c r="G816" s="6">
        <v>644.36</v>
      </c>
      <c r="H816" s="7" t="s">
        <v>1359</v>
      </c>
      <c r="I816" s="7" t="s">
        <v>15</v>
      </c>
      <c r="J816" s="186"/>
      <c r="K816" s="266">
        <f t="shared" si="182"/>
        <v>2018</v>
      </c>
      <c r="L816" s="386"/>
      <c r="M816" s="386"/>
      <c r="N816" s="32" t="s">
        <v>2386</v>
      </c>
      <c r="O816" s="32" t="s">
        <v>2368</v>
      </c>
      <c r="P816" s="278" t="s">
        <v>2391</v>
      </c>
      <c r="Q816" s="233" t="s">
        <v>2390</v>
      </c>
      <c r="R816" s="81">
        <v>2397.5</v>
      </c>
      <c r="S816" s="81">
        <v>185760</v>
      </c>
      <c r="T816" s="81">
        <v>188157.5</v>
      </c>
      <c r="U816" s="200">
        <v>1290</v>
      </c>
      <c r="V816" s="287">
        <f t="shared" ca="1" si="183"/>
        <v>10</v>
      </c>
      <c r="W816" s="75">
        <f t="shared" ca="1" si="184"/>
        <v>11287.5</v>
      </c>
      <c r="X816" s="200">
        <f t="shared" ca="1" si="185"/>
        <v>198477.5</v>
      </c>
      <c r="Y816" s="1">
        <v>0.5</v>
      </c>
      <c r="Z816" s="1"/>
      <c r="AA816" s="219"/>
      <c r="AB816" s="302" t="s">
        <v>6756</v>
      </c>
      <c r="AC816" s="302"/>
      <c r="AD816" s="302"/>
      <c r="AE816" s="302"/>
      <c r="AF816">
        <f t="shared" si="175"/>
        <v>0</v>
      </c>
    </row>
    <row r="817" spans="1:32" ht="15.75" hidden="1" thickBot="1" x14ac:dyDescent="0.3">
      <c r="A817" s="322"/>
      <c r="D817" s="4"/>
      <c r="E817" s="2"/>
      <c r="F817" s="2"/>
      <c r="G817" s="6"/>
      <c r="H817" s="7"/>
      <c r="I817" s="7"/>
      <c r="J817" s="186"/>
      <c r="K817" s="186"/>
      <c r="L817" s="386"/>
      <c r="M817" s="386"/>
      <c r="N817" s="32"/>
      <c r="O817" s="32"/>
      <c r="P817" s="278"/>
      <c r="Q817" s="233"/>
      <c r="R817" s="76">
        <v>61845</v>
      </c>
      <c r="S817" s="76">
        <v>2746300</v>
      </c>
      <c r="T817" s="76">
        <v>2808145</v>
      </c>
      <c r="U817" s="200"/>
      <c r="V817" s="75"/>
      <c r="W817" s="75"/>
      <c r="X817" s="200"/>
      <c r="Y817" s="1"/>
      <c r="Z817" s="1"/>
      <c r="AA817" s="219"/>
      <c r="AB817" s="302"/>
      <c r="AC817" s="302"/>
      <c r="AD817" s="302"/>
      <c r="AE817" s="302"/>
      <c r="AF817">
        <f t="shared" si="175"/>
        <v>0</v>
      </c>
    </row>
    <row r="818" spans="1:32" hidden="1" x14ac:dyDescent="0.25">
      <c r="A818" s="322"/>
      <c r="D818" s="4"/>
      <c r="E818" s="2"/>
      <c r="F818" s="2"/>
      <c r="G818" s="6"/>
      <c r="H818" s="7"/>
      <c r="I818" s="7"/>
      <c r="J818" s="186"/>
      <c r="K818" s="186"/>
      <c r="L818" s="386"/>
      <c r="M818" s="386"/>
      <c r="N818" s="32"/>
      <c r="O818" s="32"/>
      <c r="P818" s="278"/>
      <c r="Q818" s="233" t="s">
        <v>2392</v>
      </c>
      <c r="R818" s="75">
        <v>61845</v>
      </c>
      <c r="S818" s="75"/>
      <c r="T818" s="75">
        <v>61845</v>
      </c>
      <c r="U818" s="200"/>
      <c r="V818" s="75"/>
      <c r="W818" s="75"/>
      <c r="X818" s="200"/>
      <c r="Y818" s="1"/>
      <c r="Z818" s="1"/>
      <c r="AA818" s="219"/>
      <c r="AB818" s="302"/>
      <c r="AC818" s="302"/>
      <c r="AD818" s="302"/>
      <c r="AE818" s="302"/>
      <c r="AF818">
        <f t="shared" si="175"/>
        <v>0</v>
      </c>
    </row>
    <row r="819" spans="1:32" hidden="1" x14ac:dyDescent="0.25">
      <c r="A819" s="322"/>
      <c r="D819" s="4"/>
      <c r="E819" s="2"/>
      <c r="F819" s="2"/>
      <c r="G819" s="6"/>
      <c r="H819" s="7"/>
      <c r="I819" s="7"/>
      <c r="J819" s="186"/>
      <c r="K819" s="186"/>
      <c r="L819" s="386"/>
      <c r="M819" s="386"/>
      <c r="N819" s="32"/>
      <c r="O819" s="32"/>
      <c r="P819" s="278"/>
      <c r="Q819" s="233" t="s">
        <v>2393</v>
      </c>
      <c r="R819" s="75"/>
      <c r="S819" s="75">
        <v>37000</v>
      </c>
      <c r="T819" s="75">
        <v>37000</v>
      </c>
      <c r="U819" s="200"/>
      <c r="V819" s="75"/>
      <c r="W819" s="75"/>
      <c r="X819" s="200"/>
      <c r="Y819" s="1"/>
      <c r="Z819" s="1"/>
      <c r="AA819" s="219"/>
      <c r="AB819" s="302"/>
      <c r="AC819" s="302"/>
      <c r="AD819" s="302"/>
      <c r="AE819" s="302"/>
      <c r="AF819">
        <f t="shared" si="175"/>
        <v>0</v>
      </c>
    </row>
    <row r="820" spans="1:32" hidden="1" x14ac:dyDescent="0.25">
      <c r="A820" s="322"/>
      <c r="D820" s="4"/>
      <c r="E820" s="2"/>
      <c r="F820" s="2"/>
      <c r="G820" s="6"/>
      <c r="H820" s="7"/>
      <c r="I820" s="7"/>
      <c r="J820" s="186"/>
      <c r="K820" s="186"/>
      <c r="L820" s="386"/>
      <c r="M820" s="386"/>
      <c r="N820" s="32"/>
      <c r="O820" s="32"/>
      <c r="P820" s="278"/>
      <c r="Q820" s="233" t="s">
        <v>2394</v>
      </c>
      <c r="R820" s="75"/>
      <c r="S820" s="75">
        <v>2709300</v>
      </c>
      <c r="T820" s="75">
        <v>2709300</v>
      </c>
      <c r="U820" s="200"/>
      <c r="V820" s="75"/>
      <c r="W820" s="75"/>
      <c r="X820" s="200"/>
      <c r="Y820" s="1"/>
      <c r="Z820" s="1"/>
      <c r="AA820" s="219"/>
      <c r="AB820" s="302"/>
      <c r="AC820" s="302"/>
      <c r="AD820" s="302"/>
      <c r="AE820" s="302"/>
      <c r="AF820">
        <f t="shared" si="175"/>
        <v>0</v>
      </c>
    </row>
    <row r="821" spans="1:32" hidden="1" x14ac:dyDescent="0.25">
      <c r="A821" s="322"/>
      <c r="D821" s="4"/>
      <c r="E821" s="2"/>
      <c r="F821" s="2"/>
      <c r="G821" s="6"/>
      <c r="H821" s="7"/>
      <c r="I821" s="7"/>
      <c r="J821" s="186"/>
      <c r="K821" s="186"/>
      <c r="L821" s="386"/>
      <c r="M821" s="386"/>
      <c r="N821" s="32"/>
      <c r="O821" s="32"/>
      <c r="P821" s="278"/>
      <c r="Q821" s="233"/>
      <c r="R821" s="75"/>
      <c r="S821" s="75"/>
      <c r="T821" s="75"/>
      <c r="U821" s="200"/>
      <c r="V821" s="75"/>
      <c r="W821" s="75"/>
      <c r="X821" s="200"/>
      <c r="Y821" s="1"/>
      <c r="Z821" s="1"/>
      <c r="AA821" s="219"/>
      <c r="AB821" s="302"/>
      <c r="AC821" s="302"/>
      <c r="AD821" s="302"/>
      <c r="AE821" s="302"/>
      <c r="AF821">
        <f t="shared" si="175"/>
        <v>0</v>
      </c>
    </row>
    <row r="822" spans="1:32" hidden="1" x14ac:dyDescent="0.25">
      <c r="A822" s="322"/>
      <c r="D822" s="4"/>
      <c r="E822" s="2"/>
      <c r="F822" s="2"/>
      <c r="G822" s="6"/>
      <c r="H822" s="7"/>
      <c r="I822" s="7"/>
      <c r="J822" s="186"/>
      <c r="K822" s="186"/>
      <c r="L822" s="386"/>
      <c r="M822" s="386"/>
      <c r="N822" s="32"/>
      <c r="O822" s="32"/>
      <c r="P822" s="278"/>
      <c r="Q822" s="233"/>
      <c r="R822" s="75"/>
      <c r="S822" s="75"/>
      <c r="T822" s="75"/>
      <c r="U822" s="200"/>
      <c r="V822" s="75"/>
      <c r="W822" s="75"/>
      <c r="X822" s="200"/>
      <c r="Y822" s="1"/>
      <c r="Z822" s="1"/>
      <c r="AA822" s="219"/>
      <c r="AB822" s="302"/>
      <c r="AC822" s="302"/>
      <c r="AD822" s="302"/>
      <c r="AE822" s="302"/>
      <c r="AF822">
        <f t="shared" si="175"/>
        <v>0</v>
      </c>
    </row>
    <row r="823" spans="1:32" hidden="1" x14ac:dyDescent="0.25">
      <c r="A823" s="322" t="s">
        <v>2395</v>
      </c>
      <c r="B823" s="93" t="str">
        <f>IF(COUNTIF(GIS,A823),"YES","NO")</f>
        <v>YES</v>
      </c>
      <c r="C823" s="93" t="s">
        <v>5503</v>
      </c>
      <c r="D823" s="4">
        <v>39716</v>
      </c>
      <c r="E823" s="2">
        <v>39783</v>
      </c>
      <c r="F823" s="2">
        <f t="shared" si="176"/>
        <v>43435</v>
      </c>
      <c r="G823" s="6">
        <v>40.090000000000003</v>
      </c>
      <c r="H823" s="7" t="s">
        <v>2831</v>
      </c>
      <c r="I823" s="7" t="s">
        <v>79</v>
      </c>
      <c r="J823" s="186"/>
      <c r="K823" s="266">
        <f t="shared" ref="K823:K861" si="186">YEAR(F823)</f>
        <v>2018</v>
      </c>
      <c r="L823" s="386"/>
      <c r="M823" s="386"/>
      <c r="N823" s="32" t="s">
        <v>1045</v>
      </c>
      <c r="O823" s="32" t="s">
        <v>2398</v>
      </c>
      <c r="P823" s="278" t="s">
        <v>2399</v>
      </c>
      <c r="Q823" s="238" t="s">
        <v>2396</v>
      </c>
      <c r="R823" s="75"/>
      <c r="S823" s="75"/>
      <c r="T823" s="75">
        <v>693.5</v>
      </c>
      <c r="U823" s="200">
        <v>82</v>
      </c>
      <c r="V823" s="287">
        <f t="shared" ref="V823:V861" ca="1" si="187">IF(YEAR($W$3)-YEAR(E823)&gt;9,10,IF(MONTH($W$3)&lt;MONTH(E823),YEAR($W$3)-YEAR(E823),YEAR($W$3)-YEAR(E823)+1))</f>
        <v>10</v>
      </c>
      <c r="W823" s="75">
        <f t="shared" ref="W823:W861" ca="1" si="188">IF(V823&lt;6, ROUNDUP(G823,0)*$W$6*V823, ROUNDUP(G823,0)*($W$6*5 + (V823-5)*$W$7))</f>
        <v>717.5</v>
      </c>
      <c r="X823" s="200">
        <f t="shared" ref="X823:X861" ca="1" si="189">IF(V823=0,T823,((T823-ROUNDUP(G823,0)*1.5)+W823))</f>
        <v>1349.5</v>
      </c>
      <c r="Y823" s="1">
        <v>0.45</v>
      </c>
      <c r="Z823" s="1">
        <v>0.1</v>
      </c>
      <c r="AA823" s="219"/>
      <c r="AB823" s="302" t="s">
        <v>6757</v>
      </c>
      <c r="AC823" s="302"/>
      <c r="AD823" s="302"/>
      <c r="AE823" s="302"/>
      <c r="AF823">
        <f t="shared" si="175"/>
        <v>0</v>
      </c>
    </row>
    <row r="824" spans="1:32" hidden="1" x14ac:dyDescent="0.25">
      <c r="A824" s="322" t="s">
        <v>2400</v>
      </c>
      <c r="B824" s="93" t="str">
        <f t="shared" ref="B824:B859" si="190">IF(COUNTIF(GIS,A826),"YES","NO")</f>
        <v>YES</v>
      </c>
      <c r="C824" s="93" t="s">
        <v>5503</v>
      </c>
      <c r="D824" s="4">
        <v>39716</v>
      </c>
      <c r="E824" s="2">
        <v>39783</v>
      </c>
      <c r="F824" s="2">
        <f t="shared" si="176"/>
        <v>43435</v>
      </c>
      <c r="G824" s="6">
        <v>494.6</v>
      </c>
      <c r="H824" s="7" t="s">
        <v>92</v>
      </c>
      <c r="I824" s="7" t="s">
        <v>79</v>
      </c>
      <c r="J824" s="186"/>
      <c r="K824" s="266">
        <f t="shared" si="186"/>
        <v>2018</v>
      </c>
      <c r="L824" s="386"/>
      <c r="M824" s="386"/>
      <c r="N824" s="32" t="s">
        <v>1045</v>
      </c>
      <c r="O824" s="32" t="s">
        <v>2402</v>
      </c>
      <c r="P824" s="278" t="s">
        <v>2403</v>
      </c>
      <c r="Q824" s="238" t="s">
        <v>2401</v>
      </c>
      <c r="R824" s="75"/>
      <c r="S824" s="75"/>
      <c r="T824" s="75">
        <v>6822.5</v>
      </c>
      <c r="U824" s="200">
        <v>990</v>
      </c>
      <c r="V824" s="287">
        <f t="shared" ca="1" si="187"/>
        <v>10</v>
      </c>
      <c r="W824" s="75">
        <f t="shared" ca="1" si="188"/>
        <v>8662.5</v>
      </c>
      <c r="X824" s="200">
        <f t="shared" ca="1" si="189"/>
        <v>14742.5</v>
      </c>
      <c r="Y824" s="1">
        <v>0.45</v>
      </c>
      <c r="Z824" s="1">
        <v>0.1</v>
      </c>
      <c r="AA824" s="219"/>
      <c r="AB824" s="302" t="s">
        <v>6758</v>
      </c>
      <c r="AC824" s="302"/>
      <c r="AD824" s="302"/>
      <c r="AE824" s="302"/>
      <c r="AF824">
        <f t="shared" si="175"/>
        <v>0</v>
      </c>
    </row>
    <row r="825" spans="1:32" hidden="1" x14ac:dyDescent="0.25">
      <c r="A825" s="322" t="s">
        <v>2404</v>
      </c>
      <c r="B825" s="93" t="str">
        <f t="shared" si="190"/>
        <v>YES</v>
      </c>
      <c r="C825" s="93" t="s">
        <v>5503</v>
      </c>
      <c r="D825" s="4">
        <v>39716</v>
      </c>
      <c r="E825" s="2">
        <v>39783</v>
      </c>
      <c r="F825" s="2">
        <f t="shared" si="176"/>
        <v>43435</v>
      </c>
      <c r="G825" s="6">
        <v>436.34</v>
      </c>
      <c r="H825" s="7" t="s">
        <v>92</v>
      </c>
      <c r="I825" s="7" t="s">
        <v>79</v>
      </c>
      <c r="J825" s="186"/>
      <c r="K825" s="266">
        <f t="shared" si="186"/>
        <v>2018</v>
      </c>
      <c r="L825" s="386"/>
      <c r="M825" s="386"/>
      <c r="N825" s="32" t="s">
        <v>1045</v>
      </c>
      <c r="O825" s="32" t="s">
        <v>2402</v>
      </c>
      <c r="P825" s="278" t="s">
        <v>2406</v>
      </c>
      <c r="Q825" s="238" t="s">
        <v>2405</v>
      </c>
      <c r="R825" s="75"/>
      <c r="S825" s="75"/>
      <c r="T825" s="75">
        <v>6039.5</v>
      </c>
      <c r="U825" s="200">
        <v>874</v>
      </c>
      <c r="V825" s="287">
        <f t="shared" ca="1" si="187"/>
        <v>10</v>
      </c>
      <c r="W825" s="75">
        <f t="shared" ca="1" si="188"/>
        <v>7647.5</v>
      </c>
      <c r="X825" s="200">
        <f t="shared" ca="1" si="189"/>
        <v>13031.5</v>
      </c>
      <c r="Y825" s="1">
        <v>0.45</v>
      </c>
      <c r="Z825" s="1">
        <v>0.1</v>
      </c>
      <c r="AA825" s="219"/>
      <c r="AB825" s="302" t="s">
        <v>6759</v>
      </c>
      <c r="AC825" s="302"/>
      <c r="AD825" s="302"/>
      <c r="AE825" s="302"/>
      <c r="AF825">
        <f t="shared" si="175"/>
        <v>0</v>
      </c>
    </row>
    <row r="826" spans="1:32" ht="26.25" hidden="1" x14ac:dyDescent="0.25">
      <c r="A826" s="322" t="s">
        <v>2407</v>
      </c>
      <c r="B826" s="93" t="str">
        <f t="shared" si="190"/>
        <v>YES</v>
      </c>
      <c r="C826" s="93" t="s">
        <v>5503</v>
      </c>
      <c r="D826" s="4">
        <v>39716</v>
      </c>
      <c r="E826" s="2">
        <v>39783</v>
      </c>
      <c r="F826" s="2">
        <f t="shared" si="176"/>
        <v>43435</v>
      </c>
      <c r="G826" s="6">
        <v>606.899</v>
      </c>
      <c r="H826" s="7" t="s">
        <v>92</v>
      </c>
      <c r="I826" s="7" t="s">
        <v>79</v>
      </c>
      <c r="J826" s="186"/>
      <c r="K826" s="266">
        <f t="shared" si="186"/>
        <v>2018</v>
      </c>
      <c r="L826" s="386"/>
      <c r="M826" s="386"/>
      <c r="N826" s="32" t="s">
        <v>1045</v>
      </c>
      <c r="O826" s="32" t="s">
        <v>2402</v>
      </c>
      <c r="P826" s="278" t="s">
        <v>2409</v>
      </c>
      <c r="Q826" s="238" t="s">
        <v>2408</v>
      </c>
      <c r="R826" s="75"/>
      <c r="S826" s="75"/>
      <c r="T826" s="75">
        <v>8941.5</v>
      </c>
      <c r="U826" s="200">
        <v>1214</v>
      </c>
      <c r="V826" s="287">
        <f t="shared" ca="1" si="187"/>
        <v>10</v>
      </c>
      <c r="W826" s="75">
        <f t="shared" ca="1" si="188"/>
        <v>10622.5</v>
      </c>
      <c r="X826" s="200">
        <f t="shared" ca="1" si="189"/>
        <v>18653.5</v>
      </c>
      <c r="Y826" s="1">
        <v>0.45</v>
      </c>
      <c r="Z826" s="1">
        <v>0.1</v>
      </c>
      <c r="AA826" s="219"/>
      <c r="AB826" s="302" t="s">
        <v>6760</v>
      </c>
      <c r="AC826" s="302"/>
      <c r="AD826" s="302"/>
      <c r="AE826" s="302"/>
      <c r="AF826">
        <f t="shared" si="175"/>
        <v>0</v>
      </c>
    </row>
    <row r="827" spans="1:32" hidden="1" x14ac:dyDescent="0.25">
      <c r="A827" s="322" t="s">
        <v>2410</v>
      </c>
      <c r="B827" s="93" t="str">
        <f t="shared" si="190"/>
        <v>YES</v>
      </c>
      <c r="C827" s="93" t="s">
        <v>5503</v>
      </c>
      <c r="D827" s="4">
        <v>39716</v>
      </c>
      <c r="E827" s="2">
        <v>39783</v>
      </c>
      <c r="F827" s="2">
        <f t="shared" si="176"/>
        <v>43435</v>
      </c>
      <c r="G827" s="6">
        <v>597.87</v>
      </c>
      <c r="H827" s="7" t="s">
        <v>92</v>
      </c>
      <c r="I827" s="7" t="s">
        <v>79</v>
      </c>
      <c r="J827" s="186"/>
      <c r="K827" s="266">
        <f t="shared" si="186"/>
        <v>2018</v>
      </c>
      <c r="L827" s="386"/>
      <c r="M827" s="386"/>
      <c r="N827" s="32" t="s">
        <v>1045</v>
      </c>
      <c r="O827" s="32" t="s">
        <v>2402</v>
      </c>
      <c r="P827" s="278" t="s">
        <v>2412</v>
      </c>
      <c r="Q827" s="238" t="s">
        <v>2411</v>
      </c>
      <c r="R827" s="75"/>
      <c r="S827" s="75"/>
      <c r="T827" s="75">
        <v>8213</v>
      </c>
      <c r="U827" s="200">
        <v>1196</v>
      </c>
      <c r="V827" s="287">
        <f t="shared" ca="1" si="187"/>
        <v>10</v>
      </c>
      <c r="W827" s="75">
        <f t="shared" ca="1" si="188"/>
        <v>10465</v>
      </c>
      <c r="X827" s="200">
        <f t="shared" ca="1" si="189"/>
        <v>17781</v>
      </c>
      <c r="Y827" s="1">
        <v>0.45</v>
      </c>
      <c r="Z827" s="1">
        <v>0.1</v>
      </c>
      <c r="AA827" s="219"/>
      <c r="AB827" s="302" t="s">
        <v>6761</v>
      </c>
      <c r="AC827" s="302"/>
      <c r="AD827" s="302"/>
      <c r="AE827" s="302"/>
      <c r="AF827">
        <f t="shared" si="175"/>
        <v>0</v>
      </c>
    </row>
    <row r="828" spans="1:32" hidden="1" x14ac:dyDescent="0.25">
      <c r="A828" s="322" t="s">
        <v>2413</v>
      </c>
      <c r="B828" s="93" t="str">
        <f t="shared" si="190"/>
        <v>YES</v>
      </c>
      <c r="C828" s="93" t="s">
        <v>5503</v>
      </c>
      <c r="D828" s="4">
        <v>39716</v>
      </c>
      <c r="E828" s="2">
        <v>39783</v>
      </c>
      <c r="F828" s="2">
        <f t="shared" si="176"/>
        <v>43435</v>
      </c>
      <c r="G828" s="6">
        <v>438.58</v>
      </c>
      <c r="H828" s="7" t="s">
        <v>92</v>
      </c>
      <c r="I828" s="7" t="s">
        <v>79</v>
      </c>
      <c r="J828" s="186"/>
      <c r="K828" s="266">
        <f t="shared" si="186"/>
        <v>2018</v>
      </c>
      <c r="L828" s="386"/>
      <c r="M828" s="386"/>
      <c r="N828" s="32" t="s">
        <v>1045</v>
      </c>
      <c r="O828" s="32" t="s">
        <v>2402</v>
      </c>
      <c r="P828" s="278" t="s">
        <v>2415</v>
      </c>
      <c r="Q828" s="238" t="s">
        <v>2414</v>
      </c>
      <c r="R828" s="75"/>
      <c r="S828" s="75"/>
      <c r="T828" s="75">
        <v>6066.5</v>
      </c>
      <c r="U828" s="200">
        <v>878</v>
      </c>
      <c r="V828" s="287">
        <f t="shared" ca="1" si="187"/>
        <v>10</v>
      </c>
      <c r="W828" s="75">
        <f t="shared" ca="1" si="188"/>
        <v>7682.5</v>
      </c>
      <c r="X828" s="200">
        <f t="shared" ca="1" si="189"/>
        <v>13090.5</v>
      </c>
      <c r="Y828" s="1">
        <v>0.45</v>
      </c>
      <c r="Z828" s="1">
        <v>0.1</v>
      </c>
      <c r="AA828" s="219"/>
      <c r="AB828" s="302" t="s">
        <v>6762</v>
      </c>
      <c r="AC828" s="302"/>
      <c r="AD828" s="302"/>
      <c r="AE828" s="302"/>
      <c r="AF828">
        <f t="shared" si="175"/>
        <v>0</v>
      </c>
    </row>
    <row r="829" spans="1:32" hidden="1" x14ac:dyDescent="0.25">
      <c r="A829" s="322" t="s">
        <v>2416</v>
      </c>
      <c r="B829" s="93" t="str">
        <f t="shared" si="190"/>
        <v>YES</v>
      </c>
      <c r="C829" s="93" t="s">
        <v>5503</v>
      </c>
      <c r="D829" s="4">
        <v>39716</v>
      </c>
      <c r="E829" s="2">
        <v>39783</v>
      </c>
      <c r="F829" s="2">
        <f t="shared" si="176"/>
        <v>43435</v>
      </c>
      <c r="G829" s="6">
        <v>311.89</v>
      </c>
      <c r="H829" s="7" t="s">
        <v>92</v>
      </c>
      <c r="I829" s="7" t="s">
        <v>79</v>
      </c>
      <c r="J829" s="186"/>
      <c r="K829" s="266">
        <f t="shared" si="186"/>
        <v>2018</v>
      </c>
      <c r="L829" s="386"/>
      <c r="M829" s="386"/>
      <c r="N829" s="32" t="s">
        <v>1045</v>
      </c>
      <c r="O829" s="32" t="s">
        <v>2402</v>
      </c>
      <c r="P829" s="278" t="s">
        <v>2418</v>
      </c>
      <c r="Q829" s="238" t="s">
        <v>2417</v>
      </c>
      <c r="R829" s="75"/>
      <c r="S829" s="75"/>
      <c r="T829" s="75">
        <v>4352</v>
      </c>
      <c r="U829" s="200">
        <v>624</v>
      </c>
      <c r="V829" s="287">
        <f t="shared" ca="1" si="187"/>
        <v>10</v>
      </c>
      <c r="W829" s="75">
        <f t="shared" ca="1" si="188"/>
        <v>5460</v>
      </c>
      <c r="X829" s="200">
        <f t="shared" ca="1" si="189"/>
        <v>9344</v>
      </c>
      <c r="Y829" s="1">
        <v>0.45</v>
      </c>
      <c r="Z829" s="1">
        <v>0.1</v>
      </c>
      <c r="AA829" s="219"/>
      <c r="AB829" s="302" t="s">
        <v>6763</v>
      </c>
      <c r="AC829" s="302"/>
      <c r="AD829" s="302"/>
      <c r="AE829" s="302"/>
      <c r="AF829">
        <f t="shared" si="175"/>
        <v>0</v>
      </c>
    </row>
    <row r="830" spans="1:32" hidden="1" x14ac:dyDescent="0.25">
      <c r="A830" s="322" t="s">
        <v>2419</v>
      </c>
      <c r="B830" s="93" t="str">
        <f t="shared" si="190"/>
        <v>YES</v>
      </c>
      <c r="C830" s="93" t="s">
        <v>5503</v>
      </c>
      <c r="D830" s="4">
        <v>39716</v>
      </c>
      <c r="E830" s="2">
        <v>39783</v>
      </c>
      <c r="F830" s="2">
        <f t="shared" si="176"/>
        <v>43435</v>
      </c>
      <c r="G830" s="6">
        <v>308.14</v>
      </c>
      <c r="H830" s="7" t="s">
        <v>92</v>
      </c>
      <c r="I830" s="7" t="s">
        <v>79</v>
      </c>
      <c r="J830" s="186"/>
      <c r="K830" s="266">
        <f t="shared" si="186"/>
        <v>2018</v>
      </c>
      <c r="L830" s="386"/>
      <c r="M830" s="386"/>
      <c r="N830" s="32" t="s">
        <v>1045</v>
      </c>
      <c r="O830" s="32" t="s">
        <v>2402</v>
      </c>
      <c r="P830" s="278" t="s">
        <v>2421</v>
      </c>
      <c r="Q830" s="238" t="s">
        <v>2420</v>
      </c>
      <c r="R830" s="75"/>
      <c r="S830" s="75"/>
      <c r="T830" s="75">
        <v>4311.5</v>
      </c>
      <c r="U830" s="200">
        <v>618</v>
      </c>
      <c r="V830" s="287">
        <f t="shared" ca="1" si="187"/>
        <v>10</v>
      </c>
      <c r="W830" s="75">
        <f t="shared" ca="1" si="188"/>
        <v>5407.5</v>
      </c>
      <c r="X830" s="200">
        <f t="shared" ca="1" si="189"/>
        <v>9255.5</v>
      </c>
      <c r="Y830" s="1">
        <v>0.45</v>
      </c>
      <c r="Z830" s="1">
        <v>0.1</v>
      </c>
      <c r="AA830" s="219"/>
      <c r="AB830" s="302" t="s">
        <v>6764</v>
      </c>
      <c r="AC830" s="302"/>
      <c r="AD830" s="302"/>
      <c r="AE830" s="302"/>
      <c r="AF830">
        <f t="shared" si="175"/>
        <v>0</v>
      </c>
    </row>
    <row r="831" spans="1:32" ht="26.25" hidden="1" x14ac:dyDescent="0.25">
      <c r="A831" s="322" t="s">
        <v>2422</v>
      </c>
      <c r="B831" s="93" t="str">
        <f t="shared" si="190"/>
        <v>YES</v>
      </c>
      <c r="C831" s="93" t="s">
        <v>5503</v>
      </c>
      <c r="D831" s="4">
        <v>39716</v>
      </c>
      <c r="E831" s="2">
        <v>39783</v>
      </c>
      <c r="F831" s="2">
        <f t="shared" si="176"/>
        <v>43435</v>
      </c>
      <c r="G831" s="6">
        <v>592.17999999999995</v>
      </c>
      <c r="H831" s="7" t="s">
        <v>92</v>
      </c>
      <c r="I831" s="7" t="s">
        <v>79</v>
      </c>
      <c r="J831" s="186"/>
      <c r="K831" s="266">
        <f t="shared" si="186"/>
        <v>2018</v>
      </c>
      <c r="L831" s="386"/>
      <c r="M831" s="386"/>
      <c r="N831" s="32" t="s">
        <v>1045</v>
      </c>
      <c r="O831" s="32" t="s">
        <v>2402</v>
      </c>
      <c r="P831" s="278" t="s">
        <v>2424</v>
      </c>
      <c r="Q831" s="238" t="s">
        <v>2423</v>
      </c>
      <c r="R831" s="75"/>
      <c r="S831" s="75"/>
      <c r="T831" s="75">
        <v>8145.5</v>
      </c>
      <c r="U831" s="200">
        <v>1186</v>
      </c>
      <c r="V831" s="287">
        <f t="shared" ca="1" si="187"/>
        <v>10</v>
      </c>
      <c r="W831" s="75">
        <f t="shared" ca="1" si="188"/>
        <v>10377.5</v>
      </c>
      <c r="X831" s="200">
        <f t="shared" ca="1" si="189"/>
        <v>17633.5</v>
      </c>
      <c r="Y831" s="1">
        <v>0.45</v>
      </c>
      <c r="Z831" s="1">
        <v>0.1</v>
      </c>
      <c r="AA831" s="219"/>
      <c r="AB831" s="302" t="s">
        <v>6765</v>
      </c>
      <c r="AC831" s="302"/>
      <c r="AD831" s="302"/>
      <c r="AE831" s="302"/>
      <c r="AF831">
        <f t="shared" si="175"/>
        <v>0</v>
      </c>
    </row>
    <row r="832" spans="1:32" ht="39" hidden="1" x14ac:dyDescent="0.25">
      <c r="A832" s="322" t="s">
        <v>2425</v>
      </c>
      <c r="B832" s="93" t="str">
        <f t="shared" si="190"/>
        <v>YES</v>
      </c>
      <c r="C832" s="93" t="s">
        <v>5503</v>
      </c>
      <c r="D832" s="4">
        <v>39716</v>
      </c>
      <c r="E832" s="2">
        <v>39783</v>
      </c>
      <c r="F832" s="2">
        <f t="shared" si="176"/>
        <v>43435</v>
      </c>
      <c r="G832" s="6">
        <v>601.91999999999996</v>
      </c>
      <c r="H832" s="7" t="s">
        <v>92</v>
      </c>
      <c r="I832" s="7" t="s">
        <v>79</v>
      </c>
      <c r="J832" s="186"/>
      <c r="K832" s="266">
        <f t="shared" si="186"/>
        <v>2018</v>
      </c>
      <c r="L832" s="386"/>
      <c r="M832" s="386"/>
      <c r="N832" s="32" t="s">
        <v>1045</v>
      </c>
      <c r="O832" s="32" t="s">
        <v>2402</v>
      </c>
      <c r="P832" s="278" t="s">
        <v>2427</v>
      </c>
      <c r="Q832" s="238" t="s">
        <v>2426</v>
      </c>
      <c r="R832" s="75"/>
      <c r="S832" s="75"/>
      <c r="T832" s="75">
        <v>8267</v>
      </c>
      <c r="U832" s="200">
        <v>1204</v>
      </c>
      <c r="V832" s="287">
        <f t="shared" ca="1" si="187"/>
        <v>10</v>
      </c>
      <c r="W832" s="75">
        <f t="shared" ca="1" si="188"/>
        <v>10535</v>
      </c>
      <c r="X832" s="200">
        <f t="shared" ca="1" si="189"/>
        <v>17899</v>
      </c>
      <c r="Y832" s="1">
        <v>0.45</v>
      </c>
      <c r="Z832" s="1">
        <v>0.1</v>
      </c>
      <c r="AA832" s="219"/>
      <c r="AB832" s="302" t="s">
        <v>6766</v>
      </c>
      <c r="AC832" s="302"/>
      <c r="AD832" s="302"/>
      <c r="AE832" s="302"/>
      <c r="AF832">
        <f t="shared" si="175"/>
        <v>0</v>
      </c>
    </row>
    <row r="833" spans="1:32" ht="26.25" hidden="1" x14ac:dyDescent="0.25">
      <c r="A833" s="322" t="s">
        <v>2428</v>
      </c>
      <c r="B833" s="93" t="str">
        <f t="shared" si="190"/>
        <v>YES</v>
      </c>
      <c r="C833" s="93" t="s">
        <v>5503</v>
      </c>
      <c r="D833" s="4">
        <v>39716</v>
      </c>
      <c r="E833" s="2">
        <v>39783</v>
      </c>
      <c r="F833" s="2">
        <f t="shared" si="176"/>
        <v>43435</v>
      </c>
      <c r="G833" s="6">
        <v>591.19000000000005</v>
      </c>
      <c r="H833" s="7" t="s">
        <v>92</v>
      </c>
      <c r="I833" s="7" t="s">
        <v>79</v>
      </c>
      <c r="J833" s="186"/>
      <c r="K833" s="266">
        <f t="shared" si="186"/>
        <v>2018</v>
      </c>
      <c r="L833" s="386"/>
      <c r="M833" s="386"/>
      <c r="N833" s="32" t="s">
        <v>1045</v>
      </c>
      <c r="O833" s="32" t="s">
        <v>2402</v>
      </c>
      <c r="P833" s="278" t="s">
        <v>2430</v>
      </c>
      <c r="Q833" s="238" t="s">
        <v>2429</v>
      </c>
      <c r="R833" s="75"/>
      <c r="S833" s="75"/>
      <c r="T833" s="75">
        <v>8132</v>
      </c>
      <c r="U833" s="200">
        <v>1184</v>
      </c>
      <c r="V833" s="287">
        <f t="shared" ca="1" si="187"/>
        <v>10</v>
      </c>
      <c r="W833" s="75">
        <f t="shared" ca="1" si="188"/>
        <v>10360</v>
      </c>
      <c r="X833" s="200">
        <f t="shared" ca="1" si="189"/>
        <v>17604</v>
      </c>
      <c r="Y833" s="1">
        <v>0.45</v>
      </c>
      <c r="Z833" s="1">
        <v>0.1</v>
      </c>
      <c r="AA833" s="219"/>
      <c r="AB833" s="302" t="s">
        <v>6767</v>
      </c>
      <c r="AC833" s="302"/>
      <c r="AD833" s="302"/>
      <c r="AE833" s="302"/>
      <c r="AF833">
        <f t="shared" si="175"/>
        <v>0</v>
      </c>
    </row>
    <row r="834" spans="1:32" ht="26.25" hidden="1" x14ac:dyDescent="0.25">
      <c r="A834" s="322" t="s">
        <v>2431</v>
      </c>
      <c r="B834" s="93" t="str">
        <f t="shared" si="190"/>
        <v>YES</v>
      </c>
      <c r="C834" s="93" t="s">
        <v>5503</v>
      </c>
      <c r="D834" s="4">
        <v>39716</v>
      </c>
      <c r="E834" s="2">
        <v>39783</v>
      </c>
      <c r="F834" s="2">
        <f t="shared" si="176"/>
        <v>43435</v>
      </c>
      <c r="G834" s="6">
        <v>573.37</v>
      </c>
      <c r="H834" s="7" t="s">
        <v>92</v>
      </c>
      <c r="I834" s="7" t="s">
        <v>79</v>
      </c>
      <c r="J834" s="186"/>
      <c r="K834" s="266">
        <f t="shared" si="186"/>
        <v>2018</v>
      </c>
      <c r="L834" s="386"/>
      <c r="M834" s="386"/>
      <c r="N834" s="32" t="s">
        <v>1045</v>
      </c>
      <c r="O834" s="32" t="s">
        <v>2402</v>
      </c>
      <c r="P834" s="278" t="s">
        <v>2433</v>
      </c>
      <c r="Q834" s="238" t="s">
        <v>2432</v>
      </c>
      <c r="R834" s="75"/>
      <c r="S834" s="75"/>
      <c r="T834" s="75">
        <v>7889</v>
      </c>
      <c r="U834" s="200">
        <v>1148</v>
      </c>
      <c r="V834" s="287">
        <f t="shared" ca="1" si="187"/>
        <v>10</v>
      </c>
      <c r="W834" s="75">
        <f t="shared" ca="1" si="188"/>
        <v>10045</v>
      </c>
      <c r="X834" s="200">
        <f t="shared" ca="1" si="189"/>
        <v>17073</v>
      </c>
      <c r="Y834" s="1">
        <v>0.45</v>
      </c>
      <c r="Z834" s="1">
        <v>0.1</v>
      </c>
      <c r="AA834" s="219"/>
      <c r="AB834" s="302" t="s">
        <v>6768</v>
      </c>
      <c r="AC834" s="302"/>
      <c r="AD834" s="302"/>
      <c r="AE834" s="302"/>
      <c r="AF834">
        <f t="shared" si="175"/>
        <v>0</v>
      </c>
    </row>
    <row r="835" spans="1:32" hidden="1" x14ac:dyDescent="0.25">
      <c r="A835" s="322" t="s">
        <v>2434</v>
      </c>
      <c r="B835" s="93" t="str">
        <f t="shared" si="190"/>
        <v>YES</v>
      </c>
      <c r="C835" s="93" t="s">
        <v>5503</v>
      </c>
      <c r="D835" s="4">
        <v>39716</v>
      </c>
      <c r="E835" s="2">
        <v>39783</v>
      </c>
      <c r="F835" s="2">
        <f t="shared" si="176"/>
        <v>43435</v>
      </c>
      <c r="G835" s="6">
        <v>519.21</v>
      </c>
      <c r="H835" s="7" t="s">
        <v>92</v>
      </c>
      <c r="I835" s="7" t="s">
        <v>79</v>
      </c>
      <c r="J835" s="186"/>
      <c r="K835" s="266">
        <f t="shared" si="186"/>
        <v>2018</v>
      </c>
      <c r="L835" s="386"/>
      <c r="M835" s="386"/>
      <c r="N835" s="32" t="s">
        <v>1045</v>
      </c>
      <c r="O835" s="32" t="s">
        <v>2402</v>
      </c>
      <c r="P835" s="278" t="s">
        <v>2436</v>
      </c>
      <c r="Q835" s="238" t="s">
        <v>2435</v>
      </c>
      <c r="R835" s="75"/>
      <c r="S835" s="75"/>
      <c r="T835" s="75">
        <v>7160</v>
      </c>
      <c r="U835" s="200">
        <v>1040</v>
      </c>
      <c r="V835" s="287">
        <f t="shared" ca="1" si="187"/>
        <v>10</v>
      </c>
      <c r="W835" s="75">
        <f t="shared" ca="1" si="188"/>
        <v>9100</v>
      </c>
      <c r="X835" s="200">
        <f t="shared" ca="1" si="189"/>
        <v>15480</v>
      </c>
      <c r="Y835" s="1">
        <v>0.45</v>
      </c>
      <c r="Z835" s="1">
        <v>0.1</v>
      </c>
      <c r="AA835" s="219"/>
      <c r="AB835" s="302" t="s">
        <v>6769</v>
      </c>
      <c r="AC835" s="302"/>
      <c r="AD835" s="302"/>
      <c r="AE835" s="302"/>
      <c r="AF835">
        <f t="shared" si="175"/>
        <v>0</v>
      </c>
    </row>
    <row r="836" spans="1:32" hidden="1" x14ac:dyDescent="0.25">
      <c r="A836" s="322" t="s">
        <v>2437</v>
      </c>
      <c r="B836" s="93" t="str">
        <f t="shared" si="190"/>
        <v>YES</v>
      </c>
      <c r="C836" s="93" t="s">
        <v>5503</v>
      </c>
      <c r="D836" s="4">
        <v>39716</v>
      </c>
      <c r="E836" s="2">
        <v>39783</v>
      </c>
      <c r="F836" s="2">
        <f t="shared" si="176"/>
        <v>43435</v>
      </c>
      <c r="G836" s="6">
        <v>319.07</v>
      </c>
      <c r="H836" s="7" t="s">
        <v>92</v>
      </c>
      <c r="I836" s="7" t="s">
        <v>79</v>
      </c>
      <c r="J836" s="186"/>
      <c r="K836" s="266">
        <f t="shared" si="186"/>
        <v>2018</v>
      </c>
      <c r="L836" s="386"/>
      <c r="M836" s="386"/>
      <c r="N836" s="32" t="s">
        <v>1045</v>
      </c>
      <c r="O836" s="32" t="s">
        <v>2402</v>
      </c>
      <c r="P836" s="278" t="s">
        <v>2439</v>
      </c>
      <c r="Q836" s="238" t="s">
        <v>2438</v>
      </c>
      <c r="R836" s="75"/>
      <c r="S836" s="75"/>
      <c r="T836" s="75">
        <v>4460</v>
      </c>
      <c r="U836" s="200">
        <v>640</v>
      </c>
      <c r="V836" s="287">
        <f t="shared" ca="1" si="187"/>
        <v>10</v>
      </c>
      <c r="W836" s="75">
        <f t="shared" ca="1" si="188"/>
        <v>5600</v>
      </c>
      <c r="X836" s="200">
        <f t="shared" ca="1" si="189"/>
        <v>9580</v>
      </c>
      <c r="Y836" s="1">
        <v>0.45</v>
      </c>
      <c r="Z836" s="1">
        <v>0.1</v>
      </c>
      <c r="AA836" s="219"/>
      <c r="AB836" s="302" t="s">
        <v>6770</v>
      </c>
      <c r="AC836" s="302"/>
      <c r="AD836" s="302"/>
      <c r="AE836" s="302"/>
      <c r="AF836">
        <f t="shared" si="175"/>
        <v>0</v>
      </c>
    </row>
    <row r="837" spans="1:32" ht="26.25" hidden="1" x14ac:dyDescent="0.25">
      <c r="A837" s="322" t="s">
        <v>2440</v>
      </c>
      <c r="B837" s="93" t="str">
        <f t="shared" si="190"/>
        <v>YES</v>
      </c>
      <c r="C837" s="93" t="s">
        <v>5503</v>
      </c>
      <c r="D837" s="4">
        <v>39716</v>
      </c>
      <c r="E837" s="2">
        <v>39783</v>
      </c>
      <c r="F837" s="2">
        <f t="shared" si="176"/>
        <v>43435</v>
      </c>
      <c r="G837" s="6">
        <v>478.64</v>
      </c>
      <c r="H837" s="7" t="s">
        <v>92</v>
      </c>
      <c r="I837" s="7" t="s">
        <v>79</v>
      </c>
      <c r="J837" s="186"/>
      <c r="K837" s="266">
        <f t="shared" si="186"/>
        <v>2018</v>
      </c>
      <c r="L837" s="386"/>
      <c r="M837" s="386"/>
      <c r="N837" s="32" t="s">
        <v>1045</v>
      </c>
      <c r="O837" s="32" t="s">
        <v>2402</v>
      </c>
      <c r="P837" s="278" t="s">
        <v>2442</v>
      </c>
      <c r="Q837" s="238" t="s">
        <v>2441</v>
      </c>
      <c r="R837" s="75"/>
      <c r="S837" s="75"/>
      <c r="T837" s="75">
        <v>6606.5</v>
      </c>
      <c r="U837" s="200">
        <v>958</v>
      </c>
      <c r="V837" s="287">
        <f t="shared" ca="1" si="187"/>
        <v>10</v>
      </c>
      <c r="W837" s="75">
        <f t="shared" ca="1" si="188"/>
        <v>8382.5</v>
      </c>
      <c r="X837" s="200">
        <f t="shared" ca="1" si="189"/>
        <v>14270.5</v>
      </c>
      <c r="Y837" s="1">
        <v>0.45</v>
      </c>
      <c r="Z837" s="1">
        <v>0.1</v>
      </c>
      <c r="AA837" s="219"/>
      <c r="AB837" s="302" t="s">
        <v>6771</v>
      </c>
      <c r="AC837" s="302"/>
      <c r="AD837" s="302"/>
      <c r="AE837" s="302"/>
      <c r="AF837">
        <f t="shared" si="175"/>
        <v>0</v>
      </c>
    </row>
    <row r="838" spans="1:32" hidden="1" x14ac:dyDescent="0.25">
      <c r="A838" s="322" t="s">
        <v>2443</v>
      </c>
      <c r="B838" s="93" t="str">
        <f t="shared" si="190"/>
        <v>YES</v>
      </c>
      <c r="C838" s="93" t="s">
        <v>5503</v>
      </c>
      <c r="D838" s="4">
        <v>39716</v>
      </c>
      <c r="E838" s="2">
        <v>39783</v>
      </c>
      <c r="F838" s="2">
        <f t="shared" si="176"/>
        <v>43435</v>
      </c>
      <c r="G838" s="6">
        <v>521.63</v>
      </c>
      <c r="H838" s="7" t="s">
        <v>92</v>
      </c>
      <c r="I838" s="7" t="s">
        <v>79</v>
      </c>
      <c r="J838" s="186"/>
      <c r="K838" s="266">
        <f t="shared" si="186"/>
        <v>2018</v>
      </c>
      <c r="L838" s="386"/>
      <c r="M838" s="386"/>
      <c r="N838" s="32" t="s">
        <v>1045</v>
      </c>
      <c r="O838" s="32" t="s">
        <v>2402</v>
      </c>
      <c r="P838" s="278" t="s">
        <v>2445</v>
      </c>
      <c r="Q838" s="238" t="s">
        <v>2444</v>
      </c>
      <c r="R838" s="75"/>
      <c r="S838" s="75"/>
      <c r="T838" s="75">
        <v>7187</v>
      </c>
      <c r="U838" s="200">
        <v>1044</v>
      </c>
      <c r="V838" s="287">
        <f t="shared" ca="1" si="187"/>
        <v>10</v>
      </c>
      <c r="W838" s="75">
        <f t="shared" ca="1" si="188"/>
        <v>9135</v>
      </c>
      <c r="X838" s="200">
        <f t="shared" ca="1" si="189"/>
        <v>15539</v>
      </c>
      <c r="Y838" s="1">
        <v>0.45</v>
      </c>
      <c r="Z838" s="1">
        <v>0.1</v>
      </c>
      <c r="AA838" s="219"/>
      <c r="AB838" s="302" t="s">
        <v>6772</v>
      </c>
      <c r="AC838" s="302"/>
      <c r="AD838" s="302"/>
      <c r="AE838" s="302"/>
      <c r="AF838">
        <f t="shared" si="175"/>
        <v>0</v>
      </c>
    </row>
    <row r="839" spans="1:32" ht="26.25" hidden="1" x14ac:dyDescent="0.25">
      <c r="A839" s="322" t="s">
        <v>2446</v>
      </c>
      <c r="B839" s="93" t="str">
        <f t="shared" si="190"/>
        <v>YES</v>
      </c>
      <c r="C839" s="93" t="s">
        <v>5503</v>
      </c>
      <c r="D839" s="4">
        <v>39716</v>
      </c>
      <c r="E839" s="2">
        <v>39783</v>
      </c>
      <c r="F839" s="2">
        <f t="shared" si="176"/>
        <v>43435</v>
      </c>
      <c r="G839" s="6">
        <v>390.59</v>
      </c>
      <c r="H839" s="7" t="s">
        <v>92</v>
      </c>
      <c r="I839" s="7" t="s">
        <v>79</v>
      </c>
      <c r="J839" s="186"/>
      <c r="K839" s="266">
        <f t="shared" si="186"/>
        <v>2018</v>
      </c>
      <c r="L839" s="386"/>
      <c r="M839" s="386"/>
      <c r="N839" s="32" t="s">
        <v>1045</v>
      </c>
      <c r="O839" s="32" t="s">
        <v>2402</v>
      </c>
      <c r="P839" s="278" t="s">
        <v>2448</v>
      </c>
      <c r="Q839" s="238" t="s">
        <v>2447</v>
      </c>
      <c r="R839" s="75"/>
      <c r="S839" s="75"/>
      <c r="T839" s="75">
        <v>6200.5</v>
      </c>
      <c r="U839" s="200">
        <v>782</v>
      </c>
      <c r="V839" s="287">
        <f t="shared" ca="1" si="187"/>
        <v>10</v>
      </c>
      <c r="W839" s="75">
        <f t="shared" ca="1" si="188"/>
        <v>6842.5</v>
      </c>
      <c r="X839" s="200">
        <f t="shared" ca="1" si="189"/>
        <v>12456.5</v>
      </c>
      <c r="Y839" s="1">
        <v>0.45</v>
      </c>
      <c r="Z839" s="1">
        <v>0.1</v>
      </c>
      <c r="AA839" s="219"/>
      <c r="AB839" s="302" t="s">
        <v>6773</v>
      </c>
      <c r="AC839" s="302"/>
      <c r="AD839" s="302"/>
      <c r="AE839" s="302"/>
      <c r="AF839">
        <f t="shared" si="175"/>
        <v>0</v>
      </c>
    </row>
    <row r="840" spans="1:32" ht="26.25" hidden="1" x14ac:dyDescent="0.25">
      <c r="A840" s="322" t="s">
        <v>2449</v>
      </c>
      <c r="B840" s="93" t="str">
        <f t="shared" si="190"/>
        <v>YES</v>
      </c>
      <c r="C840" s="93" t="s">
        <v>5503</v>
      </c>
      <c r="D840" s="4">
        <v>39716</v>
      </c>
      <c r="E840" s="2">
        <v>39783</v>
      </c>
      <c r="F840" s="2">
        <f t="shared" si="176"/>
        <v>43435</v>
      </c>
      <c r="G840" s="6">
        <v>160</v>
      </c>
      <c r="H840" s="93" t="s">
        <v>5808</v>
      </c>
      <c r="I840" s="7" t="s">
        <v>79</v>
      </c>
      <c r="J840" s="105" t="s">
        <v>4818</v>
      </c>
      <c r="K840" s="266">
        <f t="shared" si="186"/>
        <v>2018</v>
      </c>
      <c r="L840" s="381"/>
      <c r="M840" s="381"/>
      <c r="N840" s="32" t="s">
        <v>1045</v>
      </c>
      <c r="O840" s="32" t="s">
        <v>2451</v>
      </c>
      <c r="P840" s="278" t="s">
        <v>2452</v>
      </c>
      <c r="Q840" s="238" t="s">
        <v>2450</v>
      </c>
      <c r="S840" s="108"/>
      <c r="T840" s="75">
        <v>4820</v>
      </c>
      <c r="U840" s="200">
        <v>320</v>
      </c>
      <c r="V840" s="287">
        <f t="shared" ca="1" si="187"/>
        <v>10</v>
      </c>
      <c r="W840" s="75">
        <f t="shared" ca="1" si="188"/>
        <v>2800</v>
      </c>
      <c r="X840" s="200">
        <f t="shared" ca="1" si="189"/>
        <v>7380</v>
      </c>
      <c r="Y840" s="1">
        <v>0.45</v>
      </c>
      <c r="Z840" s="1">
        <v>0.1</v>
      </c>
      <c r="AA840" s="219"/>
      <c r="AB840" s="302" t="s">
        <v>6774</v>
      </c>
      <c r="AC840" s="302"/>
      <c r="AD840" s="302"/>
      <c r="AE840" s="302"/>
      <c r="AF840">
        <f t="shared" si="175"/>
        <v>0</v>
      </c>
    </row>
    <row r="841" spans="1:32" hidden="1" x14ac:dyDescent="0.25">
      <c r="A841" s="322" t="s">
        <v>2453</v>
      </c>
      <c r="B841" s="93" t="str">
        <f t="shared" si="190"/>
        <v>YES</v>
      </c>
      <c r="C841" s="93" t="s">
        <v>5503</v>
      </c>
      <c r="D841" s="4">
        <v>39716</v>
      </c>
      <c r="E841" s="2">
        <v>39783</v>
      </c>
      <c r="F841" s="2">
        <f t="shared" si="176"/>
        <v>43435</v>
      </c>
      <c r="G841" s="6">
        <v>780.2</v>
      </c>
      <c r="H841" s="7" t="s">
        <v>2455</v>
      </c>
      <c r="I841" s="7" t="s">
        <v>1050</v>
      </c>
      <c r="J841" s="186"/>
      <c r="K841" s="266">
        <f t="shared" si="186"/>
        <v>2018</v>
      </c>
      <c r="L841" s="386"/>
      <c r="M841" s="386"/>
      <c r="N841" s="32" t="s">
        <v>2456</v>
      </c>
      <c r="O841" s="32" t="s">
        <v>2457</v>
      </c>
      <c r="P841" s="278" t="s">
        <v>2458</v>
      </c>
      <c r="Q841" s="238" t="s">
        <v>2454</v>
      </c>
      <c r="R841" s="75"/>
      <c r="S841" s="75"/>
      <c r="T841" s="75">
        <v>5997.5</v>
      </c>
      <c r="U841" s="200">
        <v>1562</v>
      </c>
      <c r="V841" s="287">
        <f t="shared" ca="1" si="187"/>
        <v>10</v>
      </c>
      <c r="W841" s="75">
        <f t="shared" ca="1" si="188"/>
        <v>13667.5</v>
      </c>
      <c r="X841" s="200">
        <f t="shared" ca="1" si="189"/>
        <v>18493.5</v>
      </c>
      <c r="Y841" s="1">
        <v>0.45</v>
      </c>
      <c r="Z841" s="1">
        <v>0.1</v>
      </c>
      <c r="AA841" s="219"/>
      <c r="AB841" s="302" t="s">
        <v>6775</v>
      </c>
      <c r="AC841" s="302"/>
      <c r="AD841" s="302"/>
      <c r="AE841" s="302"/>
      <c r="AF841">
        <f t="shared" si="175"/>
        <v>0</v>
      </c>
    </row>
    <row r="842" spans="1:32" ht="39" hidden="1" x14ac:dyDescent="0.25">
      <c r="A842" s="322" t="s">
        <v>2459</v>
      </c>
      <c r="B842" s="93" t="str">
        <f t="shared" si="190"/>
        <v>YES</v>
      </c>
      <c r="C842" s="93" t="s">
        <v>5503</v>
      </c>
      <c r="D842" s="4">
        <v>39716</v>
      </c>
      <c r="E842" s="2">
        <v>39783</v>
      </c>
      <c r="F842" s="2">
        <f t="shared" si="176"/>
        <v>43435</v>
      </c>
      <c r="G842" s="6">
        <v>542.41999999999996</v>
      </c>
      <c r="H842" s="7" t="s">
        <v>2461</v>
      </c>
      <c r="I842" s="7" t="s">
        <v>1050</v>
      </c>
      <c r="J842" s="186"/>
      <c r="K842" s="266">
        <f t="shared" si="186"/>
        <v>2018</v>
      </c>
      <c r="L842" s="386"/>
      <c r="M842" s="386"/>
      <c r="N842" s="32" t="s">
        <v>1051</v>
      </c>
      <c r="O842" s="32" t="s">
        <v>2462</v>
      </c>
      <c r="P842" s="278" t="s">
        <v>2463</v>
      </c>
      <c r="Q842" s="238" t="s">
        <v>2460</v>
      </c>
      <c r="R842" s="75"/>
      <c r="S842" s="75"/>
      <c r="T842" s="75">
        <v>2040.5</v>
      </c>
      <c r="U842" s="200">
        <v>1086</v>
      </c>
      <c r="V842" s="287">
        <f t="shared" ca="1" si="187"/>
        <v>10</v>
      </c>
      <c r="W842" s="75">
        <f t="shared" ca="1" si="188"/>
        <v>9502.5</v>
      </c>
      <c r="X842" s="200">
        <f t="shared" ca="1" si="189"/>
        <v>10728.5</v>
      </c>
      <c r="Y842" s="1">
        <v>0.45</v>
      </c>
      <c r="Z842" s="1">
        <v>0.1</v>
      </c>
      <c r="AA842" s="219"/>
      <c r="AB842" s="302" t="s">
        <v>6776</v>
      </c>
      <c r="AC842" s="302"/>
      <c r="AD842" s="302"/>
      <c r="AE842" s="302"/>
      <c r="AF842">
        <f t="shared" si="175"/>
        <v>0</v>
      </c>
    </row>
    <row r="843" spans="1:32" ht="26.25" hidden="1" x14ac:dyDescent="0.25">
      <c r="A843" s="322" t="s">
        <v>2464</v>
      </c>
      <c r="B843" s="93" t="str">
        <f t="shared" si="190"/>
        <v>YES</v>
      </c>
      <c r="C843" s="93" t="s">
        <v>5503</v>
      </c>
      <c r="D843" s="4">
        <v>39716</v>
      </c>
      <c r="E843" s="2">
        <v>39783</v>
      </c>
      <c r="F843" s="2">
        <f t="shared" si="176"/>
        <v>43435</v>
      </c>
      <c r="G843" s="6">
        <v>380</v>
      </c>
      <c r="H843" s="7" t="s">
        <v>2466</v>
      </c>
      <c r="I843" s="7" t="s">
        <v>1050</v>
      </c>
      <c r="J843" s="186"/>
      <c r="K843" s="266">
        <f t="shared" si="186"/>
        <v>2018</v>
      </c>
      <c r="L843" s="386"/>
      <c r="M843" s="386"/>
      <c r="N843" s="32" t="s">
        <v>1051</v>
      </c>
      <c r="O843" s="32" t="s">
        <v>2467</v>
      </c>
      <c r="P843" s="278" t="s">
        <v>2468</v>
      </c>
      <c r="Q843" s="238" t="s">
        <v>2465</v>
      </c>
      <c r="R843" s="75"/>
      <c r="S843" s="75"/>
      <c r="T843" s="75">
        <v>1470</v>
      </c>
      <c r="U843" s="200">
        <v>760</v>
      </c>
      <c r="V843" s="287">
        <f t="shared" ca="1" si="187"/>
        <v>10</v>
      </c>
      <c r="W843" s="75">
        <f t="shared" ca="1" si="188"/>
        <v>6650</v>
      </c>
      <c r="X843" s="200">
        <f t="shared" ca="1" si="189"/>
        <v>7550</v>
      </c>
      <c r="Y843" s="1">
        <v>0.45</v>
      </c>
      <c r="Z843" s="1">
        <v>0.1</v>
      </c>
      <c r="AA843" s="219"/>
      <c r="AB843" s="302" t="s">
        <v>6777</v>
      </c>
      <c r="AC843" s="302"/>
      <c r="AD843" s="302"/>
      <c r="AE843" s="302"/>
      <c r="AF843">
        <f t="shared" ref="AF843:AF906" si="191">COUNTIF(FilterList,A843)</f>
        <v>0</v>
      </c>
    </row>
    <row r="844" spans="1:32" ht="26.25" hidden="1" x14ac:dyDescent="0.25">
      <c r="A844" s="322" t="s">
        <v>2469</v>
      </c>
      <c r="B844" s="93" t="str">
        <f t="shared" si="190"/>
        <v>YES</v>
      </c>
      <c r="C844" s="93" t="s">
        <v>5503</v>
      </c>
      <c r="D844" s="4">
        <v>39716</v>
      </c>
      <c r="E844" s="2">
        <v>39783</v>
      </c>
      <c r="F844" s="2">
        <f t="shared" ref="F844:F907" si="192">DATE(YEAR(E844)+10,MONTH(E844),DAY(E844))</f>
        <v>43435</v>
      </c>
      <c r="G844" s="6">
        <v>560</v>
      </c>
      <c r="H844" s="7" t="s">
        <v>2466</v>
      </c>
      <c r="I844" s="7" t="s">
        <v>1050</v>
      </c>
      <c r="J844" s="186"/>
      <c r="K844" s="266">
        <f t="shared" si="186"/>
        <v>2018</v>
      </c>
      <c r="L844" s="386"/>
      <c r="M844" s="386"/>
      <c r="N844" s="32" t="s">
        <v>1051</v>
      </c>
      <c r="O844" s="32" t="s">
        <v>2467</v>
      </c>
      <c r="P844" s="278" t="s">
        <v>2471</v>
      </c>
      <c r="Q844" s="238" t="s">
        <v>2470</v>
      </c>
      <c r="R844" s="75"/>
      <c r="S844" s="75"/>
      <c r="T844" s="75">
        <v>34580</v>
      </c>
      <c r="U844" s="200">
        <v>1120</v>
      </c>
      <c r="V844" s="287">
        <f t="shared" ca="1" si="187"/>
        <v>10</v>
      </c>
      <c r="W844" s="75">
        <f t="shared" ca="1" si="188"/>
        <v>9800</v>
      </c>
      <c r="X844" s="200">
        <f t="shared" ca="1" si="189"/>
        <v>43540</v>
      </c>
      <c r="Y844" s="1">
        <v>0.45</v>
      </c>
      <c r="Z844" s="1">
        <v>0.1</v>
      </c>
      <c r="AA844" s="219"/>
      <c r="AB844" s="302" t="s">
        <v>6778</v>
      </c>
      <c r="AC844" s="302"/>
      <c r="AD844" s="302"/>
      <c r="AE844" s="302"/>
      <c r="AF844">
        <f t="shared" si="191"/>
        <v>0</v>
      </c>
    </row>
    <row r="845" spans="1:32" ht="39" hidden="1" x14ac:dyDescent="0.25">
      <c r="A845" s="322" t="s">
        <v>2472</v>
      </c>
      <c r="B845" s="93" t="str">
        <f t="shared" si="190"/>
        <v>YES</v>
      </c>
      <c r="C845" s="93" t="s">
        <v>5503</v>
      </c>
      <c r="D845" s="4">
        <v>39716</v>
      </c>
      <c r="E845" s="2">
        <v>39783</v>
      </c>
      <c r="F845" s="2">
        <f t="shared" si="192"/>
        <v>43435</v>
      </c>
      <c r="G845" s="6">
        <v>299.73</v>
      </c>
      <c r="H845" s="7" t="s">
        <v>2466</v>
      </c>
      <c r="I845" s="7" t="s">
        <v>1050</v>
      </c>
      <c r="J845" s="186"/>
      <c r="K845" s="266">
        <f t="shared" si="186"/>
        <v>2018</v>
      </c>
      <c r="L845" s="386"/>
      <c r="M845" s="386"/>
      <c r="N845" s="32" t="s">
        <v>1051</v>
      </c>
      <c r="O845" s="32" t="s">
        <v>2474</v>
      </c>
      <c r="P845" s="278" t="s">
        <v>2475</v>
      </c>
      <c r="Q845" s="238" t="s">
        <v>2473</v>
      </c>
      <c r="R845" s="75"/>
      <c r="S845" s="75"/>
      <c r="T845" s="75">
        <v>1190</v>
      </c>
      <c r="U845" s="200">
        <v>600</v>
      </c>
      <c r="V845" s="287">
        <f t="shared" ca="1" si="187"/>
        <v>10</v>
      </c>
      <c r="W845" s="75">
        <f t="shared" ca="1" si="188"/>
        <v>5250</v>
      </c>
      <c r="X845" s="200">
        <f t="shared" ca="1" si="189"/>
        <v>5990</v>
      </c>
      <c r="Y845" s="1">
        <v>0.45</v>
      </c>
      <c r="Z845" s="1">
        <v>0.1</v>
      </c>
      <c r="AA845" s="219"/>
      <c r="AB845" s="302" t="s">
        <v>6779</v>
      </c>
      <c r="AC845" s="302"/>
      <c r="AD845" s="302"/>
      <c r="AE845" s="302"/>
      <c r="AF845">
        <f t="shared" si="191"/>
        <v>0</v>
      </c>
    </row>
    <row r="846" spans="1:32" ht="25.5" hidden="1" x14ac:dyDescent="0.25">
      <c r="A846" s="322" t="s">
        <v>2476</v>
      </c>
      <c r="B846" s="93" t="str">
        <f t="shared" si="190"/>
        <v>YES</v>
      </c>
      <c r="C846" s="93" t="s">
        <v>5503</v>
      </c>
      <c r="D846" s="4">
        <v>39716</v>
      </c>
      <c r="E846" s="2">
        <v>39783</v>
      </c>
      <c r="F846" s="2">
        <f t="shared" si="192"/>
        <v>43435</v>
      </c>
      <c r="G846" s="6">
        <v>200</v>
      </c>
      <c r="H846" s="7" t="s">
        <v>2466</v>
      </c>
      <c r="I846" s="7" t="s">
        <v>1050</v>
      </c>
      <c r="J846" s="186"/>
      <c r="K846" s="266">
        <f t="shared" si="186"/>
        <v>2018</v>
      </c>
      <c r="L846" s="386"/>
      <c r="M846" s="386"/>
      <c r="N846" s="32" t="s">
        <v>1051</v>
      </c>
      <c r="O846" s="32" t="s">
        <v>2474</v>
      </c>
      <c r="P846" s="278" t="s">
        <v>2478</v>
      </c>
      <c r="Q846" s="238" t="s">
        <v>2477</v>
      </c>
      <c r="R846" s="75"/>
      <c r="S846" s="75"/>
      <c r="T846" s="75">
        <v>840</v>
      </c>
      <c r="U846" s="200">
        <v>400</v>
      </c>
      <c r="V846" s="287">
        <f t="shared" ca="1" si="187"/>
        <v>10</v>
      </c>
      <c r="W846" s="75">
        <f t="shared" ca="1" si="188"/>
        <v>3500</v>
      </c>
      <c r="X846" s="200">
        <f t="shared" ca="1" si="189"/>
        <v>4040</v>
      </c>
      <c r="Y846" s="1">
        <v>0.45</v>
      </c>
      <c r="Z846" s="1">
        <v>0.1</v>
      </c>
      <c r="AA846" s="219"/>
      <c r="AB846" s="302" t="s">
        <v>6780</v>
      </c>
      <c r="AC846" s="302"/>
      <c r="AD846" s="302"/>
      <c r="AE846" s="302"/>
      <c r="AF846">
        <f t="shared" si="191"/>
        <v>0</v>
      </c>
    </row>
    <row r="847" spans="1:32" hidden="1" x14ac:dyDescent="0.25">
      <c r="A847" s="322" t="s">
        <v>2479</v>
      </c>
      <c r="B847" s="93" t="str">
        <f t="shared" si="190"/>
        <v>YES</v>
      </c>
      <c r="C847" s="93" t="s">
        <v>5503</v>
      </c>
      <c r="D847" s="4">
        <v>39716</v>
      </c>
      <c r="E847" s="2">
        <v>39783</v>
      </c>
      <c r="F847" s="2">
        <f t="shared" si="192"/>
        <v>43435</v>
      </c>
      <c r="G847" s="6">
        <v>769.83</v>
      </c>
      <c r="H847" s="7" t="s">
        <v>2461</v>
      </c>
      <c r="I847" s="7" t="s">
        <v>1050</v>
      </c>
      <c r="J847" s="186"/>
      <c r="K847" s="266">
        <f t="shared" si="186"/>
        <v>2018</v>
      </c>
      <c r="L847" s="386"/>
      <c r="M847" s="386"/>
      <c r="N847" s="32" t="s">
        <v>1051</v>
      </c>
      <c r="O847" s="32" t="s">
        <v>2481</v>
      </c>
      <c r="P847" s="278" t="s">
        <v>2482</v>
      </c>
      <c r="Q847" s="238" t="s">
        <v>2480</v>
      </c>
      <c r="R847" s="75"/>
      <c r="S847" s="75"/>
      <c r="T847" s="75">
        <v>2835</v>
      </c>
      <c r="U847" s="200">
        <v>1540</v>
      </c>
      <c r="V847" s="287">
        <f t="shared" ca="1" si="187"/>
        <v>10</v>
      </c>
      <c r="W847" s="75">
        <f t="shared" ca="1" si="188"/>
        <v>13475</v>
      </c>
      <c r="X847" s="200">
        <f t="shared" ca="1" si="189"/>
        <v>15155</v>
      </c>
      <c r="Y847" s="1">
        <v>0.45</v>
      </c>
      <c r="Z847" s="1">
        <v>0.1</v>
      </c>
      <c r="AA847" s="219"/>
      <c r="AB847" s="302" t="s">
        <v>6781</v>
      </c>
      <c r="AC847" s="302"/>
      <c r="AD847" s="302"/>
      <c r="AE847" s="302"/>
      <c r="AF847">
        <f t="shared" si="191"/>
        <v>0</v>
      </c>
    </row>
    <row r="848" spans="1:32" ht="26.25" hidden="1" x14ac:dyDescent="0.25">
      <c r="A848" s="322" t="s">
        <v>2483</v>
      </c>
      <c r="B848" s="93" t="str">
        <f t="shared" si="190"/>
        <v>YES</v>
      </c>
      <c r="C848" s="93" t="s">
        <v>5503</v>
      </c>
      <c r="D848" s="4">
        <v>39716</v>
      </c>
      <c r="E848" s="2">
        <v>39783</v>
      </c>
      <c r="F848" s="2">
        <f t="shared" si="192"/>
        <v>43435</v>
      </c>
      <c r="G848" s="6">
        <v>444.7</v>
      </c>
      <c r="H848" s="7" t="s">
        <v>2461</v>
      </c>
      <c r="I848" s="7" t="s">
        <v>1050</v>
      </c>
      <c r="J848" s="186"/>
      <c r="K848" s="266">
        <f t="shared" si="186"/>
        <v>2018</v>
      </c>
      <c r="L848" s="386"/>
      <c r="M848" s="386"/>
      <c r="N848" s="32" t="s">
        <v>1051</v>
      </c>
      <c r="O848" s="32" t="s">
        <v>2481</v>
      </c>
      <c r="P848" s="278" t="s">
        <v>2485</v>
      </c>
      <c r="Q848" s="238" t="s">
        <v>2484</v>
      </c>
      <c r="R848" s="75"/>
      <c r="S848" s="75"/>
      <c r="T848" s="75">
        <v>1697.5</v>
      </c>
      <c r="U848" s="200">
        <v>890</v>
      </c>
      <c r="V848" s="287">
        <f t="shared" ca="1" si="187"/>
        <v>10</v>
      </c>
      <c r="W848" s="75">
        <f t="shared" ca="1" si="188"/>
        <v>7787.5</v>
      </c>
      <c r="X848" s="200">
        <f t="shared" ca="1" si="189"/>
        <v>8817.5</v>
      </c>
      <c r="Y848" s="1">
        <v>0.45</v>
      </c>
      <c r="Z848" s="1">
        <v>0.1</v>
      </c>
      <c r="AA848" s="219"/>
      <c r="AB848" s="302" t="s">
        <v>6782</v>
      </c>
      <c r="AC848" s="302"/>
      <c r="AD848" s="302"/>
      <c r="AE848" s="302"/>
      <c r="AF848">
        <f t="shared" si="191"/>
        <v>0</v>
      </c>
    </row>
    <row r="849" spans="1:32" ht="26.25" hidden="1" x14ac:dyDescent="0.25">
      <c r="A849" s="322" t="s">
        <v>2486</v>
      </c>
      <c r="B849" s="93" t="str">
        <f t="shared" si="190"/>
        <v>YES</v>
      </c>
      <c r="C849" s="93" t="s">
        <v>5503</v>
      </c>
      <c r="D849" s="4">
        <v>39716</v>
      </c>
      <c r="E849" s="2">
        <v>39783</v>
      </c>
      <c r="F849" s="2">
        <f t="shared" si="192"/>
        <v>43435</v>
      </c>
      <c r="G849" s="6">
        <v>520</v>
      </c>
      <c r="H849" s="7" t="s">
        <v>2461</v>
      </c>
      <c r="I849" s="7" t="s">
        <v>1050</v>
      </c>
      <c r="J849" s="186"/>
      <c r="K849" s="266">
        <f t="shared" si="186"/>
        <v>2018</v>
      </c>
      <c r="L849" s="386"/>
      <c r="M849" s="386"/>
      <c r="N849" s="32" t="s">
        <v>1051</v>
      </c>
      <c r="O849" s="32" t="s">
        <v>2481</v>
      </c>
      <c r="P849" s="278" t="s">
        <v>2488</v>
      </c>
      <c r="Q849" s="238" t="s">
        <v>2487</v>
      </c>
      <c r="R849" s="75"/>
      <c r="S849" s="75"/>
      <c r="T849" s="75">
        <v>1960</v>
      </c>
      <c r="U849" s="200">
        <v>1040</v>
      </c>
      <c r="V849" s="287">
        <f t="shared" ca="1" si="187"/>
        <v>10</v>
      </c>
      <c r="W849" s="75">
        <f t="shared" ca="1" si="188"/>
        <v>9100</v>
      </c>
      <c r="X849" s="200">
        <f t="shared" ca="1" si="189"/>
        <v>10280</v>
      </c>
      <c r="Y849" s="1">
        <v>0.45</v>
      </c>
      <c r="Z849" s="1">
        <v>0.1</v>
      </c>
      <c r="AA849" s="219"/>
      <c r="AB849" s="302" t="s">
        <v>6783</v>
      </c>
      <c r="AC849" s="302"/>
      <c r="AD849" s="302"/>
      <c r="AE849" s="302"/>
      <c r="AF849">
        <f t="shared" si="191"/>
        <v>0</v>
      </c>
    </row>
    <row r="850" spans="1:32" ht="26.25" hidden="1" x14ac:dyDescent="0.25">
      <c r="A850" s="322" t="s">
        <v>2489</v>
      </c>
      <c r="B850" s="93" t="str">
        <f t="shared" si="190"/>
        <v>YES</v>
      </c>
      <c r="C850" s="93" t="s">
        <v>5503</v>
      </c>
      <c r="D850" s="4">
        <v>39716</v>
      </c>
      <c r="E850" s="2">
        <v>39783</v>
      </c>
      <c r="F850" s="2">
        <f t="shared" si="192"/>
        <v>43435</v>
      </c>
      <c r="G850" s="6">
        <v>640</v>
      </c>
      <c r="H850" s="7" t="s">
        <v>2461</v>
      </c>
      <c r="I850" s="7" t="s">
        <v>1050</v>
      </c>
      <c r="J850" s="186"/>
      <c r="K850" s="266">
        <f t="shared" si="186"/>
        <v>2018</v>
      </c>
      <c r="L850" s="386"/>
      <c r="M850" s="386"/>
      <c r="N850" s="32" t="s">
        <v>1051</v>
      </c>
      <c r="O850" s="32" t="s">
        <v>2481</v>
      </c>
      <c r="P850" s="278" t="s">
        <v>2491</v>
      </c>
      <c r="Q850" s="238" t="s">
        <v>2490</v>
      </c>
      <c r="R850" s="75"/>
      <c r="S850" s="75"/>
      <c r="T850" s="75">
        <v>2380</v>
      </c>
      <c r="U850" s="200">
        <v>1280</v>
      </c>
      <c r="V850" s="287">
        <f t="shared" ca="1" si="187"/>
        <v>10</v>
      </c>
      <c r="W850" s="75">
        <f t="shared" ca="1" si="188"/>
        <v>11200</v>
      </c>
      <c r="X850" s="200">
        <f t="shared" ca="1" si="189"/>
        <v>12620</v>
      </c>
      <c r="Y850" s="1">
        <v>0.45</v>
      </c>
      <c r="Z850" s="1">
        <v>0.1</v>
      </c>
      <c r="AA850" s="219"/>
      <c r="AB850" s="302" t="s">
        <v>6784</v>
      </c>
      <c r="AC850" s="302"/>
      <c r="AD850" s="302"/>
      <c r="AE850" s="302"/>
      <c r="AF850">
        <f t="shared" si="191"/>
        <v>0</v>
      </c>
    </row>
    <row r="851" spans="1:32" ht="25.5" hidden="1" x14ac:dyDescent="0.25">
      <c r="A851" s="322" t="s">
        <v>2492</v>
      </c>
      <c r="B851" s="93" t="str">
        <f t="shared" si="190"/>
        <v>YES</v>
      </c>
      <c r="C851" s="93" t="s">
        <v>5503</v>
      </c>
      <c r="D851" s="4">
        <v>39716</v>
      </c>
      <c r="E851" s="2">
        <v>39783</v>
      </c>
      <c r="F851" s="2">
        <f t="shared" si="192"/>
        <v>43435</v>
      </c>
      <c r="G851" s="6">
        <v>848.8</v>
      </c>
      <c r="H851" s="7" t="s">
        <v>2466</v>
      </c>
      <c r="I851" s="7" t="s">
        <v>1050</v>
      </c>
      <c r="J851" s="186"/>
      <c r="K851" s="266">
        <f t="shared" si="186"/>
        <v>2018</v>
      </c>
      <c r="L851" s="386"/>
      <c r="M851" s="386"/>
      <c r="N851" s="32" t="s">
        <v>1051</v>
      </c>
      <c r="O851" s="32" t="s">
        <v>2494</v>
      </c>
      <c r="P851" s="278" t="s">
        <v>2495</v>
      </c>
      <c r="Q851" s="238" t="s">
        <v>2493</v>
      </c>
      <c r="R851" s="75"/>
      <c r="S851" s="75"/>
      <c r="T851" s="75">
        <v>3111.5</v>
      </c>
      <c r="U851" s="200">
        <v>1698</v>
      </c>
      <c r="V851" s="287">
        <f t="shared" ca="1" si="187"/>
        <v>10</v>
      </c>
      <c r="W851" s="75">
        <f t="shared" ca="1" si="188"/>
        <v>14857.5</v>
      </c>
      <c r="X851" s="200">
        <f t="shared" ca="1" si="189"/>
        <v>16695.5</v>
      </c>
      <c r="Y851" s="1">
        <v>0.45</v>
      </c>
      <c r="Z851" s="1">
        <v>0.1</v>
      </c>
      <c r="AA851" s="219"/>
      <c r="AB851" s="302" t="s">
        <v>6785</v>
      </c>
      <c r="AC851" s="302"/>
      <c r="AD851" s="302"/>
      <c r="AE851" s="302"/>
      <c r="AF851">
        <f t="shared" si="191"/>
        <v>0</v>
      </c>
    </row>
    <row r="852" spans="1:32" ht="26.25" hidden="1" x14ac:dyDescent="0.25">
      <c r="A852" s="322" t="s">
        <v>2496</v>
      </c>
      <c r="B852" s="93" t="str">
        <f t="shared" si="190"/>
        <v>YES</v>
      </c>
      <c r="C852" s="93" t="s">
        <v>5503</v>
      </c>
      <c r="D852" s="4">
        <v>39716</v>
      </c>
      <c r="E852" s="2">
        <v>39783</v>
      </c>
      <c r="F852" s="2">
        <f t="shared" si="192"/>
        <v>43435</v>
      </c>
      <c r="G852" s="6">
        <v>800</v>
      </c>
      <c r="H852" s="7" t="s">
        <v>2466</v>
      </c>
      <c r="I852" s="7" t="s">
        <v>1050</v>
      </c>
      <c r="J852" s="186"/>
      <c r="K852" s="266">
        <f t="shared" si="186"/>
        <v>2018</v>
      </c>
      <c r="L852" s="386"/>
      <c r="M852" s="386"/>
      <c r="N852" s="32" t="s">
        <v>1051</v>
      </c>
      <c r="O852" s="32" t="s">
        <v>2494</v>
      </c>
      <c r="P852" s="278" t="s">
        <v>2498</v>
      </c>
      <c r="Q852" s="238" t="s">
        <v>2497</v>
      </c>
      <c r="R852" s="75"/>
      <c r="S852" s="75"/>
      <c r="T852" s="75">
        <v>2940</v>
      </c>
      <c r="U852" s="200">
        <v>1600</v>
      </c>
      <c r="V852" s="287">
        <f t="shared" ca="1" si="187"/>
        <v>10</v>
      </c>
      <c r="W852" s="75">
        <f t="shared" ca="1" si="188"/>
        <v>14000</v>
      </c>
      <c r="X852" s="200">
        <f t="shared" ca="1" si="189"/>
        <v>15740</v>
      </c>
      <c r="Y852" s="1">
        <v>0.45</v>
      </c>
      <c r="Z852" s="1">
        <v>0.1</v>
      </c>
      <c r="AA852" s="219"/>
      <c r="AB852" s="302" t="s">
        <v>6786</v>
      </c>
      <c r="AC852" s="302"/>
      <c r="AD852" s="302"/>
      <c r="AE852" s="302"/>
      <c r="AF852">
        <f t="shared" si="191"/>
        <v>0</v>
      </c>
    </row>
    <row r="853" spans="1:32" ht="26.25" hidden="1" x14ac:dyDescent="0.25">
      <c r="A853" s="322" t="s">
        <v>2499</v>
      </c>
      <c r="B853" s="93" t="str">
        <f t="shared" si="190"/>
        <v>YES</v>
      </c>
      <c r="C853" s="93" t="s">
        <v>5503</v>
      </c>
      <c r="D853" s="4">
        <v>39716</v>
      </c>
      <c r="E853" s="2">
        <v>39783</v>
      </c>
      <c r="F853" s="2">
        <f t="shared" si="192"/>
        <v>43435</v>
      </c>
      <c r="G853" s="6">
        <v>920</v>
      </c>
      <c r="H853" s="7" t="s">
        <v>2466</v>
      </c>
      <c r="I853" s="7" t="s">
        <v>1050</v>
      </c>
      <c r="J853" s="186"/>
      <c r="K853" s="266">
        <f t="shared" si="186"/>
        <v>2018</v>
      </c>
      <c r="L853" s="386"/>
      <c r="M853" s="386"/>
      <c r="N853" s="32" t="s">
        <v>1051</v>
      </c>
      <c r="O853" s="32" t="s">
        <v>2494</v>
      </c>
      <c r="P853" s="278" t="s">
        <v>2501</v>
      </c>
      <c r="Q853" s="238" t="s">
        <v>2500</v>
      </c>
      <c r="R853" s="75"/>
      <c r="S853" s="75"/>
      <c r="T853" s="75">
        <v>3360</v>
      </c>
      <c r="U853" s="200">
        <v>1840</v>
      </c>
      <c r="V853" s="287">
        <f t="shared" ca="1" si="187"/>
        <v>10</v>
      </c>
      <c r="W853" s="75">
        <f t="shared" ca="1" si="188"/>
        <v>16100</v>
      </c>
      <c r="X853" s="200">
        <f t="shared" ca="1" si="189"/>
        <v>18080</v>
      </c>
      <c r="Y853" s="1">
        <v>0.45</v>
      </c>
      <c r="Z853" s="1">
        <v>0.1</v>
      </c>
      <c r="AA853" s="219"/>
      <c r="AB853" s="302" t="s">
        <v>6787</v>
      </c>
      <c r="AC853" s="302"/>
      <c r="AD853" s="302"/>
      <c r="AE853" s="302"/>
      <c r="AF853">
        <f t="shared" si="191"/>
        <v>0</v>
      </c>
    </row>
    <row r="854" spans="1:32" ht="39" hidden="1" x14ac:dyDescent="0.25">
      <c r="A854" s="322" t="s">
        <v>2502</v>
      </c>
      <c r="B854" s="93" t="str">
        <f t="shared" si="190"/>
        <v>YES</v>
      </c>
      <c r="C854" s="93" t="s">
        <v>5503</v>
      </c>
      <c r="D854" s="4">
        <v>39716</v>
      </c>
      <c r="E854" s="2">
        <v>39783</v>
      </c>
      <c r="F854" s="2">
        <f t="shared" si="192"/>
        <v>43435</v>
      </c>
      <c r="G854" s="6">
        <v>435</v>
      </c>
      <c r="H854" s="7" t="s">
        <v>2466</v>
      </c>
      <c r="I854" s="7" t="s">
        <v>1050</v>
      </c>
      <c r="J854" s="186"/>
      <c r="K854" s="266">
        <f t="shared" si="186"/>
        <v>2018</v>
      </c>
      <c r="L854" s="386"/>
      <c r="M854" s="386"/>
      <c r="N854" s="32" t="s">
        <v>1051</v>
      </c>
      <c r="O854" s="32" t="s">
        <v>2494</v>
      </c>
      <c r="P854" s="278" t="s">
        <v>2504</v>
      </c>
      <c r="Q854" s="238" t="s">
        <v>2503</v>
      </c>
      <c r="R854" s="75"/>
      <c r="S854" s="75"/>
      <c r="T854" s="75">
        <v>1662.5</v>
      </c>
      <c r="U854" s="200">
        <v>870</v>
      </c>
      <c r="V854" s="287">
        <f t="shared" ca="1" si="187"/>
        <v>10</v>
      </c>
      <c r="W854" s="75">
        <f t="shared" ca="1" si="188"/>
        <v>7612.5</v>
      </c>
      <c r="X854" s="200">
        <f t="shared" ca="1" si="189"/>
        <v>8622.5</v>
      </c>
      <c r="Y854" s="1">
        <v>0.45</v>
      </c>
      <c r="Z854" s="1">
        <v>0.1</v>
      </c>
      <c r="AA854" s="219"/>
      <c r="AB854" s="302" t="s">
        <v>6788</v>
      </c>
      <c r="AC854" s="302"/>
      <c r="AD854" s="302"/>
      <c r="AE854" s="302"/>
      <c r="AF854">
        <f t="shared" si="191"/>
        <v>0</v>
      </c>
    </row>
    <row r="855" spans="1:32" ht="25.5" hidden="1" x14ac:dyDescent="0.25">
      <c r="A855" s="322" t="s">
        <v>2505</v>
      </c>
      <c r="B855" s="93" t="str">
        <f t="shared" si="190"/>
        <v>YES</v>
      </c>
      <c r="C855" s="93" t="s">
        <v>5503</v>
      </c>
      <c r="D855" s="4">
        <v>39716</v>
      </c>
      <c r="E855" s="2">
        <v>39783</v>
      </c>
      <c r="F855" s="2">
        <f t="shared" si="192"/>
        <v>43435</v>
      </c>
      <c r="G855" s="6">
        <v>1262.6300000000001</v>
      </c>
      <c r="H855" s="7" t="s">
        <v>2466</v>
      </c>
      <c r="I855" s="7" t="s">
        <v>1050</v>
      </c>
      <c r="J855" s="186"/>
      <c r="K855" s="266">
        <f t="shared" si="186"/>
        <v>2018</v>
      </c>
      <c r="L855" s="386"/>
      <c r="M855" s="386"/>
      <c r="N855" s="32" t="s">
        <v>1051</v>
      </c>
      <c r="O855" s="32" t="s">
        <v>2507</v>
      </c>
      <c r="P855" s="278" t="s">
        <v>2508</v>
      </c>
      <c r="Q855" s="238" t="s">
        <v>2506</v>
      </c>
      <c r="R855" s="75"/>
      <c r="S855" s="75"/>
      <c r="T855" s="75">
        <v>166224.5</v>
      </c>
      <c r="U855" s="200">
        <v>2526</v>
      </c>
      <c r="V855" s="287">
        <f t="shared" ca="1" si="187"/>
        <v>10</v>
      </c>
      <c r="W855" s="75">
        <f t="shared" ca="1" si="188"/>
        <v>22102.5</v>
      </c>
      <c r="X855" s="200">
        <f t="shared" ca="1" si="189"/>
        <v>186432.5</v>
      </c>
      <c r="Y855" s="1">
        <v>0.45</v>
      </c>
      <c r="Z855" s="1">
        <v>0.1</v>
      </c>
      <c r="AA855" s="219"/>
      <c r="AB855" s="302" t="s">
        <v>6789</v>
      </c>
      <c r="AC855" s="302"/>
      <c r="AD855" s="302"/>
      <c r="AE855" s="302"/>
      <c r="AF855">
        <f t="shared" si="191"/>
        <v>0</v>
      </c>
    </row>
    <row r="856" spans="1:32" ht="25.5" hidden="1" x14ac:dyDescent="0.25">
      <c r="A856" s="322" t="s">
        <v>2509</v>
      </c>
      <c r="B856" s="93" t="str">
        <f t="shared" si="190"/>
        <v>YES</v>
      </c>
      <c r="C856" s="93" t="s">
        <v>5503</v>
      </c>
      <c r="D856" s="4">
        <v>39716</v>
      </c>
      <c r="E856" s="2">
        <v>39783</v>
      </c>
      <c r="F856" s="2">
        <f t="shared" si="192"/>
        <v>43435</v>
      </c>
      <c r="G856" s="6">
        <v>1440</v>
      </c>
      <c r="H856" s="7" t="s">
        <v>2466</v>
      </c>
      <c r="I856" s="7" t="s">
        <v>1050</v>
      </c>
      <c r="J856" s="186"/>
      <c r="K856" s="266">
        <f t="shared" si="186"/>
        <v>2018</v>
      </c>
      <c r="L856" s="386"/>
      <c r="M856" s="386"/>
      <c r="N856" s="32" t="s">
        <v>1051</v>
      </c>
      <c r="O856" s="32" t="s">
        <v>2507</v>
      </c>
      <c r="P856" s="278" t="s">
        <v>2511</v>
      </c>
      <c r="Q856" s="238" t="s">
        <v>2510</v>
      </c>
      <c r="R856" s="75"/>
      <c r="S856" s="75"/>
      <c r="T856" s="75">
        <v>5180</v>
      </c>
      <c r="U856" s="200">
        <v>2880</v>
      </c>
      <c r="V856" s="287">
        <f t="shared" ca="1" si="187"/>
        <v>10</v>
      </c>
      <c r="W856" s="75">
        <f t="shared" ca="1" si="188"/>
        <v>25200</v>
      </c>
      <c r="X856" s="200">
        <f t="shared" ca="1" si="189"/>
        <v>28220</v>
      </c>
      <c r="Y856" s="1">
        <v>0.45</v>
      </c>
      <c r="Z856" s="1">
        <v>0.1</v>
      </c>
      <c r="AA856" s="219"/>
      <c r="AB856" s="302" t="s">
        <v>6790</v>
      </c>
      <c r="AC856" s="302"/>
      <c r="AD856" s="302"/>
      <c r="AE856" s="302"/>
      <c r="AF856">
        <f t="shared" si="191"/>
        <v>0</v>
      </c>
    </row>
    <row r="857" spans="1:32" ht="26.25" hidden="1" x14ac:dyDescent="0.25">
      <c r="A857" s="322" t="s">
        <v>2512</v>
      </c>
      <c r="B857" s="93" t="str">
        <f t="shared" si="190"/>
        <v>YES</v>
      </c>
      <c r="C857" s="93" t="s">
        <v>5503</v>
      </c>
      <c r="D857" s="4">
        <v>39716</v>
      </c>
      <c r="E857" s="2">
        <v>39783</v>
      </c>
      <c r="F857" s="2">
        <f t="shared" si="192"/>
        <v>43435</v>
      </c>
      <c r="G857" s="6">
        <v>965.65</v>
      </c>
      <c r="H857" s="7" t="s">
        <v>2514</v>
      </c>
      <c r="I857" s="7" t="s">
        <v>1050</v>
      </c>
      <c r="J857" s="186"/>
      <c r="K857" s="266">
        <f t="shared" si="186"/>
        <v>2018</v>
      </c>
      <c r="L857" s="386"/>
      <c r="M857" s="386"/>
      <c r="N857" s="32" t="s">
        <v>1051</v>
      </c>
      <c r="O857" s="32" t="s">
        <v>2515</v>
      </c>
      <c r="P857" s="278" t="s">
        <v>2516</v>
      </c>
      <c r="Q857" s="238" t="s">
        <v>2513</v>
      </c>
      <c r="R857" s="75"/>
      <c r="S857" s="75"/>
      <c r="T857" s="75">
        <v>3521</v>
      </c>
      <c r="U857" s="200">
        <v>1932</v>
      </c>
      <c r="V857" s="287">
        <f t="shared" ca="1" si="187"/>
        <v>10</v>
      </c>
      <c r="W857" s="75">
        <f t="shared" ca="1" si="188"/>
        <v>16905</v>
      </c>
      <c r="X857" s="200">
        <f t="shared" ca="1" si="189"/>
        <v>18977</v>
      </c>
      <c r="Y857" s="1">
        <v>0.45</v>
      </c>
      <c r="Z857" s="1">
        <v>0.1</v>
      </c>
      <c r="AA857" s="219"/>
      <c r="AB857" s="302" t="s">
        <v>6791</v>
      </c>
      <c r="AC857" s="302"/>
      <c r="AD857" s="302"/>
      <c r="AE857" s="302"/>
      <c r="AF857">
        <f t="shared" si="191"/>
        <v>0</v>
      </c>
    </row>
    <row r="858" spans="1:32" hidden="1" x14ac:dyDescent="0.25">
      <c r="A858" s="322" t="s">
        <v>2517</v>
      </c>
      <c r="B858" s="93" t="str">
        <f t="shared" si="190"/>
        <v>YES</v>
      </c>
      <c r="C858" s="93" t="s">
        <v>5503</v>
      </c>
      <c r="D858" s="4">
        <v>39716</v>
      </c>
      <c r="E858" s="2">
        <v>39783</v>
      </c>
      <c r="F858" s="2">
        <f t="shared" si="192"/>
        <v>43435</v>
      </c>
      <c r="G858" s="6">
        <v>160</v>
      </c>
      <c r="H858" s="7" t="s">
        <v>2514</v>
      </c>
      <c r="I858" s="7" t="s">
        <v>1050</v>
      </c>
      <c r="J858" s="186"/>
      <c r="K858" s="266">
        <f t="shared" si="186"/>
        <v>2018</v>
      </c>
      <c r="L858" s="386"/>
      <c r="M858" s="386"/>
      <c r="N858" s="32" t="s">
        <v>1051</v>
      </c>
      <c r="O858" s="32" t="s">
        <v>2515</v>
      </c>
      <c r="P858" s="278" t="s">
        <v>2519</v>
      </c>
      <c r="Q858" s="238" t="s">
        <v>2518</v>
      </c>
      <c r="R858" s="75"/>
      <c r="S858" s="75"/>
      <c r="T858" s="75">
        <v>700</v>
      </c>
      <c r="U858" s="200">
        <v>320</v>
      </c>
      <c r="V858" s="287">
        <f t="shared" ca="1" si="187"/>
        <v>10</v>
      </c>
      <c r="W858" s="75">
        <f t="shared" ca="1" si="188"/>
        <v>2800</v>
      </c>
      <c r="X858" s="200">
        <f t="shared" ca="1" si="189"/>
        <v>3260</v>
      </c>
      <c r="Y858" s="1">
        <v>0.45</v>
      </c>
      <c r="Z858" s="1">
        <v>0.1</v>
      </c>
      <c r="AA858" s="219"/>
      <c r="AB858" s="302" t="s">
        <v>6792</v>
      </c>
      <c r="AC858" s="302"/>
      <c r="AD858" s="302"/>
      <c r="AE858" s="302"/>
      <c r="AF858">
        <f t="shared" si="191"/>
        <v>0</v>
      </c>
    </row>
    <row r="859" spans="1:32" hidden="1" x14ac:dyDescent="0.25">
      <c r="A859" s="322" t="s">
        <v>2520</v>
      </c>
      <c r="B859" s="93" t="str">
        <f t="shared" si="190"/>
        <v>YES</v>
      </c>
      <c r="C859" s="93" t="s">
        <v>5503</v>
      </c>
      <c r="D859" s="4">
        <v>39716</v>
      </c>
      <c r="E859" s="2">
        <v>39783</v>
      </c>
      <c r="F859" s="2">
        <f t="shared" si="192"/>
        <v>43435</v>
      </c>
      <c r="G859" s="6">
        <v>966.62</v>
      </c>
      <c r="H859" s="7" t="s">
        <v>2514</v>
      </c>
      <c r="I859" s="7" t="s">
        <v>1050</v>
      </c>
      <c r="J859" s="186"/>
      <c r="K859" s="266">
        <f t="shared" si="186"/>
        <v>2018</v>
      </c>
      <c r="L859" s="386"/>
      <c r="M859" s="386"/>
      <c r="N859" s="32" t="s">
        <v>1051</v>
      </c>
      <c r="O859" s="32" t="s">
        <v>2522</v>
      </c>
      <c r="P859" s="278" t="s">
        <v>2523</v>
      </c>
      <c r="Q859" s="238" t="s">
        <v>2521</v>
      </c>
      <c r="R859" s="75"/>
      <c r="S859" s="75"/>
      <c r="T859" s="75">
        <v>3524.5</v>
      </c>
      <c r="U859" s="200">
        <v>1934</v>
      </c>
      <c r="V859" s="287">
        <f t="shared" ca="1" si="187"/>
        <v>10</v>
      </c>
      <c r="W859" s="75">
        <f t="shared" ca="1" si="188"/>
        <v>16922.5</v>
      </c>
      <c r="X859" s="200">
        <f t="shared" ca="1" si="189"/>
        <v>18996.5</v>
      </c>
      <c r="Y859" s="1">
        <v>0.45</v>
      </c>
      <c r="Z859" s="1">
        <v>0.1</v>
      </c>
      <c r="AA859" s="219"/>
      <c r="AB859" s="302" t="s">
        <v>6793</v>
      </c>
      <c r="AC859" s="302"/>
      <c r="AD859" s="302"/>
      <c r="AE859" s="302"/>
      <c r="AF859">
        <f t="shared" si="191"/>
        <v>0</v>
      </c>
    </row>
    <row r="860" spans="1:32" ht="26.25" hidden="1" x14ac:dyDescent="0.25">
      <c r="A860" s="322" t="s">
        <v>2524</v>
      </c>
      <c r="B860" s="93" t="str">
        <f>IF(COUNTIF(GIS,A860),"YES","NO")</f>
        <v>YES</v>
      </c>
      <c r="C860" s="93" t="s">
        <v>5503</v>
      </c>
      <c r="D860" s="4">
        <v>39716</v>
      </c>
      <c r="E860" s="2">
        <v>39783</v>
      </c>
      <c r="F860" s="2">
        <f t="shared" si="192"/>
        <v>43435</v>
      </c>
      <c r="G860" s="6">
        <v>640</v>
      </c>
      <c r="H860" s="7" t="s">
        <v>2514</v>
      </c>
      <c r="I860" s="7" t="s">
        <v>1050</v>
      </c>
      <c r="J860" s="186"/>
      <c r="K860" s="266">
        <f t="shared" si="186"/>
        <v>2018</v>
      </c>
      <c r="L860" s="386"/>
      <c r="M860" s="386"/>
      <c r="N860" s="32" t="s">
        <v>1051</v>
      </c>
      <c r="O860" s="32" t="s">
        <v>2526</v>
      </c>
      <c r="P860" s="278" t="s">
        <v>2527</v>
      </c>
      <c r="Q860" s="238" t="s">
        <v>2525</v>
      </c>
      <c r="R860" s="75"/>
      <c r="S860" s="75"/>
      <c r="T860" s="75">
        <v>2380</v>
      </c>
      <c r="U860" s="200">
        <v>1280</v>
      </c>
      <c r="V860" s="287">
        <f t="shared" ca="1" si="187"/>
        <v>10</v>
      </c>
      <c r="W860" s="75">
        <f t="shared" ca="1" si="188"/>
        <v>11200</v>
      </c>
      <c r="X860" s="200">
        <f t="shared" ca="1" si="189"/>
        <v>12620</v>
      </c>
      <c r="Y860" s="1">
        <v>0.45</v>
      </c>
      <c r="Z860" s="1">
        <v>0.1</v>
      </c>
      <c r="AA860" s="219"/>
      <c r="AB860" s="302" t="s">
        <v>6794</v>
      </c>
      <c r="AC860" s="302"/>
      <c r="AD860" s="302"/>
      <c r="AE860" s="302"/>
      <c r="AF860">
        <f t="shared" si="191"/>
        <v>0</v>
      </c>
    </row>
    <row r="861" spans="1:32" ht="26.25" hidden="1" x14ac:dyDescent="0.25">
      <c r="A861" s="322" t="s">
        <v>2528</v>
      </c>
      <c r="B861" s="93" t="str">
        <f>IF(COUNTIF(GIS,A861),"YES","NO")</f>
        <v>YES</v>
      </c>
      <c r="C861" s="93" t="s">
        <v>5503</v>
      </c>
      <c r="D861" s="4">
        <v>39716</v>
      </c>
      <c r="E861" s="2">
        <v>39783</v>
      </c>
      <c r="F861" s="2">
        <f t="shared" si="192"/>
        <v>43435</v>
      </c>
      <c r="G861" s="6">
        <v>640</v>
      </c>
      <c r="H861" s="7" t="s">
        <v>2514</v>
      </c>
      <c r="I861" s="7" t="s">
        <v>1050</v>
      </c>
      <c r="J861" s="186"/>
      <c r="K861" s="266">
        <f t="shared" si="186"/>
        <v>2018</v>
      </c>
      <c r="L861" s="386"/>
      <c r="M861" s="386"/>
      <c r="N861" s="32" t="s">
        <v>1051</v>
      </c>
      <c r="O861" s="32" t="s">
        <v>2526</v>
      </c>
      <c r="P861" s="278" t="s">
        <v>2530</v>
      </c>
      <c r="Q861" s="238" t="s">
        <v>2529</v>
      </c>
      <c r="R861" s="75"/>
      <c r="S861" s="75"/>
      <c r="T861" s="81">
        <v>2380</v>
      </c>
      <c r="U861" s="200">
        <v>1280</v>
      </c>
      <c r="V861" s="287">
        <f t="shared" ca="1" si="187"/>
        <v>10</v>
      </c>
      <c r="W861" s="75">
        <f t="shared" ca="1" si="188"/>
        <v>11200</v>
      </c>
      <c r="X861" s="200">
        <f t="shared" ca="1" si="189"/>
        <v>12620</v>
      </c>
      <c r="Y861" s="1">
        <v>0.45</v>
      </c>
      <c r="Z861" s="1">
        <v>0.1</v>
      </c>
      <c r="AA861" s="219"/>
      <c r="AB861" s="302" t="s">
        <v>6795</v>
      </c>
      <c r="AC861" s="302"/>
      <c r="AD861" s="302"/>
      <c r="AE861" s="302"/>
      <c r="AF861">
        <f t="shared" si="191"/>
        <v>0</v>
      </c>
    </row>
    <row r="862" spans="1:32" ht="15.75" hidden="1" thickBot="1" x14ac:dyDescent="0.3">
      <c r="A862" s="322"/>
      <c r="D862" s="1"/>
      <c r="E862" s="2"/>
      <c r="F862" s="2"/>
      <c r="G862" s="6"/>
      <c r="H862" s="7"/>
      <c r="I862" s="7"/>
      <c r="J862" s="186"/>
      <c r="K862" s="186"/>
      <c r="L862" s="386"/>
      <c r="M862" s="386"/>
      <c r="N862" s="32"/>
      <c r="O862" s="32"/>
      <c r="P862" s="278"/>
      <c r="Q862" s="238"/>
      <c r="R862" s="75"/>
      <c r="S862" s="75"/>
      <c r="T862" s="76">
        <v>364282</v>
      </c>
      <c r="U862" s="200"/>
      <c r="V862" s="75"/>
      <c r="W862" s="75"/>
      <c r="X862" s="200"/>
      <c r="Y862" s="7"/>
      <c r="Z862" s="7"/>
      <c r="AA862" s="221"/>
      <c r="AB862" s="302"/>
      <c r="AC862" s="302"/>
      <c r="AD862" s="302"/>
      <c r="AE862" s="302"/>
      <c r="AF862">
        <f t="shared" si="191"/>
        <v>0</v>
      </c>
    </row>
    <row r="863" spans="1:32" hidden="1" x14ac:dyDescent="0.25">
      <c r="A863" s="322"/>
      <c r="D863" s="1"/>
      <c r="E863" s="2"/>
      <c r="F863" s="2"/>
      <c r="G863" s="6"/>
      <c r="H863" s="7"/>
      <c r="I863" s="7"/>
      <c r="J863" s="186"/>
      <c r="K863" s="186"/>
      <c r="L863" s="386"/>
      <c r="M863" s="386"/>
      <c r="N863" s="32"/>
      <c r="O863" s="32"/>
      <c r="P863" s="278"/>
      <c r="Q863" s="238"/>
      <c r="R863" s="75"/>
      <c r="S863" s="75" t="s">
        <v>2531</v>
      </c>
      <c r="T863" s="75">
        <v>99000</v>
      </c>
      <c r="U863" s="200"/>
      <c r="V863" s="75"/>
      <c r="W863" s="75"/>
      <c r="X863" s="200"/>
      <c r="Y863" s="7"/>
      <c r="Z863" s="7"/>
      <c r="AA863" s="221"/>
      <c r="AB863" s="302"/>
      <c r="AC863" s="302"/>
      <c r="AD863" s="302"/>
      <c r="AE863" s="302"/>
      <c r="AF863">
        <f t="shared" si="191"/>
        <v>0</v>
      </c>
    </row>
    <row r="864" spans="1:32" hidden="1" x14ac:dyDescent="0.25">
      <c r="A864" s="322"/>
      <c r="D864" s="1"/>
      <c r="E864" s="2"/>
      <c r="F864" s="2"/>
      <c r="G864" s="6"/>
      <c r="H864" s="7"/>
      <c r="I864" s="7"/>
      <c r="J864" s="186"/>
      <c r="K864" s="186"/>
      <c r="L864" s="386"/>
      <c r="M864" s="386"/>
      <c r="N864" s="32"/>
      <c r="O864" s="32"/>
      <c r="P864" s="278"/>
      <c r="Q864" s="238"/>
      <c r="R864" s="75"/>
      <c r="S864" s="75" t="s">
        <v>2532</v>
      </c>
      <c r="T864" s="75">
        <v>265282</v>
      </c>
      <c r="U864" s="200"/>
      <c r="V864" s="75"/>
      <c r="W864" s="75"/>
      <c r="X864" s="200"/>
      <c r="Y864" s="7"/>
      <c r="Z864" s="7"/>
      <c r="AA864" s="221"/>
      <c r="AB864" s="302"/>
      <c r="AC864" s="302"/>
      <c r="AD864" s="302"/>
      <c r="AE864" s="302"/>
      <c r="AF864">
        <f t="shared" si="191"/>
        <v>0</v>
      </c>
    </row>
    <row r="865" spans="1:32" hidden="1" x14ac:dyDescent="0.25">
      <c r="A865" s="322"/>
      <c r="D865" s="4"/>
      <c r="E865" s="2"/>
      <c r="F865" s="2"/>
      <c r="G865" s="6"/>
      <c r="H865" s="7"/>
      <c r="I865" s="7"/>
      <c r="J865" s="186"/>
      <c r="K865" s="186"/>
      <c r="L865" s="386"/>
      <c r="M865" s="386"/>
      <c r="N865" s="32"/>
      <c r="O865" s="32"/>
      <c r="P865" s="278"/>
      <c r="Q865" s="233"/>
      <c r="R865" s="75"/>
      <c r="S865" s="75"/>
      <c r="T865" s="75"/>
      <c r="U865" s="200"/>
      <c r="V865" s="75"/>
      <c r="W865" s="75"/>
      <c r="X865" s="200"/>
      <c r="Y865" s="1"/>
      <c r="Z865" s="1"/>
      <c r="AA865" s="219"/>
      <c r="AB865" s="302"/>
      <c r="AC865" s="302"/>
      <c r="AD865" s="302"/>
      <c r="AE865" s="302"/>
      <c r="AF865">
        <f t="shared" si="191"/>
        <v>0</v>
      </c>
    </row>
    <row r="866" spans="1:32" hidden="1" x14ac:dyDescent="0.25">
      <c r="A866" s="322"/>
      <c r="D866" s="4"/>
      <c r="E866" s="2"/>
      <c r="F866" s="2"/>
      <c r="G866" s="6"/>
      <c r="H866" s="7"/>
      <c r="I866" s="7"/>
      <c r="J866" s="186"/>
      <c r="K866" s="186"/>
      <c r="L866" s="386"/>
      <c r="M866" s="386"/>
      <c r="N866" s="32"/>
      <c r="O866" s="32"/>
      <c r="P866" s="278"/>
      <c r="Q866" s="233"/>
      <c r="R866" s="75"/>
      <c r="S866" s="75"/>
      <c r="T866" s="75"/>
      <c r="U866" s="200"/>
      <c r="V866" s="75"/>
      <c r="W866" s="75"/>
      <c r="X866" s="200"/>
      <c r="Y866" s="1"/>
      <c r="Z866" s="1"/>
      <c r="AA866" s="219"/>
      <c r="AB866" s="302"/>
      <c r="AC866" s="302"/>
      <c r="AD866" s="302"/>
      <c r="AE866" s="302"/>
      <c r="AF866">
        <f t="shared" si="191"/>
        <v>0</v>
      </c>
    </row>
    <row r="867" spans="1:32" hidden="1" x14ac:dyDescent="0.25">
      <c r="A867" s="322" t="s">
        <v>2533</v>
      </c>
      <c r="B867" s="93" t="str">
        <f t="shared" ref="B867:B875" si="193">IF(COUNTIF(GIS,A867),"YES","NO")</f>
        <v>YES</v>
      </c>
      <c r="C867" s="93" t="s">
        <v>5503</v>
      </c>
      <c r="D867" s="4">
        <v>39743</v>
      </c>
      <c r="E867" s="2">
        <v>39814</v>
      </c>
      <c r="F867" s="2">
        <f t="shared" si="192"/>
        <v>43466</v>
      </c>
      <c r="G867" s="6">
        <v>435.6</v>
      </c>
      <c r="H867" s="7" t="s">
        <v>2535</v>
      </c>
      <c r="I867" s="7" t="s">
        <v>15</v>
      </c>
      <c r="J867" s="109" t="s">
        <v>4819</v>
      </c>
      <c r="K867" s="266">
        <f t="shared" ref="K867:K875" si="194">YEAR(F867)</f>
        <v>2019</v>
      </c>
      <c r="L867" s="391"/>
      <c r="M867" s="391"/>
      <c r="N867" s="272"/>
      <c r="O867" s="32" t="s">
        <v>2536</v>
      </c>
      <c r="P867" s="278"/>
      <c r="Q867" s="233" t="s">
        <v>2534</v>
      </c>
      <c r="T867" s="75">
        <v>9117</v>
      </c>
      <c r="U867" s="200">
        <v>654</v>
      </c>
      <c r="V867" s="287">
        <f t="shared" ref="V867:V875" ca="1" si="195">IF(YEAR($W$3)-YEAR(E867)&gt;9,10,IF(MONTH($W$3)&lt;MONTH(E867),YEAR($W$3)-YEAR(E867),YEAR($W$3)-YEAR(E867)+1))</f>
        <v>10</v>
      </c>
      <c r="W867" s="75">
        <f t="shared" ref="W867:W875" ca="1" si="196">IF(V867&lt;6, ROUNDUP(G867,0)*$W$6*V867, ROUNDUP(G867,0)*($W$6*5 + (V867-5)*$W$7))</f>
        <v>7630</v>
      </c>
      <c r="X867" s="200">
        <f t="shared" ref="X867:X875" ca="1" si="197">IF(V867=0,T867,((T867-ROUNDUP(G867,0)*1.5)+W867))</f>
        <v>16093</v>
      </c>
      <c r="Y867" s="28">
        <v>0.22500000000000001</v>
      </c>
      <c r="Z867" s="28">
        <v>0.05</v>
      </c>
      <c r="AA867" s="222"/>
      <c r="AB867" s="302" t="s">
        <v>6796</v>
      </c>
      <c r="AC867" s="302"/>
      <c r="AD867" s="302"/>
      <c r="AE867" s="302"/>
      <c r="AF867">
        <f t="shared" si="191"/>
        <v>0</v>
      </c>
    </row>
    <row r="868" spans="1:32" ht="26.25" hidden="1" x14ac:dyDescent="0.25">
      <c r="A868" s="322" t="s">
        <v>2537</v>
      </c>
      <c r="B868" s="93" t="str">
        <f t="shared" si="193"/>
        <v>YES</v>
      </c>
      <c r="C868" s="93" t="s">
        <v>5503</v>
      </c>
      <c r="D868" s="4">
        <v>39743</v>
      </c>
      <c r="E868" s="2">
        <v>39814</v>
      </c>
      <c r="F868" s="2">
        <f t="shared" si="192"/>
        <v>43466</v>
      </c>
      <c r="G868" s="6">
        <v>491.7</v>
      </c>
      <c r="H868" s="7" t="s">
        <v>2535</v>
      </c>
      <c r="I868" s="7" t="s">
        <v>15</v>
      </c>
      <c r="J868" s="109" t="s">
        <v>4820</v>
      </c>
      <c r="K868" s="266">
        <f t="shared" si="194"/>
        <v>2019</v>
      </c>
      <c r="L868" s="391"/>
      <c r="M868" s="391"/>
      <c r="N868" s="272"/>
      <c r="O868" s="32" t="s">
        <v>2539</v>
      </c>
      <c r="P868" s="278"/>
      <c r="Q868" s="233" t="s">
        <v>2538</v>
      </c>
      <c r="T868" s="75">
        <v>10279</v>
      </c>
      <c r="U868" s="200">
        <v>738</v>
      </c>
      <c r="V868" s="287">
        <f t="shared" ca="1" si="195"/>
        <v>10</v>
      </c>
      <c r="W868" s="75">
        <f t="shared" ca="1" si="196"/>
        <v>8610</v>
      </c>
      <c r="X868" s="200">
        <f t="shared" ca="1" si="197"/>
        <v>18151</v>
      </c>
      <c r="Y868" s="28">
        <v>0.22500000000000001</v>
      </c>
      <c r="Z868" s="28">
        <v>0.05</v>
      </c>
      <c r="AA868" s="222"/>
      <c r="AB868" s="302" t="s">
        <v>6797</v>
      </c>
      <c r="AC868" s="302"/>
      <c r="AD868" s="302"/>
      <c r="AE868" s="302"/>
      <c r="AF868">
        <f t="shared" si="191"/>
        <v>0</v>
      </c>
    </row>
    <row r="869" spans="1:32" ht="26.25" hidden="1" x14ac:dyDescent="0.25">
      <c r="A869" s="322" t="s">
        <v>2540</v>
      </c>
      <c r="B869" s="93" t="str">
        <f t="shared" si="193"/>
        <v>YES</v>
      </c>
      <c r="C869" s="93" t="s">
        <v>5503</v>
      </c>
      <c r="D869" s="4">
        <v>39743</v>
      </c>
      <c r="E869" s="2">
        <v>39814</v>
      </c>
      <c r="F869" s="2">
        <f t="shared" si="192"/>
        <v>43466</v>
      </c>
      <c r="G869" s="6">
        <v>1479.5</v>
      </c>
      <c r="H869" s="7" t="s">
        <v>2535</v>
      </c>
      <c r="I869" s="7" t="s">
        <v>15</v>
      </c>
      <c r="J869" s="109" t="s">
        <v>4819</v>
      </c>
      <c r="K869" s="266">
        <f t="shared" si="194"/>
        <v>2019</v>
      </c>
      <c r="L869" s="391"/>
      <c r="M869" s="391"/>
      <c r="N869" s="272"/>
      <c r="O869" s="32" t="s">
        <v>2542</v>
      </c>
      <c r="P869" s="278"/>
      <c r="Q869" s="233" t="s">
        <v>2541</v>
      </c>
      <c r="T869" s="75">
        <v>38180</v>
      </c>
      <c r="U869" s="200">
        <v>2220</v>
      </c>
      <c r="V869" s="287">
        <f t="shared" ca="1" si="195"/>
        <v>10</v>
      </c>
      <c r="W869" s="75">
        <f t="shared" ca="1" si="196"/>
        <v>25900</v>
      </c>
      <c r="X869" s="200">
        <f t="shared" ca="1" si="197"/>
        <v>61860</v>
      </c>
      <c r="Y869" s="28">
        <v>0.22500000000000001</v>
      </c>
      <c r="Z869" s="28">
        <v>0.05</v>
      </c>
      <c r="AA869" s="222"/>
      <c r="AB869" s="302" t="s">
        <v>6798</v>
      </c>
      <c r="AC869" s="302"/>
      <c r="AD869" s="302"/>
      <c r="AE869" s="302"/>
      <c r="AF869">
        <f t="shared" si="191"/>
        <v>0</v>
      </c>
    </row>
    <row r="870" spans="1:32" ht="26.25" hidden="1" x14ac:dyDescent="0.25">
      <c r="A870" s="322" t="s">
        <v>2543</v>
      </c>
      <c r="B870" s="93" t="str">
        <f t="shared" si="193"/>
        <v>YES</v>
      </c>
      <c r="C870" s="93" t="s">
        <v>5503</v>
      </c>
      <c r="D870" s="4">
        <v>39743</v>
      </c>
      <c r="E870" s="2">
        <v>39814</v>
      </c>
      <c r="F870" s="2">
        <f t="shared" si="192"/>
        <v>43466</v>
      </c>
      <c r="G870" s="6">
        <v>721.7</v>
      </c>
      <c r="H870" s="7" t="s">
        <v>2535</v>
      </c>
      <c r="I870" s="7" t="s">
        <v>15</v>
      </c>
      <c r="J870" s="109" t="s">
        <v>4820</v>
      </c>
      <c r="K870" s="266">
        <f t="shared" si="194"/>
        <v>2019</v>
      </c>
      <c r="L870" s="391"/>
      <c r="M870" s="391"/>
      <c r="N870" s="272"/>
      <c r="O870" s="32" t="s">
        <v>2545</v>
      </c>
      <c r="P870" s="278"/>
      <c r="Q870" s="233" t="s">
        <v>2544</v>
      </c>
      <c r="T870" s="75">
        <v>15051.5</v>
      </c>
      <c r="U870" s="200">
        <v>1083</v>
      </c>
      <c r="V870" s="287">
        <f t="shared" ca="1" si="195"/>
        <v>10</v>
      </c>
      <c r="W870" s="75">
        <f t="shared" ca="1" si="196"/>
        <v>12635</v>
      </c>
      <c r="X870" s="200">
        <f t="shared" ca="1" si="197"/>
        <v>26603.5</v>
      </c>
      <c r="Y870" s="28">
        <v>0.22500000000000001</v>
      </c>
      <c r="Z870" s="28">
        <v>0.05</v>
      </c>
      <c r="AA870" s="222"/>
      <c r="AB870" s="302" t="s">
        <v>6799</v>
      </c>
      <c r="AC870" s="302"/>
      <c r="AD870" s="302"/>
      <c r="AE870" s="302"/>
      <c r="AF870">
        <f t="shared" si="191"/>
        <v>0</v>
      </c>
    </row>
    <row r="871" spans="1:32" ht="26.25" hidden="1" x14ac:dyDescent="0.25">
      <c r="A871" s="322" t="s">
        <v>2546</v>
      </c>
      <c r="B871" s="93" t="str">
        <f t="shared" si="193"/>
        <v>YES</v>
      </c>
      <c r="C871" s="93" t="s">
        <v>5503</v>
      </c>
      <c r="D871" s="4">
        <v>39743</v>
      </c>
      <c r="E871" s="2">
        <v>39814</v>
      </c>
      <c r="F871" s="2">
        <f t="shared" si="192"/>
        <v>43466</v>
      </c>
      <c r="G871" s="6">
        <v>137.84</v>
      </c>
      <c r="H871" s="7" t="s">
        <v>2535</v>
      </c>
      <c r="I871" s="7" t="s">
        <v>15</v>
      </c>
      <c r="J871" s="109" t="s">
        <v>4819</v>
      </c>
      <c r="K871" s="266">
        <f t="shared" si="194"/>
        <v>2019</v>
      </c>
      <c r="L871" s="391"/>
      <c r="M871" s="391"/>
      <c r="N871" s="272"/>
      <c r="O871" s="32" t="s">
        <v>2548</v>
      </c>
      <c r="P871" s="278"/>
      <c r="Q871" s="233" t="s">
        <v>2547</v>
      </c>
      <c r="T871" s="75">
        <v>2243.5</v>
      </c>
      <c r="U871" s="200">
        <v>207</v>
      </c>
      <c r="V871" s="287">
        <f t="shared" ca="1" si="195"/>
        <v>10</v>
      </c>
      <c r="W871" s="75">
        <f t="shared" ca="1" si="196"/>
        <v>2415</v>
      </c>
      <c r="X871" s="200">
        <f t="shared" ca="1" si="197"/>
        <v>4451.5</v>
      </c>
      <c r="Y871" s="28">
        <v>0.22500000000000001</v>
      </c>
      <c r="Z871" s="28">
        <v>0.05</v>
      </c>
      <c r="AA871" s="222"/>
      <c r="AB871" s="302" t="s">
        <v>6800</v>
      </c>
      <c r="AC871" s="302"/>
      <c r="AD871" s="302"/>
      <c r="AE871" s="302"/>
      <c r="AF871">
        <f t="shared" si="191"/>
        <v>0</v>
      </c>
    </row>
    <row r="872" spans="1:32" hidden="1" x14ac:dyDescent="0.25">
      <c r="A872" s="322" t="s">
        <v>2549</v>
      </c>
      <c r="B872" s="93" t="str">
        <f t="shared" si="193"/>
        <v>YES</v>
      </c>
      <c r="C872" s="93" t="s">
        <v>5503</v>
      </c>
      <c r="D872" s="4">
        <v>39743</v>
      </c>
      <c r="E872" s="2">
        <v>39814</v>
      </c>
      <c r="F872" s="2">
        <f t="shared" si="192"/>
        <v>43466</v>
      </c>
      <c r="G872" s="6">
        <v>18.23</v>
      </c>
      <c r="H872" s="7" t="s">
        <v>2535</v>
      </c>
      <c r="I872" s="7" t="s">
        <v>15</v>
      </c>
      <c r="J872" s="109" t="s">
        <v>4820</v>
      </c>
      <c r="K872" s="266">
        <f t="shared" si="194"/>
        <v>2019</v>
      </c>
      <c r="L872" s="391"/>
      <c r="M872" s="391"/>
      <c r="N872" s="272"/>
      <c r="O872" s="32" t="s">
        <v>2551</v>
      </c>
      <c r="P872" s="278"/>
      <c r="Q872" s="233" t="s">
        <v>2550</v>
      </c>
      <c r="T872" s="75">
        <v>103.25</v>
      </c>
      <c r="U872" s="200">
        <v>28.5</v>
      </c>
      <c r="V872" s="287">
        <f t="shared" ca="1" si="195"/>
        <v>10</v>
      </c>
      <c r="W872" s="75">
        <f t="shared" ca="1" si="196"/>
        <v>332.5</v>
      </c>
      <c r="X872" s="200">
        <f t="shared" ca="1" si="197"/>
        <v>407.25</v>
      </c>
      <c r="Y872" s="28">
        <v>0.22500000000000001</v>
      </c>
      <c r="Z872" s="28">
        <v>0.05</v>
      </c>
      <c r="AA872" s="222"/>
      <c r="AB872" s="302" t="s">
        <v>6801</v>
      </c>
      <c r="AC872" s="302"/>
      <c r="AD872" s="302"/>
      <c r="AE872" s="302"/>
      <c r="AF872">
        <f t="shared" si="191"/>
        <v>0</v>
      </c>
    </row>
    <row r="873" spans="1:32" hidden="1" x14ac:dyDescent="0.25">
      <c r="A873" s="322" t="s">
        <v>2552</v>
      </c>
      <c r="B873" s="93" t="str">
        <f t="shared" si="193"/>
        <v>YES</v>
      </c>
      <c r="C873" s="93" t="s">
        <v>5503</v>
      </c>
      <c r="D873" s="4">
        <v>39743</v>
      </c>
      <c r="E873" s="2">
        <v>39814</v>
      </c>
      <c r="F873" s="2">
        <f t="shared" si="192"/>
        <v>43466</v>
      </c>
      <c r="G873" s="6">
        <v>266.2</v>
      </c>
      <c r="H873" s="7" t="s">
        <v>2535</v>
      </c>
      <c r="I873" s="7" t="s">
        <v>15</v>
      </c>
      <c r="J873" s="109" t="s">
        <v>4819</v>
      </c>
      <c r="K873" s="266">
        <f t="shared" si="194"/>
        <v>2019</v>
      </c>
      <c r="L873" s="391"/>
      <c r="M873" s="391"/>
      <c r="N873" s="272"/>
      <c r="O873" s="32" t="s">
        <v>2554</v>
      </c>
      <c r="P873" s="278"/>
      <c r="Q873" s="233" t="s">
        <v>2553</v>
      </c>
      <c r="T873" s="75">
        <v>5610.25</v>
      </c>
      <c r="U873" s="200">
        <v>400.5</v>
      </c>
      <c r="V873" s="287">
        <f t="shared" ca="1" si="195"/>
        <v>10</v>
      </c>
      <c r="W873" s="75">
        <f t="shared" ca="1" si="196"/>
        <v>4672.5</v>
      </c>
      <c r="X873" s="200">
        <f t="shared" ca="1" si="197"/>
        <v>9882.25</v>
      </c>
      <c r="Y873" s="28">
        <v>0.22500000000000001</v>
      </c>
      <c r="Z873" s="28">
        <v>0.05</v>
      </c>
      <c r="AA873" s="222"/>
      <c r="AB873" s="302" t="s">
        <v>6802</v>
      </c>
      <c r="AC873" s="302"/>
      <c r="AD873" s="302"/>
      <c r="AE873" s="302"/>
      <c r="AF873">
        <f t="shared" si="191"/>
        <v>0</v>
      </c>
    </row>
    <row r="874" spans="1:32" ht="26.25" hidden="1" x14ac:dyDescent="0.25">
      <c r="A874" s="322" t="s">
        <v>2555</v>
      </c>
      <c r="B874" s="93" t="str">
        <f t="shared" si="193"/>
        <v>YES</v>
      </c>
      <c r="C874" s="93" t="s">
        <v>5503</v>
      </c>
      <c r="D874" s="4">
        <v>39743</v>
      </c>
      <c r="E874" s="2">
        <v>39814</v>
      </c>
      <c r="F874" s="2">
        <f t="shared" si="192"/>
        <v>43466</v>
      </c>
      <c r="G874" s="6">
        <v>50.65</v>
      </c>
      <c r="H874" s="7" t="s">
        <v>2535</v>
      </c>
      <c r="I874" s="7" t="s">
        <v>15</v>
      </c>
      <c r="J874" s="109" t="s">
        <v>4820</v>
      </c>
      <c r="K874" s="266">
        <f t="shared" si="194"/>
        <v>2019</v>
      </c>
      <c r="L874" s="391"/>
      <c r="M874" s="391"/>
      <c r="N874" s="272"/>
      <c r="O874" s="32" t="s">
        <v>2557</v>
      </c>
      <c r="P874" s="278"/>
      <c r="Q874" s="233" t="s">
        <v>2556</v>
      </c>
      <c r="T874" s="75">
        <v>873.25</v>
      </c>
      <c r="U874" s="200">
        <v>76.5</v>
      </c>
      <c r="V874" s="287">
        <f t="shared" ca="1" si="195"/>
        <v>10</v>
      </c>
      <c r="W874" s="75">
        <f t="shared" ca="1" si="196"/>
        <v>892.5</v>
      </c>
      <c r="X874" s="200">
        <f t="shared" ca="1" si="197"/>
        <v>1689.25</v>
      </c>
      <c r="Y874" s="28">
        <v>0.22500000000000001</v>
      </c>
      <c r="Z874" s="28">
        <v>0.05</v>
      </c>
      <c r="AA874" s="222"/>
      <c r="AB874" s="302" t="s">
        <v>6803</v>
      </c>
      <c r="AC874" s="302"/>
      <c r="AD874" s="302"/>
      <c r="AE874" s="302"/>
      <c r="AF874">
        <f t="shared" si="191"/>
        <v>0</v>
      </c>
    </row>
    <row r="875" spans="1:32" ht="26.25" hidden="1" x14ac:dyDescent="0.25">
      <c r="A875" s="322" t="s">
        <v>2558</v>
      </c>
      <c r="B875" s="93" t="str">
        <f t="shared" si="193"/>
        <v>YES</v>
      </c>
      <c r="C875" s="93" t="s">
        <v>5503</v>
      </c>
      <c r="D875" s="4">
        <v>39743</v>
      </c>
      <c r="E875" s="2">
        <v>39814</v>
      </c>
      <c r="F875" s="2">
        <f t="shared" si="192"/>
        <v>43466</v>
      </c>
      <c r="G875" s="6">
        <v>132.69999999999999</v>
      </c>
      <c r="H875" s="7" t="s">
        <v>2535</v>
      </c>
      <c r="I875" s="7" t="s">
        <v>15</v>
      </c>
      <c r="J875" s="109" t="s">
        <v>4819</v>
      </c>
      <c r="K875" s="266">
        <f t="shared" si="194"/>
        <v>2019</v>
      </c>
      <c r="L875" s="391"/>
      <c r="M875" s="391"/>
      <c r="N875" s="272"/>
      <c r="O875" s="32" t="s">
        <v>2560</v>
      </c>
      <c r="P875" s="278"/>
      <c r="Q875" s="233" t="s">
        <v>2559</v>
      </c>
      <c r="T875" s="75">
        <v>2164.75</v>
      </c>
      <c r="U875" s="200">
        <v>199.5</v>
      </c>
      <c r="V875" s="287">
        <f t="shared" ca="1" si="195"/>
        <v>10</v>
      </c>
      <c r="W875" s="75">
        <f t="shared" ca="1" si="196"/>
        <v>2327.5</v>
      </c>
      <c r="X875" s="200">
        <f t="shared" ca="1" si="197"/>
        <v>4292.75</v>
      </c>
      <c r="Y875" s="28">
        <v>0.22500000000000001</v>
      </c>
      <c r="Z875" s="28">
        <v>0.05</v>
      </c>
      <c r="AA875" s="222"/>
      <c r="AB875" s="302" t="s">
        <v>6804</v>
      </c>
      <c r="AC875" s="302"/>
      <c r="AD875" s="302"/>
      <c r="AE875" s="302"/>
      <c r="AF875">
        <f t="shared" si="191"/>
        <v>0</v>
      </c>
    </row>
    <row r="876" spans="1:32" ht="15.75" hidden="1" thickBot="1" x14ac:dyDescent="0.3">
      <c r="A876" s="322"/>
      <c r="D876" s="4"/>
      <c r="E876" s="2"/>
      <c r="F876" s="2"/>
      <c r="G876" s="6"/>
      <c r="H876" s="7"/>
      <c r="I876" s="7"/>
      <c r="J876" s="186"/>
      <c r="K876" s="186"/>
      <c r="L876" s="386"/>
      <c r="M876" s="386"/>
      <c r="N876" s="32"/>
      <c r="O876" s="32"/>
      <c r="P876" s="278"/>
      <c r="Q876" s="233"/>
      <c r="R876" s="75"/>
      <c r="S876" s="75"/>
      <c r="T876" s="76">
        <v>83622.5</v>
      </c>
      <c r="U876" s="200"/>
      <c r="V876" s="75"/>
      <c r="W876" s="75"/>
      <c r="X876" s="200"/>
      <c r="Y876" s="28"/>
      <c r="Z876" s="28"/>
      <c r="AA876" s="222"/>
      <c r="AB876" s="302"/>
      <c r="AC876" s="302"/>
      <c r="AD876" s="302"/>
      <c r="AE876" s="302"/>
      <c r="AF876">
        <f t="shared" si="191"/>
        <v>0</v>
      </c>
    </row>
    <row r="877" spans="1:32" hidden="1" x14ac:dyDescent="0.25">
      <c r="A877" s="322"/>
      <c r="D877" s="4"/>
      <c r="E877" s="2"/>
      <c r="F877" s="2"/>
      <c r="G877" s="6"/>
      <c r="H877" s="7"/>
      <c r="I877" s="7"/>
      <c r="J877" s="186"/>
      <c r="K877" s="186"/>
      <c r="L877" s="386"/>
      <c r="M877" s="386"/>
      <c r="N877" s="32"/>
      <c r="O877" s="32"/>
      <c r="P877" s="278"/>
      <c r="Q877" s="233"/>
      <c r="R877" s="75"/>
      <c r="S877" s="75"/>
      <c r="T877" s="75"/>
      <c r="U877" s="200"/>
      <c r="V877" s="75"/>
      <c r="W877" s="75"/>
      <c r="X877" s="200"/>
      <c r="Y877" s="28"/>
      <c r="Z877" s="28"/>
      <c r="AA877" s="222"/>
      <c r="AB877" s="302"/>
      <c r="AC877" s="302"/>
      <c r="AD877" s="302"/>
      <c r="AE877" s="302"/>
      <c r="AF877">
        <f t="shared" si="191"/>
        <v>0</v>
      </c>
    </row>
    <row r="878" spans="1:32" hidden="1" x14ac:dyDescent="0.25">
      <c r="A878" s="322"/>
      <c r="D878" s="110"/>
      <c r="E878" s="111"/>
      <c r="F878" s="2"/>
      <c r="G878" s="6"/>
      <c r="H878" s="7"/>
      <c r="I878" s="7"/>
      <c r="J878" s="186"/>
      <c r="K878" s="186"/>
      <c r="L878" s="386"/>
      <c r="M878" s="386"/>
      <c r="N878" s="32"/>
      <c r="O878" s="32"/>
      <c r="P878" s="278"/>
      <c r="Q878" s="233"/>
      <c r="R878" s="75" t="s">
        <v>2561</v>
      </c>
      <c r="T878" s="75">
        <v>-1448</v>
      </c>
      <c r="U878" s="200"/>
      <c r="V878" s="75"/>
      <c r="W878" s="75"/>
      <c r="X878" s="200"/>
      <c r="Y878" s="28"/>
      <c r="Z878" s="28"/>
      <c r="AA878" s="222"/>
      <c r="AB878" s="302"/>
      <c r="AC878" s="302"/>
      <c r="AD878" s="302"/>
      <c r="AE878" s="302"/>
      <c r="AF878">
        <f t="shared" si="191"/>
        <v>0</v>
      </c>
    </row>
    <row r="879" spans="1:32" hidden="1" x14ac:dyDescent="0.25">
      <c r="A879" s="322"/>
      <c r="D879" s="4"/>
      <c r="E879" s="2"/>
      <c r="F879" s="2"/>
      <c r="G879" s="6"/>
      <c r="H879" s="7"/>
      <c r="I879" s="7"/>
      <c r="J879" s="186"/>
      <c r="K879" s="186"/>
      <c r="L879" s="386"/>
      <c r="M879" s="386"/>
      <c r="N879" s="32"/>
      <c r="O879" s="32"/>
      <c r="P879" s="278"/>
      <c r="Q879" s="233"/>
      <c r="R879" s="75"/>
      <c r="S879" s="75"/>
      <c r="T879" s="75"/>
      <c r="U879" s="200"/>
      <c r="V879" s="75"/>
      <c r="W879" s="75"/>
      <c r="X879" s="200"/>
      <c r="Y879" s="28"/>
      <c r="Z879" s="28"/>
      <c r="AA879" s="222"/>
      <c r="AB879" s="302"/>
      <c r="AC879" s="302"/>
      <c r="AD879" s="302"/>
      <c r="AE879" s="302"/>
      <c r="AF879">
        <f t="shared" si="191"/>
        <v>0</v>
      </c>
    </row>
    <row r="880" spans="1:32" hidden="1" x14ac:dyDescent="0.25">
      <c r="A880" s="322"/>
      <c r="D880" s="4"/>
      <c r="E880" s="2"/>
      <c r="F880" s="2"/>
      <c r="G880" s="6"/>
      <c r="H880" s="7"/>
      <c r="I880" s="7"/>
      <c r="J880" s="186"/>
      <c r="K880" s="186"/>
      <c r="L880" s="386"/>
      <c r="M880" s="386"/>
      <c r="N880" s="32"/>
      <c r="O880" s="32"/>
      <c r="P880" s="278"/>
      <c r="Q880" s="233"/>
      <c r="R880" s="75"/>
      <c r="S880" s="75"/>
      <c r="T880" s="75"/>
      <c r="U880" s="200"/>
      <c r="V880" s="75"/>
      <c r="W880" s="75"/>
      <c r="X880" s="200"/>
      <c r="Y880" s="1"/>
      <c r="Z880" s="1"/>
      <c r="AA880" s="219"/>
      <c r="AB880" s="302"/>
      <c r="AC880" s="302"/>
      <c r="AD880" s="302"/>
      <c r="AE880" s="302"/>
      <c r="AF880">
        <f t="shared" si="191"/>
        <v>0</v>
      </c>
    </row>
    <row r="881" spans="1:32" ht="39" hidden="1" x14ac:dyDescent="0.25">
      <c r="A881" s="325" t="s">
        <v>2562</v>
      </c>
      <c r="B881" s="93" t="str">
        <f t="shared" ref="B881:B887" si="198">IF(COUNTIF(GIS,A881),"YES","NO")</f>
        <v>YES</v>
      </c>
      <c r="C881" s="93" t="s">
        <v>5503</v>
      </c>
      <c r="D881" s="4">
        <v>39800</v>
      </c>
      <c r="E881" s="2">
        <v>39845</v>
      </c>
      <c r="F881" s="2">
        <f t="shared" si="192"/>
        <v>43497</v>
      </c>
      <c r="G881" s="6">
        <v>160</v>
      </c>
      <c r="H881" s="7" t="s">
        <v>2146</v>
      </c>
      <c r="I881" s="7" t="s">
        <v>308</v>
      </c>
      <c r="J881" s="105" t="s">
        <v>4821</v>
      </c>
      <c r="K881" s="266">
        <f t="shared" ref="K881:K887" si="199">YEAR(F881)</f>
        <v>2019</v>
      </c>
      <c r="L881" s="392" t="s">
        <v>5910</v>
      </c>
      <c r="M881" s="392" t="s">
        <v>7575</v>
      </c>
      <c r="N881" s="32" t="s">
        <v>2563</v>
      </c>
      <c r="O881" s="32" t="s">
        <v>2564</v>
      </c>
      <c r="P881" s="278" t="s">
        <v>2565</v>
      </c>
      <c r="Q881" s="233"/>
      <c r="R881" s="75"/>
      <c r="S881" s="75"/>
      <c r="T881" s="75">
        <v>1554</v>
      </c>
      <c r="U881" s="200">
        <v>320</v>
      </c>
      <c r="V881" s="287">
        <f t="shared" ref="V881:V887" ca="1" si="200">IF(YEAR($W$3)-YEAR(E881)&gt;9,10,IF(MONTH($W$3)&lt;MONTH(E881),YEAR($W$3)-YEAR(E881),YEAR($W$3)-YEAR(E881)+1))</f>
        <v>10</v>
      </c>
      <c r="W881" s="75">
        <f t="shared" ref="W881:W887" ca="1" si="201">IF(V881&lt;6, ROUNDUP(G881,0)*$W$6*V881, ROUNDUP(G881,0)*($W$6*5 + (V881-5)*$W$7))</f>
        <v>2800</v>
      </c>
      <c r="X881" s="200">
        <f t="shared" ref="X881:X887" ca="1" si="202">IF(V881=0,T881,((T881-ROUNDUP(G881,0)*1.5)+W881))</f>
        <v>4114</v>
      </c>
      <c r="Y881" s="1">
        <v>0.45</v>
      </c>
      <c r="Z881" s="1">
        <v>0.1</v>
      </c>
      <c r="AA881" s="219"/>
      <c r="AB881" s="302" t="s">
        <v>6335</v>
      </c>
      <c r="AC881" s="302"/>
      <c r="AD881" s="302"/>
      <c r="AE881" s="302"/>
      <c r="AF881">
        <f t="shared" si="191"/>
        <v>0</v>
      </c>
    </row>
    <row r="882" spans="1:32" hidden="1" x14ac:dyDescent="0.25">
      <c r="A882" s="322" t="s">
        <v>2566</v>
      </c>
      <c r="B882" s="93" t="str">
        <f t="shared" si="198"/>
        <v>YES</v>
      </c>
      <c r="C882" s="93" t="s">
        <v>5503</v>
      </c>
      <c r="D882" s="4">
        <v>39800</v>
      </c>
      <c r="E882" s="2">
        <v>39845</v>
      </c>
      <c r="F882" s="2">
        <f t="shared" si="192"/>
        <v>43497</v>
      </c>
      <c r="G882" s="6">
        <v>640</v>
      </c>
      <c r="H882" s="7" t="s">
        <v>2146</v>
      </c>
      <c r="I882" s="7" t="s">
        <v>308</v>
      </c>
      <c r="J882" s="423" t="s">
        <v>7922</v>
      </c>
      <c r="K882" s="266">
        <f t="shared" si="199"/>
        <v>2019</v>
      </c>
      <c r="L882" s="392" t="s">
        <v>5910</v>
      </c>
      <c r="M882" s="392" t="s">
        <v>7575</v>
      </c>
      <c r="N882" s="32" t="s">
        <v>2563</v>
      </c>
      <c r="O882" s="32" t="s">
        <v>2564</v>
      </c>
      <c r="P882" s="278" t="s">
        <v>2567</v>
      </c>
      <c r="Q882" s="233"/>
      <c r="R882" s="75"/>
      <c r="S882" s="75"/>
      <c r="T882" s="75">
        <v>3020</v>
      </c>
      <c r="U882" s="200">
        <v>1280</v>
      </c>
      <c r="V882" s="287">
        <f t="shared" ca="1" si="200"/>
        <v>10</v>
      </c>
      <c r="W882" s="75">
        <f t="shared" ca="1" si="201"/>
        <v>11200</v>
      </c>
      <c r="X882" s="200">
        <f t="shared" ca="1" si="202"/>
        <v>13260</v>
      </c>
      <c r="Y882" s="1">
        <v>0.45</v>
      </c>
      <c r="Z882" s="1">
        <v>0.1</v>
      </c>
      <c r="AA882" s="219"/>
      <c r="AB882" s="302" t="s">
        <v>6336</v>
      </c>
      <c r="AC882" s="302"/>
      <c r="AD882" s="302"/>
      <c r="AE882" s="302"/>
      <c r="AF882">
        <f t="shared" si="191"/>
        <v>0</v>
      </c>
    </row>
    <row r="883" spans="1:32" hidden="1" x14ac:dyDescent="0.25">
      <c r="A883" s="322" t="s">
        <v>2568</v>
      </c>
      <c r="B883" s="93" t="str">
        <f t="shared" si="198"/>
        <v>YES</v>
      </c>
      <c r="C883" s="93" t="s">
        <v>5503</v>
      </c>
      <c r="D883" s="4">
        <v>39800</v>
      </c>
      <c r="E883" s="2">
        <v>39845</v>
      </c>
      <c r="F883" s="2">
        <f t="shared" si="192"/>
        <v>43497</v>
      </c>
      <c r="G883" s="6">
        <v>160</v>
      </c>
      <c r="H883" s="7" t="s">
        <v>2569</v>
      </c>
      <c r="I883" s="7" t="s">
        <v>308</v>
      </c>
      <c r="J883" s="423" t="s">
        <v>7922</v>
      </c>
      <c r="K883" s="266">
        <f t="shared" si="199"/>
        <v>2019</v>
      </c>
      <c r="L883" s="390" t="s">
        <v>5555</v>
      </c>
      <c r="M883" s="390" t="s">
        <v>5562</v>
      </c>
      <c r="N883" s="32" t="s">
        <v>2570</v>
      </c>
      <c r="O883" s="32" t="s">
        <v>2571</v>
      </c>
      <c r="P883" s="278" t="s">
        <v>2572</v>
      </c>
      <c r="Q883" s="233"/>
      <c r="R883" s="75"/>
      <c r="S883" s="75"/>
      <c r="T883" s="75">
        <v>860</v>
      </c>
      <c r="U883" s="200">
        <v>320</v>
      </c>
      <c r="V883" s="287">
        <f t="shared" ca="1" si="200"/>
        <v>10</v>
      </c>
      <c r="W883" s="75">
        <f t="shared" ca="1" si="201"/>
        <v>2800</v>
      </c>
      <c r="X883" s="200">
        <f t="shared" ca="1" si="202"/>
        <v>3420</v>
      </c>
      <c r="Y883" s="1">
        <v>0.45</v>
      </c>
      <c r="Z883" s="1">
        <v>0.1</v>
      </c>
      <c r="AA883" s="219"/>
      <c r="AB883" s="302" t="s">
        <v>6348</v>
      </c>
      <c r="AC883" s="302"/>
      <c r="AD883" s="302"/>
      <c r="AE883" s="302"/>
      <c r="AF883">
        <f t="shared" si="191"/>
        <v>0</v>
      </c>
    </row>
    <row r="884" spans="1:32" hidden="1" x14ac:dyDescent="0.25">
      <c r="A884" s="322" t="s">
        <v>2573</v>
      </c>
      <c r="B884" s="93" t="str">
        <f t="shared" si="198"/>
        <v>YES</v>
      </c>
      <c r="C884" s="93" t="s">
        <v>5503</v>
      </c>
      <c r="D884" s="4">
        <v>39800</v>
      </c>
      <c r="E884" s="2">
        <v>39845</v>
      </c>
      <c r="F884" s="2">
        <f t="shared" si="192"/>
        <v>43497</v>
      </c>
      <c r="G884" s="6">
        <v>2167.33</v>
      </c>
      <c r="H884" s="7" t="s">
        <v>2574</v>
      </c>
      <c r="I884" s="7" t="s">
        <v>2575</v>
      </c>
      <c r="J884" s="423" t="s">
        <v>7922</v>
      </c>
      <c r="K884" s="266">
        <f t="shared" si="199"/>
        <v>2019</v>
      </c>
      <c r="L884" s="390"/>
      <c r="M884" s="390"/>
      <c r="N884" s="32" t="s">
        <v>2576</v>
      </c>
      <c r="O884" s="32" t="s">
        <v>2391</v>
      </c>
      <c r="P884" s="278" t="s">
        <v>2391</v>
      </c>
      <c r="Q884" s="233"/>
      <c r="R884" s="75"/>
      <c r="S884" s="75"/>
      <c r="T884" s="75">
        <v>7728</v>
      </c>
      <c r="U884" s="200">
        <v>4336</v>
      </c>
      <c r="V884" s="287">
        <f t="shared" ca="1" si="200"/>
        <v>10</v>
      </c>
      <c r="W884" s="75">
        <f t="shared" ca="1" si="201"/>
        <v>37940</v>
      </c>
      <c r="X884" s="200">
        <f t="shared" ca="1" si="202"/>
        <v>42416</v>
      </c>
      <c r="Y884" s="1">
        <v>0.45</v>
      </c>
      <c r="Z884" s="1">
        <v>0.1</v>
      </c>
      <c r="AA884" s="219"/>
      <c r="AB884" s="302"/>
      <c r="AC884" s="302"/>
      <c r="AD884" s="302"/>
      <c r="AE884" s="302"/>
      <c r="AF884">
        <f t="shared" si="191"/>
        <v>0</v>
      </c>
    </row>
    <row r="885" spans="1:32" hidden="1" x14ac:dyDescent="0.25">
      <c r="A885" s="322" t="s">
        <v>2577</v>
      </c>
      <c r="B885" s="93" t="str">
        <f t="shared" si="198"/>
        <v>YES</v>
      </c>
      <c r="C885" s="93" t="s">
        <v>5503</v>
      </c>
      <c r="D885" s="4">
        <v>39800</v>
      </c>
      <c r="E885" s="2">
        <v>39845</v>
      </c>
      <c r="F885" s="2">
        <f t="shared" si="192"/>
        <v>43497</v>
      </c>
      <c r="G885" s="6">
        <v>2388.6999999999998</v>
      </c>
      <c r="H885" s="7" t="s">
        <v>2574</v>
      </c>
      <c r="I885" s="7" t="s">
        <v>2575</v>
      </c>
      <c r="J885" s="423" t="s">
        <v>7922</v>
      </c>
      <c r="K885" s="266">
        <f t="shared" si="199"/>
        <v>2019</v>
      </c>
      <c r="L885" s="390"/>
      <c r="M885" s="390"/>
      <c r="N885" s="32" t="s">
        <v>2576</v>
      </c>
      <c r="O885" s="32" t="s">
        <v>2391</v>
      </c>
      <c r="P885" s="278" t="s">
        <v>2391</v>
      </c>
      <c r="Q885" s="233"/>
      <c r="R885" s="75"/>
      <c r="S885" s="75"/>
      <c r="T885" s="75">
        <v>8501.5</v>
      </c>
      <c r="U885" s="200">
        <v>4778</v>
      </c>
      <c r="V885" s="287">
        <f t="shared" ca="1" si="200"/>
        <v>10</v>
      </c>
      <c r="W885" s="75">
        <f t="shared" ca="1" si="201"/>
        <v>41807.5</v>
      </c>
      <c r="X885" s="200">
        <f t="shared" ca="1" si="202"/>
        <v>46725.5</v>
      </c>
      <c r="Y885" s="1">
        <v>0.45</v>
      </c>
      <c r="Z885" s="1">
        <v>0.1</v>
      </c>
      <c r="AA885" s="219"/>
      <c r="AB885" s="302"/>
      <c r="AC885" s="302"/>
      <c r="AD885" s="302"/>
      <c r="AE885" s="302"/>
      <c r="AF885">
        <f t="shared" si="191"/>
        <v>0</v>
      </c>
    </row>
    <row r="886" spans="1:32" hidden="1" x14ac:dyDescent="0.25">
      <c r="A886" s="322" t="s">
        <v>2578</v>
      </c>
      <c r="B886" s="93" t="str">
        <f t="shared" si="198"/>
        <v>YES</v>
      </c>
      <c r="C886" s="93" t="s">
        <v>5503</v>
      </c>
      <c r="D886" s="4">
        <v>39800</v>
      </c>
      <c r="E886" s="2">
        <v>39845</v>
      </c>
      <c r="F886" s="2">
        <f t="shared" si="192"/>
        <v>43497</v>
      </c>
      <c r="G886" s="6">
        <v>1133.46</v>
      </c>
      <c r="H886" s="7" t="s">
        <v>2569</v>
      </c>
      <c r="I886" s="7" t="s">
        <v>2575</v>
      </c>
      <c r="J886" s="423" t="s">
        <v>7922</v>
      </c>
      <c r="K886" s="266">
        <f t="shared" si="199"/>
        <v>2019</v>
      </c>
      <c r="L886" s="390" t="s">
        <v>5659</v>
      </c>
      <c r="M886" s="390" t="s">
        <v>5840</v>
      </c>
      <c r="N886" s="32" t="s">
        <v>2576</v>
      </c>
      <c r="O886" s="32" t="s">
        <v>2579</v>
      </c>
      <c r="P886" s="278" t="s">
        <v>2580</v>
      </c>
      <c r="Q886" s="233"/>
      <c r="R886" s="75"/>
      <c r="S886" s="75"/>
      <c r="T886" s="75">
        <v>5243</v>
      </c>
      <c r="U886" s="200">
        <v>2268</v>
      </c>
      <c r="V886" s="287">
        <f t="shared" ca="1" si="200"/>
        <v>10</v>
      </c>
      <c r="W886" s="75">
        <f t="shared" ca="1" si="201"/>
        <v>19845</v>
      </c>
      <c r="X886" s="200">
        <f t="shared" ca="1" si="202"/>
        <v>23387</v>
      </c>
      <c r="Y886" s="1">
        <v>0.45</v>
      </c>
      <c r="Z886" s="1">
        <v>0.1</v>
      </c>
      <c r="AA886" s="219"/>
      <c r="AB886" s="302"/>
      <c r="AC886" s="302"/>
      <c r="AD886" s="302"/>
      <c r="AE886" s="302"/>
      <c r="AF886">
        <f t="shared" si="191"/>
        <v>0</v>
      </c>
    </row>
    <row r="887" spans="1:32" hidden="1" x14ac:dyDescent="0.25">
      <c r="A887" s="322" t="s">
        <v>2581</v>
      </c>
      <c r="B887" s="93" t="str">
        <f t="shared" si="198"/>
        <v>YES</v>
      </c>
      <c r="C887" s="93" t="s">
        <v>5503</v>
      </c>
      <c r="D887" s="4">
        <v>39800</v>
      </c>
      <c r="E887" s="2">
        <v>39845</v>
      </c>
      <c r="F887" s="2">
        <f t="shared" si="192"/>
        <v>43497</v>
      </c>
      <c r="G887" s="6">
        <v>2218.42</v>
      </c>
      <c r="H887" s="7" t="s">
        <v>2569</v>
      </c>
      <c r="I887" s="7" t="s">
        <v>2575</v>
      </c>
      <c r="J887" s="423" t="s">
        <v>7922</v>
      </c>
      <c r="K887" s="266">
        <f t="shared" si="199"/>
        <v>2019</v>
      </c>
      <c r="L887" s="390" t="s">
        <v>5659</v>
      </c>
      <c r="M887" s="390" t="s">
        <v>7574</v>
      </c>
      <c r="N887" s="32" t="s">
        <v>2576</v>
      </c>
      <c r="O887" s="32" t="s">
        <v>2582</v>
      </c>
      <c r="P887" s="278" t="s">
        <v>2583</v>
      </c>
      <c r="Q887" s="233"/>
      <c r="R887" s="75"/>
      <c r="S887" s="75"/>
      <c r="T887" s="75">
        <v>10125.5</v>
      </c>
      <c r="U887" s="200">
        <v>4438</v>
      </c>
      <c r="V887" s="287">
        <f t="shared" ca="1" si="200"/>
        <v>10</v>
      </c>
      <c r="W887" s="75">
        <f t="shared" ca="1" si="201"/>
        <v>38832.5</v>
      </c>
      <c r="X887" s="200">
        <f t="shared" ca="1" si="202"/>
        <v>45629.5</v>
      </c>
      <c r="Y887" s="1">
        <v>0.45</v>
      </c>
      <c r="Z887" s="1">
        <v>0.1</v>
      </c>
      <c r="AA887" s="219"/>
      <c r="AB887" s="302"/>
      <c r="AC887" s="302"/>
      <c r="AD887" s="302"/>
      <c r="AE887" s="302"/>
      <c r="AF887">
        <f t="shared" si="191"/>
        <v>0</v>
      </c>
    </row>
    <row r="888" spans="1:32" ht="15.75" hidden="1" thickBot="1" x14ac:dyDescent="0.3">
      <c r="A888" s="322"/>
      <c r="D888" s="30"/>
      <c r="E888" s="11"/>
      <c r="F888" s="2"/>
      <c r="G888" s="6"/>
      <c r="H888" s="7"/>
      <c r="I888" s="7"/>
      <c r="J888" s="186"/>
      <c r="K888" s="186"/>
      <c r="L888" s="386"/>
      <c r="M888" s="386"/>
      <c r="N888" s="32"/>
      <c r="O888" s="32"/>
      <c r="P888" s="278"/>
      <c r="Q888" s="235"/>
      <c r="R888" s="75"/>
      <c r="S888" s="75"/>
      <c r="T888" s="76">
        <v>37032</v>
      </c>
      <c r="U888" s="200"/>
      <c r="V888" s="75"/>
      <c r="W888" s="75"/>
      <c r="X888" s="200"/>
      <c r="Y888" s="1"/>
      <c r="Z888" s="1"/>
      <c r="AA888" s="219"/>
      <c r="AB888" s="302"/>
      <c r="AC888" s="302"/>
      <c r="AD888" s="302"/>
      <c r="AE888" s="302"/>
      <c r="AF888">
        <f t="shared" si="191"/>
        <v>0</v>
      </c>
    </row>
    <row r="889" spans="1:32" hidden="1" x14ac:dyDescent="0.25">
      <c r="A889" s="322"/>
      <c r="D889" s="30"/>
      <c r="E889" s="11"/>
      <c r="F889" s="2"/>
      <c r="G889" s="6"/>
      <c r="H889" s="7"/>
      <c r="I889" s="7"/>
      <c r="J889" s="186"/>
      <c r="K889" s="186"/>
      <c r="L889" s="386"/>
      <c r="M889" s="386"/>
      <c r="N889" s="32"/>
      <c r="O889" s="32"/>
      <c r="P889" s="278"/>
      <c r="Q889" s="235"/>
      <c r="R889" s="75"/>
      <c r="S889" s="75"/>
      <c r="T889" s="75"/>
      <c r="U889" s="200"/>
      <c r="V889" s="75"/>
      <c r="W889" s="75"/>
      <c r="X889" s="200"/>
      <c r="Y889" s="1"/>
      <c r="Z889" s="1"/>
      <c r="AA889" s="219"/>
      <c r="AB889" s="302"/>
      <c r="AC889" s="302"/>
      <c r="AD889" s="302"/>
      <c r="AE889" s="302"/>
      <c r="AF889">
        <f t="shared" si="191"/>
        <v>0</v>
      </c>
    </row>
    <row r="890" spans="1:32" ht="15.75" hidden="1" thickBot="1" x14ac:dyDescent="0.3">
      <c r="A890" s="322"/>
      <c r="D890" s="30"/>
      <c r="E890" s="11"/>
      <c r="F890" s="2"/>
      <c r="G890" s="6"/>
      <c r="H890" s="7"/>
      <c r="I890" s="7"/>
      <c r="J890" s="186"/>
      <c r="K890" s="186"/>
      <c r="L890" s="386"/>
      <c r="M890" s="386"/>
      <c r="N890" s="32"/>
      <c r="O890" s="32"/>
      <c r="P890" s="278"/>
      <c r="Q890" s="235" t="s">
        <v>2584</v>
      </c>
      <c r="R890" s="75"/>
      <c r="S890" s="75"/>
      <c r="T890" s="82">
        <v>16377761</v>
      </c>
      <c r="U890" s="200"/>
      <c r="V890" s="75"/>
      <c r="W890" s="75"/>
      <c r="X890" s="200"/>
      <c r="Y890" s="1"/>
      <c r="Z890" s="1"/>
      <c r="AA890" s="219"/>
      <c r="AB890" s="302"/>
      <c r="AC890" s="302"/>
      <c r="AD890" s="302"/>
      <c r="AE890" s="302"/>
      <c r="AF890">
        <f t="shared" si="191"/>
        <v>0</v>
      </c>
    </row>
    <row r="891" spans="1:32" hidden="1" x14ac:dyDescent="0.25">
      <c r="A891" s="322"/>
      <c r="D891" s="30"/>
      <c r="E891" s="11"/>
      <c r="F891" s="2"/>
      <c r="G891" s="6"/>
      <c r="H891" s="7"/>
      <c r="I891" s="7"/>
      <c r="J891" s="186"/>
      <c r="K891" s="186"/>
      <c r="L891" s="386"/>
      <c r="M891" s="386"/>
      <c r="N891" s="32"/>
      <c r="O891" s="32"/>
      <c r="P891" s="278"/>
      <c r="Q891" s="235"/>
      <c r="R891" s="75"/>
      <c r="S891" s="75"/>
      <c r="T891" s="75"/>
      <c r="U891" s="200"/>
      <c r="V891" s="75"/>
      <c r="W891" s="75"/>
      <c r="X891" s="200"/>
      <c r="Y891" s="1"/>
      <c r="Z891" s="1"/>
      <c r="AA891" s="219"/>
      <c r="AB891" s="302"/>
      <c r="AC891" s="302"/>
      <c r="AD891" s="302"/>
      <c r="AE891" s="302"/>
      <c r="AF891">
        <f t="shared" si="191"/>
        <v>0</v>
      </c>
    </row>
    <row r="892" spans="1:32" hidden="1" x14ac:dyDescent="0.25">
      <c r="A892" s="322"/>
      <c r="D892" s="7"/>
      <c r="E892" s="8"/>
      <c r="F892" s="2"/>
      <c r="G892" s="6"/>
      <c r="H892" s="7"/>
      <c r="I892" s="7"/>
      <c r="J892" s="186"/>
      <c r="K892" s="186"/>
      <c r="L892" s="386"/>
      <c r="M892" s="386"/>
      <c r="N892" s="32"/>
      <c r="O892" s="32"/>
      <c r="P892" s="278"/>
      <c r="Q892" s="233"/>
      <c r="R892" s="75"/>
      <c r="S892" s="75"/>
      <c r="T892" s="75"/>
      <c r="U892" s="200"/>
      <c r="V892" s="75"/>
      <c r="W892" s="75"/>
      <c r="X892" s="200"/>
      <c r="Y892" s="1"/>
      <c r="Z892" s="1"/>
      <c r="AA892" s="219"/>
      <c r="AB892" s="302"/>
      <c r="AC892" s="302"/>
      <c r="AD892" s="302"/>
      <c r="AE892" s="302"/>
      <c r="AF892">
        <f t="shared" si="191"/>
        <v>0</v>
      </c>
    </row>
    <row r="893" spans="1:32" ht="51.75" hidden="1" x14ac:dyDescent="0.25">
      <c r="A893" s="322" t="s">
        <v>2585</v>
      </c>
      <c r="B893" s="93" t="str">
        <f t="shared" ref="B893:B907" si="203">IF(COUNTIF(GIS,A893),"YES","NO")</f>
        <v>YES</v>
      </c>
      <c r="C893" s="93" t="s">
        <v>5503</v>
      </c>
      <c r="D893" s="4">
        <v>39834</v>
      </c>
      <c r="E893" s="2">
        <v>39934</v>
      </c>
      <c r="F893" s="2">
        <f t="shared" si="192"/>
        <v>43586</v>
      </c>
      <c r="G893" s="6">
        <v>1360</v>
      </c>
      <c r="H893" s="7" t="s">
        <v>2586</v>
      </c>
      <c r="I893" s="7" t="s">
        <v>512</v>
      </c>
      <c r="J893" s="423" t="s">
        <v>7922</v>
      </c>
      <c r="K893" s="266">
        <f t="shared" ref="K893:K907" si="204">YEAR(F893)</f>
        <v>2019</v>
      </c>
      <c r="L893" s="390" t="s">
        <v>7529</v>
      </c>
      <c r="M893" s="390" t="s">
        <v>7534</v>
      </c>
      <c r="N893" s="32" t="s">
        <v>2587</v>
      </c>
      <c r="O893" s="278" t="s">
        <v>2588</v>
      </c>
      <c r="Q893" s="233"/>
      <c r="R893" s="75">
        <v>4900</v>
      </c>
      <c r="S893" s="75"/>
      <c r="T893" s="75">
        <v>4900</v>
      </c>
      <c r="U893" s="200">
        <v>2720</v>
      </c>
      <c r="V893" s="287">
        <f t="shared" ref="V893:V907" ca="1" si="205">IF(YEAR($W$3)-YEAR(E893)&gt;9,10,IF(MONTH($W$3)&lt;MONTH(E893),YEAR($W$3)-YEAR(E893),YEAR($W$3)-YEAR(E893)+1))</f>
        <v>10</v>
      </c>
      <c r="W893" s="75">
        <f t="shared" ref="W893:W907" ca="1" si="206">IF(V893&lt;6, ROUNDUP(G893,0)*$W$6*V893, ROUNDUP(G893,0)*($W$6*5 + (V893-5)*$W$7))</f>
        <v>23800</v>
      </c>
      <c r="X893" s="200">
        <f t="shared" ref="X893:X907" ca="1" si="207">IF(V893=0,T893,((T893-ROUNDUP(G893,0)*1.5)+W893))</f>
        <v>26660</v>
      </c>
      <c r="Y893" s="1">
        <v>0.45</v>
      </c>
      <c r="Z893" s="1">
        <v>0.1</v>
      </c>
      <c r="AA893" s="219"/>
      <c r="AB893" s="302" t="s">
        <v>6805</v>
      </c>
      <c r="AC893" s="302"/>
      <c r="AD893" s="302"/>
      <c r="AE893" s="302"/>
      <c r="AF893">
        <f t="shared" si="191"/>
        <v>0</v>
      </c>
    </row>
    <row r="894" spans="1:32" ht="39" hidden="1" x14ac:dyDescent="0.25">
      <c r="A894" s="322" t="s">
        <v>2589</v>
      </c>
      <c r="B894" s="93" t="str">
        <f t="shared" si="203"/>
        <v>YES</v>
      </c>
      <c r="C894" s="93" t="s">
        <v>5503</v>
      </c>
      <c r="D894" s="4">
        <v>39834</v>
      </c>
      <c r="E894" s="2">
        <v>39934</v>
      </c>
      <c r="F894" s="2">
        <f t="shared" si="192"/>
        <v>43586</v>
      </c>
      <c r="G894" s="6">
        <v>1344.58</v>
      </c>
      <c r="H894" s="7" t="s">
        <v>2586</v>
      </c>
      <c r="I894" s="7" t="s">
        <v>512</v>
      </c>
      <c r="J894" s="423" t="s">
        <v>7922</v>
      </c>
      <c r="K894" s="266">
        <f t="shared" si="204"/>
        <v>2019</v>
      </c>
      <c r="L894" s="390" t="s">
        <v>7529</v>
      </c>
      <c r="M894" s="390" t="s">
        <v>7534</v>
      </c>
      <c r="N894" s="32" t="s">
        <v>2587</v>
      </c>
      <c r="O894" s="278" t="s">
        <v>2590</v>
      </c>
      <c r="Q894" s="233"/>
      <c r="R894" s="75">
        <v>4847.5</v>
      </c>
      <c r="S894" s="75"/>
      <c r="T894" s="75">
        <v>4847.5</v>
      </c>
      <c r="U894" s="200">
        <v>2690</v>
      </c>
      <c r="V894" s="287">
        <f t="shared" ca="1" si="205"/>
        <v>10</v>
      </c>
      <c r="W894" s="75">
        <f t="shared" ca="1" si="206"/>
        <v>23537.5</v>
      </c>
      <c r="X894" s="200">
        <f t="shared" ca="1" si="207"/>
        <v>26367.5</v>
      </c>
      <c r="Y894" s="1">
        <v>0.45</v>
      </c>
      <c r="Z894" s="1">
        <v>0.1</v>
      </c>
      <c r="AA894" s="219"/>
      <c r="AB894" s="302" t="s">
        <v>6806</v>
      </c>
      <c r="AC894" s="302"/>
      <c r="AD894" s="302"/>
      <c r="AE894" s="302"/>
      <c r="AF894">
        <f t="shared" si="191"/>
        <v>0</v>
      </c>
    </row>
    <row r="895" spans="1:32" ht="39" hidden="1" x14ac:dyDescent="0.25">
      <c r="A895" s="322" t="s">
        <v>2591</v>
      </c>
      <c r="B895" s="93" t="str">
        <f t="shared" si="203"/>
        <v>YES</v>
      </c>
      <c r="C895" s="93" t="s">
        <v>5503</v>
      </c>
      <c r="D895" s="4">
        <v>39834</v>
      </c>
      <c r="E895" s="2">
        <v>39934</v>
      </c>
      <c r="F895" s="2">
        <f t="shared" si="192"/>
        <v>43586</v>
      </c>
      <c r="G895" s="6">
        <v>1359.65</v>
      </c>
      <c r="H895" s="7" t="s">
        <v>892</v>
      </c>
      <c r="I895" s="7" t="s">
        <v>512</v>
      </c>
      <c r="J895" s="105" t="s">
        <v>7666</v>
      </c>
      <c r="K895" s="266">
        <f t="shared" si="204"/>
        <v>2019</v>
      </c>
      <c r="L895" s="390" t="s">
        <v>6112</v>
      </c>
      <c r="M895" s="390" t="s">
        <v>7535</v>
      </c>
      <c r="N895" s="32" t="s">
        <v>2592</v>
      </c>
      <c r="O895" s="278" t="s">
        <v>2593</v>
      </c>
      <c r="Q895" s="233"/>
      <c r="R895" s="75">
        <v>4900</v>
      </c>
      <c r="S895" s="75">
        <v>78880</v>
      </c>
      <c r="T895" s="75">
        <v>83780</v>
      </c>
      <c r="U895" s="200">
        <v>2720</v>
      </c>
      <c r="V895" s="287">
        <f t="shared" ca="1" si="205"/>
        <v>10</v>
      </c>
      <c r="W895" s="75">
        <f t="shared" ca="1" si="206"/>
        <v>23800</v>
      </c>
      <c r="X895" s="200">
        <f t="shared" ca="1" si="207"/>
        <v>105540</v>
      </c>
      <c r="Y895" s="1">
        <v>0.45</v>
      </c>
      <c r="Z895" s="1">
        <v>0.1</v>
      </c>
      <c r="AA895" s="219"/>
      <c r="AB895" s="302" t="s">
        <v>6807</v>
      </c>
      <c r="AC895" s="302"/>
      <c r="AD895" s="302"/>
      <c r="AE895" s="302"/>
      <c r="AF895">
        <f t="shared" si="191"/>
        <v>0</v>
      </c>
    </row>
    <row r="896" spans="1:32" ht="39" hidden="1" x14ac:dyDescent="0.25">
      <c r="A896" s="322" t="s">
        <v>2594</v>
      </c>
      <c r="B896" s="93" t="str">
        <f t="shared" si="203"/>
        <v>YES</v>
      </c>
      <c r="C896" s="93" t="s">
        <v>5503</v>
      </c>
      <c r="D896" s="4">
        <v>39834</v>
      </c>
      <c r="E896" s="2">
        <v>39934</v>
      </c>
      <c r="F896" s="2">
        <f t="shared" si="192"/>
        <v>43586</v>
      </c>
      <c r="G896" s="6">
        <v>160</v>
      </c>
      <c r="H896" s="7" t="s">
        <v>2595</v>
      </c>
      <c r="I896" s="7" t="s">
        <v>512</v>
      </c>
      <c r="J896" s="105" t="s">
        <v>7666</v>
      </c>
      <c r="K896" s="266">
        <f t="shared" si="204"/>
        <v>2019</v>
      </c>
      <c r="L896" s="390" t="s">
        <v>6112</v>
      </c>
      <c r="M896" s="390" t="s">
        <v>7526</v>
      </c>
      <c r="N896" s="32" t="s">
        <v>2596</v>
      </c>
      <c r="O896" s="278" t="s">
        <v>2597</v>
      </c>
      <c r="Q896" s="233"/>
      <c r="R896" s="75">
        <v>700</v>
      </c>
      <c r="S896" s="75">
        <v>7680</v>
      </c>
      <c r="T896" s="75">
        <v>8380</v>
      </c>
      <c r="U896" s="200">
        <v>320</v>
      </c>
      <c r="V896" s="287">
        <f t="shared" ca="1" si="205"/>
        <v>10</v>
      </c>
      <c r="W896" s="75">
        <f t="shared" ca="1" si="206"/>
        <v>2800</v>
      </c>
      <c r="X896" s="200">
        <f t="shared" ca="1" si="207"/>
        <v>10940</v>
      </c>
      <c r="Y896" s="1">
        <v>0.45</v>
      </c>
      <c r="Z896" s="1">
        <v>0.1</v>
      </c>
      <c r="AA896" s="219"/>
      <c r="AB896" s="302" t="s">
        <v>5395</v>
      </c>
      <c r="AC896" s="310">
        <v>42829</v>
      </c>
      <c r="AD896" s="311">
        <v>0.25</v>
      </c>
      <c r="AE896" s="312" t="s">
        <v>6234</v>
      </c>
      <c r="AF896">
        <f t="shared" si="191"/>
        <v>0</v>
      </c>
    </row>
    <row r="897" spans="1:32" hidden="1" x14ac:dyDescent="0.25">
      <c r="A897" s="322" t="s">
        <v>2598</v>
      </c>
      <c r="B897" s="93" t="str">
        <f t="shared" si="203"/>
        <v>YES</v>
      </c>
      <c r="C897" s="93" t="s">
        <v>5503</v>
      </c>
      <c r="D897" s="4">
        <v>39834</v>
      </c>
      <c r="E897" s="2">
        <v>39934</v>
      </c>
      <c r="F897" s="2">
        <f t="shared" si="192"/>
        <v>43586</v>
      </c>
      <c r="G897" s="6">
        <v>2060</v>
      </c>
      <c r="H897" s="7" t="s">
        <v>1575</v>
      </c>
      <c r="I897" s="7" t="s">
        <v>198</v>
      </c>
      <c r="J897" s="186"/>
      <c r="K897" s="266">
        <f t="shared" si="204"/>
        <v>2019</v>
      </c>
      <c r="L897" s="390"/>
      <c r="M897" s="390"/>
      <c r="N897" s="32" t="s">
        <v>2599</v>
      </c>
      <c r="O897" s="32" t="s">
        <v>2600</v>
      </c>
      <c r="P897" s="278" t="s">
        <v>2391</v>
      </c>
      <c r="Q897" s="233"/>
      <c r="R897" s="75">
        <v>7350</v>
      </c>
      <c r="S897" s="75"/>
      <c r="T897" s="75">
        <v>7350</v>
      </c>
      <c r="U897" s="200">
        <v>4120</v>
      </c>
      <c r="V897" s="287">
        <f t="shared" ca="1" si="205"/>
        <v>10</v>
      </c>
      <c r="W897" s="75">
        <f t="shared" ca="1" si="206"/>
        <v>36050</v>
      </c>
      <c r="X897" s="200">
        <f t="shared" ca="1" si="207"/>
        <v>40310</v>
      </c>
      <c r="Y897" s="1">
        <v>0.45</v>
      </c>
      <c r="Z897" s="1">
        <v>0.1</v>
      </c>
      <c r="AA897" s="219"/>
      <c r="AB897" s="302" t="s">
        <v>6808</v>
      </c>
      <c r="AC897" s="302"/>
      <c r="AD897" s="302"/>
      <c r="AE897" s="302"/>
      <c r="AF897">
        <f t="shared" si="191"/>
        <v>0</v>
      </c>
    </row>
    <row r="898" spans="1:32" ht="39" hidden="1" x14ac:dyDescent="0.25">
      <c r="A898" s="322" t="s">
        <v>2601</v>
      </c>
      <c r="B898" s="93" t="str">
        <f t="shared" si="203"/>
        <v>YES</v>
      </c>
      <c r="C898" s="93" t="s">
        <v>5503</v>
      </c>
      <c r="D898" s="4">
        <v>39834</v>
      </c>
      <c r="E898" s="2">
        <v>39934</v>
      </c>
      <c r="F898" s="2">
        <f t="shared" si="192"/>
        <v>43586</v>
      </c>
      <c r="G898" s="6">
        <v>168.22</v>
      </c>
      <c r="H898" s="7" t="s">
        <v>2602</v>
      </c>
      <c r="I898" s="7" t="s">
        <v>15</v>
      </c>
      <c r="J898" s="105" t="s">
        <v>7666</v>
      </c>
      <c r="K898" s="266">
        <f t="shared" si="204"/>
        <v>2019</v>
      </c>
      <c r="L898" s="390"/>
      <c r="M898" s="390"/>
      <c r="N898" s="32" t="s">
        <v>2367</v>
      </c>
      <c r="O898" s="32" t="s">
        <v>4910</v>
      </c>
      <c r="P898" s="278" t="s">
        <v>4911</v>
      </c>
      <c r="Q898" s="233"/>
      <c r="R898" s="75">
        <v>731.5</v>
      </c>
      <c r="S898" s="75">
        <v>46137</v>
      </c>
      <c r="T898" s="75">
        <v>46868.5</v>
      </c>
      <c r="U898" s="200">
        <v>338</v>
      </c>
      <c r="V898" s="287">
        <f t="shared" ca="1" si="205"/>
        <v>10</v>
      </c>
      <c r="W898" s="75">
        <f t="shared" ca="1" si="206"/>
        <v>2957.5</v>
      </c>
      <c r="X898" s="200">
        <f t="shared" ca="1" si="207"/>
        <v>49572.5</v>
      </c>
      <c r="Y898" s="1">
        <v>0.45</v>
      </c>
      <c r="Z898" s="1">
        <v>0.1</v>
      </c>
      <c r="AA898" s="219"/>
      <c r="AB898" s="302" t="s">
        <v>6809</v>
      </c>
      <c r="AC898" s="302"/>
      <c r="AD898" s="302"/>
      <c r="AE898" s="302"/>
      <c r="AF898">
        <f t="shared" si="191"/>
        <v>0</v>
      </c>
    </row>
    <row r="899" spans="1:32" ht="26.25" hidden="1" x14ac:dyDescent="0.25">
      <c r="A899" s="322" t="s">
        <v>2603</v>
      </c>
      <c r="B899" s="93" t="str">
        <f t="shared" si="203"/>
        <v>YES</v>
      </c>
      <c r="C899" s="93" t="s">
        <v>5503</v>
      </c>
      <c r="D899" s="4">
        <v>39834</v>
      </c>
      <c r="E899" s="2">
        <v>39934</v>
      </c>
      <c r="F899" s="2">
        <f t="shared" si="192"/>
        <v>43586</v>
      </c>
      <c r="G899" s="6">
        <v>169.1</v>
      </c>
      <c r="H899" s="7" t="s">
        <v>2604</v>
      </c>
      <c r="I899" s="7" t="s">
        <v>15</v>
      </c>
      <c r="J899" s="423" t="s">
        <v>7922</v>
      </c>
      <c r="K899" s="266">
        <f t="shared" si="204"/>
        <v>2019</v>
      </c>
      <c r="L899" s="390"/>
      <c r="M899" s="390"/>
      <c r="N899" s="32" t="s">
        <v>2605</v>
      </c>
      <c r="O899" s="32" t="s">
        <v>2606</v>
      </c>
      <c r="P899" s="278"/>
      <c r="Q899" s="233"/>
      <c r="R899" s="75">
        <v>735</v>
      </c>
      <c r="S899" s="75">
        <v>55760</v>
      </c>
      <c r="T899" s="75">
        <v>56495</v>
      </c>
      <c r="U899" s="200">
        <v>340</v>
      </c>
      <c r="V899" s="287">
        <f t="shared" ca="1" si="205"/>
        <v>10</v>
      </c>
      <c r="W899" s="75">
        <f t="shared" ca="1" si="206"/>
        <v>2975</v>
      </c>
      <c r="X899" s="200">
        <f t="shared" ca="1" si="207"/>
        <v>59215</v>
      </c>
      <c r="Y899" s="1">
        <v>0.45</v>
      </c>
      <c r="Z899" s="1">
        <v>0.1</v>
      </c>
      <c r="AA899" s="219"/>
      <c r="AB899" s="302" t="s">
        <v>6810</v>
      </c>
      <c r="AC899" s="302"/>
      <c r="AD899" s="302"/>
      <c r="AE899" s="302"/>
      <c r="AF899">
        <f t="shared" si="191"/>
        <v>0</v>
      </c>
    </row>
    <row r="900" spans="1:32" ht="26.25" hidden="1" x14ac:dyDescent="0.25">
      <c r="A900" s="322" t="s">
        <v>2607</v>
      </c>
      <c r="B900" s="93" t="str">
        <f t="shared" si="203"/>
        <v>YES</v>
      </c>
      <c r="C900" s="93" t="s">
        <v>5503</v>
      </c>
      <c r="D900" s="4">
        <v>39834</v>
      </c>
      <c r="E900" s="2">
        <v>39934</v>
      </c>
      <c r="F900" s="2">
        <f t="shared" si="192"/>
        <v>43586</v>
      </c>
      <c r="G900" s="6">
        <v>26.73</v>
      </c>
      <c r="H900" s="7" t="s">
        <v>2608</v>
      </c>
      <c r="I900" s="7" t="s">
        <v>15</v>
      </c>
      <c r="J900" s="423" t="s">
        <v>7922</v>
      </c>
      <c r="K900" s="266">
        <f t="shared" si="204"/>
        <v>2019</v>
      </c>
      <c r="L900" s="390"/>
      <c r="M900" s="390"/>
      <c r="N900" s="32" t="s">
        <v>2605</v>
      </c>
      <c r="O900" s="32" t="s">
        <v>2609</v>
      </c>
      <c r="P900" s="278"/>
      <c r="Q900" s="233"/>
      <c r="R900" s="75">
        <v>234.5</v>
      </c>
      <c r="S900" s="75">
        <v>486</v>
      </c>
      <c r="T900" s="75">
        <v>720.5</v>
      </c>
      <c r="U900" s="200">
        <v>54</v>
      </c>
      <c r="V900" s="287">
        <f t="shared" ca="1" si="205"/>
        <v>10</v>
      </c>
      <c r="W900" s="75">
        <f t="shared" ca="1" si="206"/>
        <v>472.5</v>
      </c>
      <c r="X900" s="200">
        <f t="shared" ca="1" si="207"/>
        <v>1152.5</v>
      </c>
      <c r="Y900" s="1">
        <v>0.45</v>
      </c>
      <c r="Z900" s="1">
        <v>0.1</v>
      </c>
      <c r="AA900" s="219"/>
      <c r="AB900" s="302" t="s">
        <v>6811</v>
      </c>
      <c r="AC900" s="302"/>
      <c r="AD900" s="302"/>
      <c r="AE900" s="302"/>
      <c r="AF900">
        <f t="shared" si="191"/>
        <v>0</v>
      </c>
    </row>
    <row r="901" spans="1:32" ht="26.25" hidden="1" x14ac:dyDescent="0.25">
      <c r="A901" s="322" t="s">
        <v>2610</v>
      </c>
      <c r="B901" s="93" t="str">
        <f t="shared" si="203"/>
        <v>YES</v>
      </c>
      <c r="C901" s="93" t="s">
        <v>5503</v>
      </c>
      <c r="D901" s="4">
        <v>39834</v>
      </c>
      <c r="E901" s="2">
        <v>39934</v>
      </c>
      <c r="F901" s="2">
        <f t="shared" si="192"/>
        <v>43586</v>
      </c>
      <c r="G901" s="6">
        <v>1072.2</v>
      </c>
      <c r="H901" s="7" t="s">
        <v>2611</v>
      </c>
      <c r="I901" s="7" t="s">
        <v>15</v>
      </c>
      <c r="J901" s="105" t="s">
        <v>7647</v>
      </c>
      <c r="K901" s="266">
        <f t="shared" si="204"/>
        <v>2019</v>
      </c>
      <c r="L901" s="390"/>
      <c r="M901" s="390"/>
      <c r="N901" s="32" t="s">
        <v>2612</v>
      </c>
      <c r="O901" s="32" t="s">
        <v>2613</v>
      </c>
      <c r="P901" s="278"/>
      <c r="Q901" s="233"/>
      <c r="R901" s="75">
        <v>3895.5</v>
      </c>
      <c r="S901" s="75">
        <v>62234</v>
      </c>
      <c r="T901" s="75">
        <v>66129.5</v>
      </c>
      <c r="U901" s="200">
        <v>2146</v>
      </c>
      <c r="V901" s="287">
        <f t="shared" ca="1" si="205"/>
        <v>10</v>
      </c>
      <c r="W901" s="75">
        <f t="shared" ca="1" si="206"/>
        <v>18777.5</v>
      </c>
      <c r="X901" s="200">
        <f t="shared" ca="1" si="207"/>
        <v>83297.5</v>
      </c>
      <c r="Y901" s="1">
        <v>0.45</v>
      </c>
      <c r="Z901" s="1">
        <v>0.1</v>
      </c>
      <c r="AA901" s="219"/>
      <c r="AB901" s="302" t="s">
        <v>6812</v>
      </c>
      <c r="AC901" s="308">
        <v>43383</v>
      </c>
      <c r="AD901" s="309">
        <v>0.2</v>
      </c>
      <c r="AE901" s="302" t="s">
        <v>5388</v>
      </c>
      <c r="AF901">
        <f t="shared" si="191"/>
        <v>0</v>
      </c>
    </row>
    <row r="902" spans="1:32" ht="26.25" hidden="1" x14ac:dyDescent="0.25">
      <c r="A902" s="322" t="s">
        <v>2614</v>
      </c>
      <c r="B902" s="93" t="str">
        <f t="shared" si="203"/>
        <v>YES</v>
      </c>
      <c r="C902" s="93" t="s">
        <v>5503</v>
      </c>
      <c r="D902" s="4">
        <v>39834</v>
      </c>
      <c r="E902" s="2">
        <v>39934</v>
      </c>
      <c r="F902" s="2">
        <f t="shared" si="192"/>
        <v>43586</v>
      </c>
      <c r="G902" s="6">
        <v>2177.75</v>
      </c>
      <c r="H902" s="7" t="s">
        <v>2611</v>
      </c>
      <c r="I902" s="7" t="s">
        <v>15</v>
      </c>
      <c r="J902" s="105" t="s">
        <v>7647</v>
      </c>
      <c r="K902" s="266">
        <f t="shared" si="204"/>
        <v>2019</v>
      </c>
      <c r="L902" s="390"/>
      <c r="M902" s="390"/>
      <c r="N902" s="32" t="s">
        <v>2612</v>
      </c>
      <c r="O902" s="32" t="s">
        <v>2615</v>
      </c>
      <c r="P902" s="278"/>
      <c r="Q902" s="233"/>
      <c r="R902" s="75">
        <v>7763</v>
      </c>
      <c r="S902" s="75">
        <v>169884</v>
      </c>
      <c r="T902" s="75">
        <v>177647</v>
      </c>
      <c r="U902" s="200">
        <v>4356</v>
      </c>
      <c r="V902" s="287">
        <f t="shared" ca="1" si="205"/>
        <v>10</v>
      </c>
      <c r="W902" s="75">
        <f t="shared" ca="1" si="206"/>
        <v>38115</v>
      </c>
      <c r="X902" s="200">
        <f t="shared" ca="1" si="207"/>
        <v>212495</v>
      </c>
      <c r="Y902" s="1">
        <v>0.45</v>
      </c>
      <c r="Z902" s="1">
        <v>0.1</v>
      </c>
      <c r="AA902" s="219"/>
      <c r="AB902" s="302" t="s">
        <v>6813</v>
      </c>
      <c r="AC902" s="308">
        <v>43383</v>
      </c>
      <c r="AD902" s="309">
        <v>0.2</v>
      </c>
      <c r="AE902" s="302" t="s">
        <v>5388</v>
      </c>
      <c r="AF902">
        <f t="shared" si="191"/>
        <v>0</v>
      </c>
    </row>
    <row r="903" spans="1:32" ht="26.25" hidden="1" x14ac:dyDescent="0.25">
      <c r="A903" s="322" t="s">
        <v>2616</v>
      </c>
      <c r="B903" s="93" t="str">
        <f t="shared" si="203"/>
        <v>YES</v>
      </c>
      <c r="C903" s="93" t="s">
        <v>5503</v>
      </c>
      <c r="D903" s="4">
        <v>39834</v>
      </c>
      <c r="E903" s="2">
        <v>39934</v>
      </c>
      <c r="F903" s="2">
        <f t="shared" si="192"/>
        <v>43586</v>
      </c>
      <c r="G903" s="6">
        <v>916.14</v>
      </c>
      <c r="H903" s="7" t="s">
        <v>2611</v>
      </c>
      <c r="I903" s="7" t="s">
        <v>15</v>
      </c>
      <c r="J903" s="105" t="s">
        <v>7647</v>
      </c>
      <c r="K903" s="266">
        <f t="shared" si="204"/>
        <v>2019</v>
      </c>
      <c r="L903" s="390"/>
      <c r="M903" s="390"/>
      <c r="N903" s="32" t="s">
        <v>2612</v>
      </c>
      <c r="O903" s="32" t="s">
        <v>2617</v>
      </c>
      <c r="P903" s="278"/>
      <c r="Q903" s="233"/>
      <c r="R903" s="75">
        <v>3349.5</v>
      </c>
      <c r="S903" s="75">
        <v>27510</v>
      </c>
      <c r="T903" s="75">
        <v>30859.5</v>
      </c>
      <c r="U903" s="200">
        <v>1834</v>
      </c>
      <c r="V903" s="287">
        <f t="shared" ca="1" si="205"/>
        <v>10</v>
      </c>
      <c r="W903" s="75">
        <f t="shared" ca="1" si="206"/>
        <v>16047.5</v>
      </c>
      <c r="X903" s="200">
        <f t="shared" ca="1" si="207"/>
        <v>45531.5</v>
      </c>
      <c r="Y903" s="1">
        <v>0.45</v>
      </c>
      <c r="Z903" s="1">
        <v>0.1</v>
      </c>
      <c r="AA903" s="219"/>
      <c r="AB903" s="302" t="s">
        <v>6814</v>
      </c>
      <c r="AC903" s="308">
        <v>43383</v>
      </c>
      <c r="AD903" s="309">
        <v>0.2</v>
      </c>
      <c r="AE903" s="302" t="s">
        <v>5388</v>
      </c>
      <c r="AF903">
        <f t="shared" si="191"/>
        <v>0</v>
      </c>
    </row>
    <row r="904" spans="1:32" hidden="1" x14ac:dyDescent="0.25">
      <c r="A904" s="322" t="s">
        <v>2618</v>
      </c>
      <c r="B904" s="93" t="str">
        <f t="shared" si="203"/>
        <v>YES</v>
      </c>
      <c r="C904" s="93" t="s">
        <v>5503</v>
      </c>
      <c r="D904" s="4">
        <v>39834</v>
      </c>
      <c r="E904" s="2">
        <v>39934</v>
      </c>
      <c r="F904" s="2">
        <f t="shared" si="192"/>
        <v>43586</v>
      </c>
      <c r="G904" s="6">
        <v>366</v>
      </c>
      <c r="H904" s="7" t="s">
        <v>2608</v>
      </c>
      <c r="I904" s="7" t="s">
        <v>15</v>
      </c>
      <c r="J904" s="186"/>
      <c r="K904" s="266">
        <f t="shared" si="204"/>
        <v>2019</v>
      </c>
      <c r="L904" s="390"/>
      <c r="M904" s="390"/>
      <c r="N904" s="32" t="s">
        <v>2619</v>
      </c>
      <c r="O904" s="32" t="s">
        <v>2620</v>
      </c>
      <c r="P904" s="278"/>
      <c r="Q904" s="233"/>
      <c r="R904" s="75">
        <v>1421</v>
      </c>
      <c r="S904" s="75">
        <v>6588</v>
      </c>
      <c r="T904" s="75">
        <v>8009</v>
      </c>
      <c r="U904" s="200">
        <v>732</v>
      </c>
      <c r="V904" s="287">
        <f t="shared" ca="1" si="205"/>
        <v>10</v>
      </c>
      <c r="W904" s="75">
        <f t="shared" ca="1" si="206"/>
        <v>6405</v>
      </c>
      <c r="X904" s="200">
        <f t="shared" ca="1" si="207"/>
        <v>13865</v>
      </c>
      <c r="Y904" s="1">
        <v>0.45</v>
      </c>
      <c r="Z904" s="1">
        <v>0.1</v>
      </c>
      <c r="AA904" s="219"/>
      <c r="AB904" s="302" t="s">
        <v>6815</v>
      </c>
      <c r="AC904" s="302"/>
      <c r="AD904" s="302"/>
      <c r="AE904" s="302"/>
      <c r="AF904">
        <f t="shared" si="191"/>
        <v>0</v>
      </c>
    </row>
    <row r="905" spans="1:32" ht="26.25" hidden="1" x14ac:dyDescent="0.25">
      <c r="A905" s="322" t="s">
        <v>2621</v>
      </c>
      <c r="B905" s="93" t="str">
        <f t="shared" si="203"/>
        <v>YES</v>
      </c>
      <c r="C905" s="93" t="s">
        <v>5503</v>
      </c>
      <c r="D905" s="4">
        <v>39834</v>
      </c>
      <c r="E905" s="2">
        <v>39934</v>
      </c>
      <c r="F905" s="2">
        <f t="shared" si="192"/>
        <v>43586</v>
      </c>
      <c r="G905" s="6">
        <v>2135.0100000000002</v>
      </c>
      <c r="H905" s="7" t="s">
        <v>2611</v>
      </c>
      <c r="I905" s="7" t="s">
        <v>15</v>
      </c>
      <c r="J905" s="105" t="s">
        <v>7647</v>
      </c>
      <c r="K905" s="266">
        <f t="shared" si="204"/>
        <v>2019</v>
      </c>
      <c r="L905" s="390"/>
      <c r="M905" s="390"/>
      <c r="N905" s="32" t="s">
        <v>2612</v>
      </c>
      <c r="O905" s="32" t="s">
        <v>2622</v>
      </c>
      <c r="P905" s="278"/>
      <c r="Q905" s="233"/>
      <c r="R905" s="75">
        <v>7616</v>
      </c>
      <c r="S905" s="75">
        <v>230688</v>
      </c>
      <c r="T905" s="75">
        <v>238304</v>
      </c>
      <c r="U905" s="200">
        <v>4272</v>
      </c>
      <c r="V905" s="287">
        <f t="shared" ca="1" si="205"/>
        <v>10</v>
      </c>
      <c r="W905" s="75">
        <f ca="1">IF(V905&lt;6, ROUNDUP(G905,0)*$W$6*V905, ROUNDUP(G905,0)*($W$6*5 + (V905-5)*$W$7))</f>
        <v>37380</v>
      </c>
      <c r="X905" s="200">
        <f t="shared" ca="1" si="207"/>
        <v>272480</v>
      </c>
      <c r="Y905" s="1">
        <v>0.45</v>
      </c>
      <c r="Z905" s="1">
        <v>0.1</v>
      </c>
      <c r="AA905" s="219"/>
      <c r="AB905" s="312" t="s">
        <v>6816</v>
      </c>
      <c r="AC905" s="310">
        <v>43383</v>
      </c>
      <c r="AD905" s="311">
        <v>0.2</v>
      </c>
      <c r="AE905" s="302" t="s">
        <v>5388</v>
      </c>
      <c r="AF905">
        <f t="shared" si="191"/>
        <v>0</v>
      </c>
    </row>
    <row r="906" spans="1:32" ht="26.25" hidden="1" x14ac:dyDescent="0.25">
      <c r="A906" s="322" t="s">
        <v>2623</v>
      </c>
      <c r="B906" s="93" t="str">
        <f t="shared" si="203"/>
        <v>YES</v>
      </c>
      <c r="C906" s="93" t="s">
        <v>5503</v>
      </c>
      <c r="D906" s="4">
        <v>39834</v>
      </c>
      <c r="E906" s="2">
        <v>39934</v>
      </c>
      <c r="F906" s="2">
        <f t="shared" si="192"/>
        <v>43586</v>
      </c>
      <c r="G906" s="6">
        <v>1673.53</v>
      </c>
      <c r="H906" s="7" t="s">
        <v>2611</v>
      </c>
      <c r="I906" s="7" t="s">
        <v>15</v>
      </c>
      <c r="J906" s="105" t="s">
        <v>7647</v>
      </c>
      <c r="K906" s="266">
        <f t="shared" si="204"/>
        <v>2019</v>
      </c>
      <c r="L906" s="390"/>
      <c r="M906" s="390"/>
      <c r="N906" s="32" t="s">
        <v>2612</v>
      </c>
      <c r="O906" s="32" t="s">
        <v>2624</v>
      </c>
      <c r="P906" s="278"/>
      <c r="Q906" s="233"/>
      <c r="R906" s="75">
        <v>5999</v>
      </c>
      <c r="S906" s="75">
        <v>80352</v>
      </c>
      <c r="T906" s="75">
        <v>86351</v>
      </c>
      <c r="U906" s="200">
        <v>3348</v>
      </c>
      <c r="V906" s="287">
        <f t="shared" ca="1" si="205"/>
        <v>10</v>
      </c>
      <c r="W906" s="75">
        <f t="shared" ca="1" si="206"/>
        <v>29295</v>
      </c>
      <c r="X906" s="200">
        <f t="shared" ca="1" si="207"/>
        <v>113135</v>
      </c>
      <c r="Y906" s="1">
        <v>0.45</v>
      </c>
      <c r="Z906" s="1">
        <v>0.1</v>
      </c>
      <c r="AA906" s="219"/>
      <c r="AB906" s="312" t="s">
        <v>6817</v>
      </c>
      <c r="AC906" s="310">
        <v>43383</v>
      </c>
      <c r="AD906" s="311">
        <v>0.2</v>
      </c>
      <c r="AE906" s="302" t="s">
        <v>5388</v>
      </c>
      <c r="AF906">
        <f t="shared" si="191"/>
        <v>0</v>
      </c>
    </row>
    <row r="907" spans="1:32" ht="26.25" hidden="1" x14ac:dyDescent="0.25">
      <c r="A907" s="322" t="s">
        <v>2625</v>
      </c>
      <c r="B907" s="93" t="str">
        <f t="shared" si="203"/>
        <v>YES</v>
      </c>
      <c r="C907" s="93" t="s">
        <v>5503</v>
      </c>
      <c r="D907" s="4">
        <v>39834</v>
      </c>
      <c r="E907" s="2">
        <v>39934</v>
      </c>
      <c r="F907" s="2">
        <f t="shared" si="192"/>
        <v>43586</v>
      </c>
      <c r="G907" s="6">
        <v>2273.08</v>
      </c>
      <c r="H907" s="7" t="s">
        <v>2611</v>
      </c>
      <c r="I907" s="7" t="s">
        <v>15</v>
      </c>
      <c r="J907" s="105" t="s">
        <v>7647</v>
      </c>
      <c r="K907" s="266">
        <f t="shared" si="204"/>
        <v>2019</v>
      </c>
      <c r="L907" s="390"/>
      <c r="M907" s="390"/>
      <c r="N907" s="32" t="s">
        <v>2612</v>
      </c>
      <c r="O907" s="32" t="s">
        <v>2626</v>
      </c>
      <c r="P907" s="278"/>
      <c r="Q907" s="233"/>
      <c r="R907" s="81">
        <v>8099</v>
      </c>
      <c r="S907" s="81">
        <v>120522</v>
      </c>
      <c r="T907" s="81">
        <v>128621</v>
      </c>
      <c r="U907" s="200">
        <v>4548</v>
      </c>
      <c r="V907" s="287">
        <f t="shared" ca="1" si="205"/>
        <v>10</v>
      </c>
      <c r="W907" s="75">
        <f t="shared" ca="1" si="206"/>
        <v>39795</v>
      </c>
      <c r="X907" s="200">
        <f t="shared" ca="1" si="207"/>
        <v>165005</v>
      </c>
      <c r="Y907" s="1">
        <v>0.45</v>
      </c>
      <c r="Z907" s="1">
        <v>0.1</v>
      </c>
      <c r="AA907" s="219"/>
      <c r="AB907" s="312" t="s">
        <v>6818</v>
      </c>
      <c r="AC907" s="310">
        <v>43391</v>
      </c>
      <c r="AD907" s="311">
        <v>0.2</v>
      </c>
      <c r="AE907" s="302" t="s">
        <v>5387</v>
      </c>
      <c r="AF907">
        <f t="shared" ref="AF907:AF970" si="208">COUNTIF(FilterList,A907)</f>
        <v>0</v>
      </c>
    </row>
    <row r="908" spans="1:32" ht="15.75" hidden="1" thickBot="1" x14ac:dyDescent="0.3">
      <c r="A908" s="322"/>
      <c r="D908" s="4"/>
      <c r="E908" s="8"/>
      <c r="F908" s="2"/>
      <c r="G908" s="6"/>
      <c r="H908" s="7"/>
      <c r="I908" s="7"/>
      <c r="J908" s="186"/>
      <c r="K908" s="186"/>
      <c r="L908" s="386"/>
      <c r="M908" s="386"/>
      <c r="N908" s="32"/>
      <c r="O908" s="32"/>
      <c r="P908" s="278"/>
      <c r="Q908" s="233"/>
      <c r="R908" s="76">
        <v>62541.5</v>
      </c>
      <c r="S908" s="76">
        <v>886721</v>
      </c>
      <c r="T908" s="76">
        <v>949262.5</v>
      </c>
      <c r="U908" s="200"/>
      <c r="V908" s="75"/>
      <c r="W908" s="75"/>
      <c r="X908" s="200"/>
      <c r="Y908" s="1"/>
      <c r="Z908" s="1"/>
      <c r="AA908" s="219"/>
      <c r="AB908" s="302"/>
      <c r="AC908" s="302"/>
      <c r="AD908" s="302"/>
      <c r="AE908" s="302"/>
      <c r="AF908">
        <f t="shared" si="208"/>
        <v>0</v>
      </c>
    </row>
    <row r="909" spans="1:32" hidden="1" x14ac:dyDescent="0.25">
      <c r="A909" s="322"/>
      <c r="D909" s="7"/>
      <c r="E909" s="8"/>
      <c r="F909" s="2"/>
      <c r="G909" s="6"/>
      <c r="H909" s="7"/>
      <c r="I909" s="7"/>
      <c r="J909" s="186"/>
      <c r="K909" s="186"/>
      <c r="L909" s="386"/>
      <c r="M909" s="386"/>
      <c r="N909" s="32"/>
      <c r="O909" s="32"/>
      <c r="P909" s="278"/>
      <c r="Q909" s="233" t="s">
        <v>2627</v>
      </c>
      <c r="R909" s="75">
        <v>62541.5</v>
      </c>
      <c r="S909" s="75"/>
      <c r="T909" s="75">
        <v>62541.5</v>
      </c>
      <c r="U909" s="200"/>
      <c r="V909" s="75"/>
      <c r="W909" s="75"/>
      <c r="X909" s="200"/>
      <c r="Y909" s="1"/>
      <c r="Z909" s="1"/>
      <c r="AA909" s="219"/>
      <c r="AB909" s="302"/>
      <c r="AC909" s="302"/>
      <c r="AD909" s="302"/>
      <c r="AE909" s="302"/>
      <c r="AF909">
        <f t="shared" si="208"/>
        <v>0</v>
      </c>
    </row>
    <row r="910" spans="1:32" hidden="1" x14ac:dyDescent="0.25">
      <c r="A910" s="322"/>
      <c r="D910" s="7"/>
      <c r="E910" s="8"/>
      <c r="F910" s="2"/>
      <c r="G910" s="6"/>
      <c r="H910" s="7"/>
      <c r="I910" s="7"/>
      <c r="J910" s="186"/>
      <c r="K910" s="186"/>
      <c r="L910" s="386"/>
      <c r="M910" s="386"/>
      <c r="N910" s="32"/>
      <c r="O910" s="32"/>
      <c r="P910" s="278"/>
      <c r="Q910" s="233" t="s">
        <v>2628</v>
      </c>
      <c r="R910" s="81"/>
      <c r="S910" s="81">
        <v>886721</v>
      </c>
      <c r="T910" s="81">
        <v>886721</v>
      </c>
      <c r="U910" s="200"/>
      <c r="V910" s="75"/>
      <c r="W910" s="75"/>
      <c r="X910" s="200"/>
      <c r="Y910" s="1"/>
      <c r="Z910" s="1"/>
      <c r="AA910" s="219"/>
      <c r="AB910" s="302"/>
      <c r="AC910" s="302"/>
      <c r="AD910" s="302"/>
      <c r="AE910" s="302"/>
      <c r="AF910">
        <f t="shared" si="208"/>
        <v>0</v>
      </c>
    </row>
    <row r="911" spans="1:32" ht="15.75" hidden="1" thickBot="1" x14ac:dyDescent="0.3">
      <c r="A911" s="322"/>
      <c r="D911" s="7"/>
      <c r="E911" s="8"/>
      <c r="F911" s="2"/>
      <c r="G911" s="6"/>
      <c r="H911" s="7"/>
      <c r="I911" s="7"/>
      <c r="J911" s="186"/>
      <c r="K911" s="186"/>
      <c r="L911" s="386"/>
      <c r="M911" s="386"/>
      <c r="N911" s="32"/>
      <c r="O911" s="32"/>
      <c r="P911" s="278"/>
      <c r="Q911" s="233"/>
      <c r="R911" s="82">
        <v>62541.5</v>
      </c>
      <c r="S911" s="82">
        <v>886721</v>
      </c>
      <c r="T911" s="82">
        <v>949262.5</v>
      </c>
      <c r="U911" s="200"/>
      <c r="V911" s="75"/>
      <c r="W911" s="75"/>
      <c r="X911" s="200"/>
      <c r="Y911" s="1"/>
      <c r="Z911" s="1"/>
      <c r="AA911" s="219"/>
      <c r="AB911" s="302"/>
      <c r="AC911" s="302"/>
      <c r="AD911" s="302"/>
      <c r="AE911" s="302"/>
      <c r="AF911">
        <f t="shared" si="208"/>
        <v>0</v>
      </c>
    </row>
    <row r="912" spans="1:32" hidden="1" x14ac:dyDescent="0.25">
      <c r="A912" s="322"/>
      <c r="D912" s="7"/>
      <c r="E912" s="8"/>
      <c r="F912" s="2"/>
      <c r="G912" s="6"/>
      <c r="H912" s="7"/>
      <c r="I912" s="7"/>
      <c r="J912" s="186"/>
      <c r="K912" s="186"/>
      <c r="L912" s="386"/>
      <c r="M912" s="386"/>
      <c r="N912" s="32"/>
      <c r="O912" s="32"/>
      <c r="P912" s="278"/>
      <c r="Q912" s="233"/>
      <c r="R912" s="75"/>
      <c r="S912" s="75"/>
      <c r="T912" s="75"/>
      <c r="U912" s="200"/>
      <c r="V912" s="75"/>
      <c r="W912" s="75"/>
      <c r="X912" s="200"/>
      <c r="Y912" s="1"/>
      <c r="Z912" s="1"/>
      <c r="AA912" s="219"/>
      <c r="AB912" s="302"/>
      <c r="AC912" s="302"/>
      <c r="AD912" s="302"/>
      <c r="AE912" s="302"/>
      <c r="AF912">
        <f t="shared" si="208"/>
        <v>0</v>
      </c>
    </row>
    <row r="913" spans="1:32" ht="26.25" hidden="1" x14ac:dyDescent="0.25">
      <c r="A913" s="322" t="s">
        <v>2629</v>
      </c>
      <c r="B913" s="93" t="str">
        <f t="shared" ref="B913:B927" si="209">IF(COUNTIF(GIS,A913),"YES","NO")</f>
        <v>YES</v>
      </c>
      <c r="C913" s="93" t="s">
        <v>5503</v>
      </c>
      <c r="D913" s="4">
        <v>39989</v>
      </c>
      <c r="E913" s="2">
        <v>40057</v>
      </c>
      <c r="F913" s="2">
        <f t="shared" ref="F913:F971" si="210">DATE(YEAR(E913)+10,MONTH(E913),DAY(E913))</f>
        <v>43709</v>
      </c>
      <c r="G913" s="6">
        <v>200</v>
      </c>
      <c r="H913" s="7" t="s">
        <v>1040</v>
      </c>
      <c r="I913" s="7" t="s">
        <v>72</v>
      </c>
      <c r="J913" s="424" t="s">
        <v>7922</v>
      </c>
      <c r="K913" s="266">
        <f t="shared" ref="K913:K927" si="211">YEAR(F913)</f>
        <v>2019</v>
      </c>
      <c r="L913" s="390" t="s">
        <v>5875</v>
      </c>
      <c r="M913" s="390" t="s">
        <v>7576</v>
      </c>
      <c r="N913" s="32" t="s">
        <v>2631</v>
      </c>
      <c r="O913" s="32" t="s">
        <v>2632</v>
      </c>
      <c r="P913" s="278"/>
      <c r="Q913" s="233" t="s">
        <v>2630</v>
      </c>
      <c r="R913" s="75">
        <v>840</v>
      </c>
      <c r="S913" s="75"/>
      <c r="T913" s="75">
        <v>840</v>
      </c>
      <c r="U913" s="200">
        <v>300</v>
      </c>
      <c r="V913" s="287">
        <f t="shared" ref="V913:V927" ca="1" si="212">IF(YEAR($W$3)-YEAR(E913)&gt;9,10,IF(MONTH($W$3)&lt;MONTH(E913),YEAR($W$3)-YEAR(E913),YEAR($W$3)-YEAR(E913)+1))</f>
        <v>10</v>
      </c>
      <c r="W913" s="75">
        <f t="shared" ref="W913:W927" ca="1" si="213">IF(V913&lt;6, ROUNDUP(G913,0)*$W$6*V913, ROUNDUP(G913,0)*($W$6*5 + (V913-5)*$W$7))</f>
        <v>3500</v>
      </c>
      <c r="X913" s="200">
        <f t="shared" ref="X913:X927" ca="1" si="214">IF(V913=0,T913,((T913-ROUNDUP(G913,0)*1.5)+W913))</f>
        <v>4040</v>
      </c>
      <c r="Y913" s="1">
        <v>0.45</v>
      </c>
      <c r="Z913" s="1">
        <v>0.1</v>
      </c>
      <c r="AA913" s="219"/>
      <c r="AB913" s="302" t="s">
        <v>6360</v>
      </c>
      <c r="AC913" s="302"/>
      <c r="AD913" s="302"/>
      <c r="AE913" s="302"/>
      <c r="AF913">
        <f t="shared" si="208"/>
        <v>0</v>
      </c>
    </row>
    <row r="914" spans="1:32" ht="26.25" hidden="1" x14ac:dyDescent="0.25">
      <c r="A914" s="322" t="s">
        <v>2633</v>
      </c>
      <c r="B914" s="93" t="str">
        <f t="shared" si="209"/>
        <v>YES</v>
      </c>
      <c r="C914" s="93" t="s">
        <v>5503</v>
      </c>
      <c r="D914" s="4">
        <v>39989</v>
      </c>
      <c r="E914" s="2">
        <v>40057</v>
      </c>
      <c r="F914" s="2">
        <f t="shared" si="210"/>
        <v>43709</v>
      </c>
      <c r="G914" s="6">
        <v>80</v>
      </c>
      <c r="H914" s="7" t="s">
        <v>287</v>
      </c>
      <c r="I914" s="7" t="s">
        <v>72</v>
      </c>
      <c r="J914" s="424" t="s">
        <v>7922</v>
      </c>
      <c r="K914" s="266">
        <f t="shared" si="211"/>
        <v>2019</v>
      </c>
      <c r="L914" s="390" t="s">
        <v>5885</v>
      </c>
      <c r="M914" s="390" t="s">
        <v>7531</v>
      </c>
      <c r="N914" s="32" t="s">
        <v>2635</v>
      </c>
      <c r="O914" s="32" t="s">
        <v>2636</v>
      </c>
      <c r="P914" s="278"/>
      <c r="Q914" s="233" t="s">
        <v>2634</v>
      </c>
      <c r="R914" s="75">
        <v>420</v>
      </c>
      <c r="S914" s="75"/>
      <c r="T914" s="75">
        <v>420</v>
      </c>
      <c r="U914" s="200">
        <v>120</v>
      </c>
      <c r="V914" s="287">
        <f t="shared" ca="1" si="212"/>
        <v>10</v>
      </c>
      <c r="W914" s="75">
        <f t="shared" ca="1" si="213"/>
        <v>1400</v>
      </c>
      <c r="X914" s="200">
        <f t="shared" ca="1" si="214"/>
        <v>1700</v>
      </c>
      <c r="Y914" s="1">
        <v>0.45</v>
      </c>
      <c r="Z914" s="1">
        <v>0.1</v>
      </c>
      <c r="AA914" s="219"/>
      <c r="AB914" s="302" t="s">
        <v>6368</v>
      </c>
      <c r="AC914" s="302"/>
      <c r="AD914" s="302"/>
      <c r="AE914" s="302"/>
      <c r="AF914">
        <f t="shared" si="208"/>
        <v>0</v>
      </c>
    </row>
    <row r="915" spans="1:32" ht="26.25" hidden="1" x14ac:dyDescent="0.25">
      <c r="A915" s="322" t="s">
        <v>2637</v>
      </c>
      <c r="B915" s="93" t="str">
        <f t="shared" si="209"/>
        <v>YES</v>
      </c>
      <c r="C915" s="93" t="s">
        <v>5503</v>
      </c>
      <c r="D915" s="4">
        <v>39989</v>
      </c>
      <c r="E915" s="2">
        <v>40057</v>
      </c>
      <c r="F915" s="2">
        <f t="shared" si="210"/>
        <v>43709</v>
      </c>
      <c r="G915" s="6">
        <v>308.29000000000002</v>
      </c>
      <c r="H915" s="7" t="s">
        <v>287</v>
      </c>
      <c r="I915" s="7" t="s">
        <v>72</v>
      </c>
      <c r="J915" s="424" t="s">
        <v>7922</v>
      </c>
      <c r="K915" s="266">
        <f t="shared" si="211"/>
        <v>2019</v>
      </c>
      <c r="L915" s="390" t="s">
        <v>5885</v>
      </c>
      <c r="M915" s="390" t="s">
        <v>7531</v>
      </c>
      <c r="N915" s="32" t="s">
        <v>2635</v>
      </c>
      <c r="O915" s="32" t="s">
        <v>2639</v>
      </c>
      <c r="P915" s="278"/>
      <c r="Q915" s="233" t="s">
        <v>2638</v>
      </c>
      <c r="R915" s="75">
        <v>1221.5</v>
      </c>
      <c r="S915" s="75"/>
      <c r="T915" s="75">
        <v>1221.5</v>
      </c>
      <c r="U915" s="200">
        <v>463.5</v>
      </c>
      <c r="V915" s="287">
        <f t="shared" ca="1" si="212"/>
        <v>10</v>
      </c>
      <c r="W915" s="75">
        <f t="shared" ca="1" si="213"/>
        <v>5407.5</v>
      </c>
      <c r="X915" s="200">
        <f t="shared" ca="1" si="214"/>
        <v>6165.5</v>
      </c>
      <c r="Y915" s="1">
        <v>0.45</v>
      </c>
      <c r="Z915" s="1">
        <v>0.1</v>
      </c>
      <c r="AA915" s="219"/>
      <c r="AB915" s="302" t="s">
        <v>6369</v>
      </c>
      <c r="AC915" s="302"/>
      <c r="AD915" s="302"/>
      <c r="AE915" s="302"/>
      <c r="AF915">
        <f t="shared" si="208"/>
        <v>0</v>
      </c>
    </row>
    <row r="916" spans="1:32" ht="26.25" hidden="1" x14ac:dyDescent="0.25">
      <c r="A916" s="322" t="s">
        <v>2640</v>
      </c>
      <c r="B916" s="93" t="str">
        <f t="shared" si="209"/>
        <v>YES</v>
      </c>
      <c r="C916" s="93" t="s">
        <v>5503</v>
      </c>
      <c r="D916" s="4">
        <v>39989</v>
      </c>
      <c r="E916" s="2">
        <v>40057</v>
      </c>
      <c r="F916" s="2">
        <f t="shared" si="210"/>
        <v>43709</v>
      </c>
      <c r="G916" s="6">
        <v>674.38</v>
      </c>
      <c r="H916" s="7" t="s">
        <v>287</v>
      </c>
      <c r="I916" s="7" t="s">
        <v>72</v>
      </c>
      <c r="J916" s="424" t="s">
        <v>7922</v>
      </c>
      <c r="K916" s="266">
        <f t="shared" si="211"/>
        <v>2019</v>
      </c>
      <c r="L916" s="390" t="s">
        <v>5885</v>
      </c>
      <c r="M916" s="390" t="s">
        <v>7531</v>
      </c>
      <c r="N916" s="32" t="s">
        <v>2635</v>
      </c>
      <c r="O916" s="32" t="s">
        <v>2642</v>
      </c>
      <c r="P916" s="278"/>
      <c r="Q916" s="233" t="s">
        <v>2641</v>
      </c>
      <c r="R916" s="75">
        <v>3177.5</v>
      </c>
      <c r="S916" s="75"/>
      <c r="T916" s="75">
        <v>3177.5</v>
      </c>
      <c r="U916" s="200">
        <v>1012.5</v>
      </c>
      <c r="V916" s="287">
        <f t="shared" ca="1" si="212"/>
        <v>10</v>
      </c>
      <c r="W916" s="75">
        <f t="shared" ca="1" si="213"/>
        <v>11812.5</v>
      </c>
      <c r="X916" s="200">
        <f t="shared" ca="1" si="214"/>
        <v>13977.5</v>
      </c>
      <c r="Y916" s="1">
        <v>0.45</v>
      </c>
      <c r="Z916" s="1">
        <v>0.1</v>
      </c>
      <c r="AA916" s="219"/>
      <c r="AB916" s="302" t="s">
        <v>6370</v>
      </c>
      <c r="AC916" s="302"/>
      <c r="AD916" s="302"/>
      <c r="AE916" s="302"/>
      <c r="AF916">
        <f t="shared" si="208"/>
        <v>0</v>
      </c>
    </row>
    <row r="917" spans="1:32" ht="26.25" hidden="1" x14ac:dyDescent="0.25">
      <c r="A917" s="322" t="s">
        <v>2643</v>
      </c>
      <c r="B917" s="93" t="str">
        <f t="shared" si="209"/>
        <v>YES</v>
      </c>
      <c r="C917" s="93" t="s">
        <v>5503</v>
      </c>
      <c r="D917" s="4">
        <v>39989</v>
      </c>
      <c r="E917" s="2">
        <v>40057</v>
      </c>
      <c r="F917" s="2">
        <f t="shared" si="210"/>
        <v>43709</v>
      </c>
      <c r="G917" s="6">
        <v>169.24</v>
      </c>
      <c r="H917" s="7" t="s">
        <v>287</v>
      </c>
      <c r="I917" s="7" t="s">
        <v>72</v>
      </c>
      <c r="J917" s="424" t="s">
        <v>7922</v>
      </c>
      <c r="K917" s="266">
        <f t="shared" si="211"/>
        <v>2019</v>
      </c>
      <c r="L917" s="390" t="s">
        <v>5885</v>
      </c>
      <c r="M917" s="390" t="s">
        <v>7531</v>
      </c>
      <c r="N917" s="32" t="s">
        <v>2635</v>
      </c>
      <c r="O917" s="32" t="s">
        <v>2645</v>
      </c>
      <c r="P917" s="278"/>
      <c r="Q917" s="233" t="s">
        <v>2644</v>
      </c>
      <c r="R917" s="75">
        <v>735</v>
      </c>
      <c r="S917" s="75"/>
      <c r="T917" s="75">
        <v>735</v>
      </c>
      <c r="U917" s="200">
        <v>255</v>
      </c>
      <c r="V917" s="287">
        <f t="shared" ca="1" si="212"/>
        <v>10</v>
      </c>
      <c r="W917" s="75">
        <f t="shared" ca="1" si="213"/>
        <v>2975</v>
      </c>
      <c r="X917" s="200">
        <f t="shared" ca="1" si="214"/>
        <v>3455</v>
      </c>
      <c r="Y917" s="1">
        <v>0.45</v>
      </c>
      <c r="Z917" s="1">
        <v>0.1</v>
      </c>
      <c r="AA917" s="219"/>
      <c r="AB917" s="302" t="s">
        <v>6371</v>
      </c>
      <c r="AC917" s="302"/>
      <c r="AD917" s="302"/>
      <c r="AE917" s="302"/>
      <c r="AF917">
        <f t="shared" si="208"/>
        <v>0</v>
      </c>
    </row>
    <row r="918" spans="1:32" ht="26.25" hidden="1" x14ac:dyDescent="0.25">
      <c r="A918" s="322" t="s">
        <v>2646</v>
      </c>
      <c r="B918" s="93" t="str">
        <f t="shared" si="209"/>
        <v>YES</v>
      </c>
      <c r="C918" s="93" t="s">
        <v>5503</v>
      </c>
      <c r="D918" s="4">
        <v>39989</v>
      </c>
      <c r="E918" s="2">
        <v>40057</v>
      </c>
      <c r="F918" s="2">
        <f t="shared" si="210"/>
        <v>43709</v>
      </c>
      <c r="G918" s="6">
        <v>200</v>
      </c>
      <c r="H918" s="7" t="s">
        <v>287</v>
      </c>
      <c r="I918" s="7" t="s">
        <v>72</v>
      </c>
      <c r="J918" s="424" t="s">
        <v>7922</v>
      </c>
      <c r="K918" s="266">
        <f t="shared" si="211"/>
        <v>2019</v>
      </c>
      <c r="L918" s="390" t="s">
        <v>5885</v>
      </c>
      <c r="M918" s="390" t="s">
        <v>7577</v>
      </c>
      <c r="N918" s="32" t="s">
        <v>2635</v>
      </c>
      <c r="O918" s="32" t="s">
        <v>2648</v>
      </c>
      <c r="P918" s="278"/>
      <c r="Q918" s="233" t="s">
        <v>2647</v>
      </c>
      <c r="R918" s="75">
        <v>840</v>
      </c>
      <c r="S918" s="75"/>
      <c r="T918" s="75">
        <v>840</v>
      </c>
      <c r="U918" s="200">
        <v>300</v>
      </c>
      <c r="V918" s="287">
        <f t="shared" ca="1" si="212"/>
        <v>10</v>
      </c>
      <c r="W918" s="75">
        <f t="shared" ca="1" si="213"/>
        <v>3500</v>
      </c>
      <c r="X918" s="200">
        <f t="shared" ca="1" si="214"/>
        <v>4040</v>
      </c>
      <c r="Y918" s="1">
        <v>0.45</v>
      </c>
      <c r="Z918" s="1">
        <v>0.1</v>
      </c>
      <c r="AA918" s="219"/>
      <c r="AB918" s="302" t="s">
        <v>6372</v>
      </c>
      <c r="AC918" s="302"/>
      <c r="AD918" s="302"/>
      <c r="AE918" s="302"/>
      <c r="AF918">
        <f t="shared" si="208"/>
        <v>0</v>
      </c>
    </row>
    <row r="919" spans="1:32" ht="26.25" hidden="1" x14ac:dyDescent="0.25">
      <c r="A919" s="322" t="s">
        <v>2649</v>
      </c>
      <c r="B919" s="93" t="str">
        <f t="shared" si="209"/>
        <v>YES</v>
      </c>
      <c r="C919" s="93" t="s">
        <v>5503</v>
      </c>
      <c r="D919" s="4">
        <v>39989</v>
      </c>
      <c r="E919" s="2">
        <v>40057</v>
      </c>
      <c r="F919" s="2">
        <f t="shared" si="210"/>
        <v>43709</v>
      </c>
      <c r="G919" s="6">
        <v>10</v>
      </c>
      <c r="H919" s="7" t="s">
        <v>287</v>
      </c>
      <c r="I919" s="7" t="s">
        <v>72</v>
      </c>
      <c r="J919" s="424" t="s">
        <v>7922</v>
      </c>
      <c r="K919" s="266">
        <f t="shared" si="211"/>
        <v>2019</v>
      </c>
      <c r="L919" s="390" t="s">
        <v>5885</v>
      </c>
      <c r="M919" s="390" t="s">
        <v>7577</v>
      </c>
      <c r="N919" s="32" t="s">
        <v>2635</v>
      </c>
      <c r="O919" s="32" t="s">
        <v>2651</v>
      </c>
      <c r="P919" s="278"/>
      <c r="Q919" s="233" t="s">
        <v>2650</v>
      </c>
      <c r="R919" s="75">
        <v>175</v>
      </c>
      <c r="S919" s="75"/>
      <c r="T919" s="75">
        <v>175</v>
      </c>
      <c r="U919" s="200">
        <v>15</v>
      </c>
      <c r="V919" s="287">
        <f t="shared" ca="1" si="212"/>
        <v>10</v>
      </c>
      <c r="W919" s="75">
        <f t="shared" ca="1" si="213"/>
        <v>175</v>
      </c>
      <c r="X919" s="200">
        <f t="shared" ca="1" si="214"/>
        <v>335</v>
      </c>
      <c r="Y919" s="1">
        <v>0.45</v>
      </c>
      <c r="Z919" s="1">
        <v>0.1</v>
      </c>
      <c r="AA919" s="219"/>
      <c r="AB919" s="302" t="s">
        <v>6373</v>
      </c>
      <c r="AC919" s="302"/>
      <c r="AD919" s="302"/>
      <c r="AE919" s="302"/>
      <c r="AF919">
        <f t="shared" si="208"/>
        <v>0</v>
      </c>
    </row>
    <row r="920" spans="1:32" ht="26.25" hidden="1" x14ac:dyDescent="0.25">
      <c r="A920" s="322" t="s">
        <v>2652</v>
      </c>
      <c r="B920" s="93" t="str">
        <f t="shared" si="209"/>
        <v>YES</v>
      </c>
      <c r="C920" s="93" t="s">
        <v>5503</v>
      </c>
      <c r="D920" s="4">
        <v>39989</v>
      </c>
      <c r="E920" s="2">
        <v>40057</v>
      </c>
      <c r="F920" s="2">
        <f t="shared" si="210"/>
        <v>43709</v>
      </c>
      <c r="G920" s="6">
        <v>120</v>
      </c>
      <c r="H920" s="7" t="s">
        <v>287</v>
      </c>
      <c r="I920" s="7" t="s">
        <v>72</v>
      </c>
      <c r="J920" s="424" t="s">
        <v>7922</v>
      </c>
      <c r="K920" s="266">
        <f t="shared" si="211"/>
        <v>2019</v>
      </c>
      <c r="L920" s="390" t="s">
        <v>5885</v>
      </c>
      <c r="M920" s="390" t="s">
        <v>7577</v>
      </c>
      <c r="N920" s="32" t="s">
        <v>2635</v>
      </c>
      <c r="O920" s="32" t="s">
        <v>2654</v>
      </c>
      <c r="P920" s="278"/>
      <c r="Q920" s="233" t="s">
        <v>2653</v>
      </c>
      <c r="R920" s="75">
        <v>560</v>
      </c>
      <c r="S920" s="75"/>
      <c r="T920" s="75">
        <v>560</v>
      </c>
      <c r="U920" s="200">
        <v>180</v>
      </c>
      <c r="V920" s="287">
        <f t="shared" ca="1" si="212"/>
        <v>10</v>
      </c>
      <c r="W920" s="75">
        <f t="shared" ca="1" si="213"/>
        <v>2100</v>
      </c>
      <c r="X920" s="200">
        <f t="shared" ca="1" si="214"/>
        <v>2480</v>
      </c>
      <c r="Y920" s="1">
        <v>0.45</v>
      </c>
      <c r="Z920" s="1">
        <v>0.1</v>
      </c>
      <c r="AA920" s="219"/>
      <c r="AB920" s="302" t="s">
        <v>6374</v>
      </c>
      <c r="AC920" s="302"/>
      <c r="AD920" s="302"/>
      <c r="AE920" s="302"/>
      <c r="AF920">
        <f t="shared" si="208"/>
        <v>0</v>
      </c>
    </row>
    <row r="921" spans="1:32" ht="26.25" hidden="1" x14ac:dyDescent="0.25">
      <c r="A921" s="322" t="s">
        <v>2655</v>
      </c>
      <c r="B921" s="93" t="str">
        <f t="shared" si="209"/>
        <v>YES</v>
      </c>
      <c r="C921" s="93" t="s">
        <v>5503</v>
      </c>
      <c r="D921" s="4">
        <v>39989</v>
      </c>
      <c r="E921" s="2">
        <v>40057</v>
      </c>
      <c r="F921" s="2">
        <f t="shared" si="210"/>
        <v>43709</v>
      </c>
      <c r="G921" s="6">
        <v>590.26</v>
      </c>
      <c r="H921" s="7" t="s">
        <v>92</v>
      </c>
      <c r="I921" s="7" t="s">
        <v>79</v>
      </c>
      <c r="J921" s="424" t="s">
        <v>7922</v>
      </c>
      <c r="K921" s="266">
        <f t="shared" si="211"/>
        <v>2019</v>
      </c>
      <c r="L921" s="390" t="s">
        <v>5698</v>
      </c>
      <c r="M921" s="390" t="s">
        <v>7537</v>
      </c>
      <c r="N921" s="32" t="s">
        <v>2657</v>
      </c>
      <c r="O921" s="32" t="s">
        <v>2658</v>
      </c>
      <c r="P921" s="278"/>
      <c r="Q921" s="233" t="s">
        <v>2656</v>
      </c>
      <c r="R921" s="75">
        <v>2208.5</v>
      </c>
      <c r="S921" s="75"/>
      <c r="T921" s="75">
        <v>2208.5</v>
      </c>
      <c r="U921" s="200">
        <v>886.5</v>
      </c>
      <c r="V921" s="287">
        <f t="shared" ca="1" si="212"/>
        <v>10</v>
      </c>
      <c r="W921" s="75">
        <f t="shared" ca="1" si="213"/>
        <v>10342.5</v>
      </c>
      <c r="X921" s="200">
        <f t="shared" ca="1" si="214"/>
        <v>11664.5</v>
      </c>
      <c r="Y921" s="1">
        <v>0.45</v>
      </c>
      <c r="Z921" s="1">
        <v>0.1</v>
      </c>
      <c r="AA921" s="219"/>
      <c r="AB921" s="302" t="s">
        <v>6819</v>
      </c>
      <c r="AC921" s="302"/>
      <c r="AD921" s="302"/>
      <c r="AE921" s="302"/>
      <c r="AF921">
        <f t="shared" si="208"/>
        <v>0</v>
      </c>
    </row>
    <row r="922" spans="1:32" ht="26.25" hidden="1" x14ac:dyDescent="0.25">
      <c r="A922" s="322" t="s">
        <v>2659</v>
      </c>
      <c r="B922" s="93" t="str">
        <f t="shared" si="209"/>
        <v>YES</v>
      </c>
      <c r="C922" s="93" t="s">
        <v>5503</v>
      </c>
      <c r="D922" s="4">
        <v>39989</v>
      </c>
      <c r="E922" s="2">
        <v>40057</v>
      </c>
      <c r="F922" s="2">
        <f t="shared" si="210"/>
        <v>43709</v>
      </c>
      <c r="G922" s="6">
        <v>223.07</v>
      </c>
      <c r="H922" s="93" t="s">
        <v>5808</v>
      </c>
      <c r="I922" s="7" t="s">
        <v>79</v>
      </c>
      <c r="J922" s="424" t="s">
        <v>7922</v>
      </c>
      <c r="K922" s="266">
        <f t="shared" si="211"/>
        <v>2019</v>
      </c>
      <c r="L922" s="390" t="s">
        <v>5555</v>
      </c>
      <c r="M922" s="390" t="s">
        <v>7541</v>
      </c>
      <c r="N922" s="32" t="s">
        <v>2657</v>
      </c>
      <c r="O922" s="32" t="s">
        <v>2661</v>
      </c>
      <c r="P922" s="278"/>
      <c r="Q922" s="233" t="s">
        <v>2660</v>
      </c>
      <c r="R922" s="75">
        <v>924</v>
      </c>
      <c r="S922" s="75"/>
      <c r="T922" s="75">
        <v>924</v>
      </c>
      <c r="U922" s="200">
        <v>336</v>
      </c>
      <c r="V922" s="287">
        <f t="shared" ca="1" si="212"/>
        <v>10</v>
      </c>
      <c r="W922" s="75">
        <f t="shared" ca="1" si="213"/>
        <v>3920</v>
      </c>
      <c r="X922" s="200">
        <f t="shared" ca="1" si="214"/>
        <v>4508</v>
      </c>
      <c r="Y922" s="1">
        <v>0.45</v>
      </c>
      <c r="Z922" s="1">
        <v>0.1</v>
      </c>
      <c r="AA922" s="219"/>
      <c r="AB922" s="302" t="s">
        <v>6820</v>
      </c>
      <c r="AC922" s="302"/>
      <c r="AD922" s="302"/>
      <c r="AE922" s="302"/>
      <c r="AF922">
        <f t="shared" si="208"/>
        <v>0</v>
      </c>
    </row>
    <row r="923" spans="1:32" ht="26.25" hidden="1" x14ac:dyDescent="0.25">
      <c r="A923" s="322" t="s">
        <v>2662</v>
      </c>
      <c r="B923" s="93" t="str">
        <f t="shared" si="209"/>
        <v>YES</v>
      </c>
      <c r="C923" s="93" t="s">
        <v>5503</v>
      </c>
      <c r="D923" s="4">
        <v>39989</v>
      </c>
      <c r="E923" s="11">
        <v>40148</v>
      </c>
      <c r="F923" s="2">
        <f t="shared" si="210"/>
        <v>43800</v>
      </c>
      <c r="G923" s="6">
        <v>78.52</v>
      </c>
      <c r="H923" s="93" t="s">
        <v>5808</v>
      </c>
      <c r="I923" s="7" t="s">
        <v>79</v>
      </c>
      <c r="J923" s="105" t="s">
        <v>4822</v>
      </c>
      <c r="K923" s="266">
        <f t="shared" si="211"/>
        <v>2019</v>
      </c>
      <c r="L923" s="390" t="s">
        <v>5555</v>
      </c>
      <c r="M923" s="390" t="s">
        <v>7541</v>
      </c>
      <c r="N923" s="32" t="s">
        <v>2657</v>
      </c>
      <c r="O923" s="32" t="s">
        <v>2664</v>
      </c>
      <c r="P923" s="278"/>
      <c r="Q923" s="233" t="s">
        <v>2663</v>
      </c>
      <c r="R923" s="75">
        <v>171.5</v>
      </c>
      <c r="S923" s="75">
        <v>245</v>
      </c>
      <c r="T923" s="75">
        <v>416.5</v>
      </c>
      <c r="U923" s="200">
        <v>158</v>
      </c>
      <c r="V923" s="287">
        <f t="shared" ca="1" si="212"/>
        <v>10</v>
      </c>
      <c r="W923" s="75">
        <f t="shared" ca="1" si="213"/>
        <v>1382.5</v>
      </c>
      <c r="X923" s="200">
        <f t="shared" ca="1" si="214"/>
        <v>1680.5</v>
      </c>
      <c r="Y923" s="1">
        <v>0.45</v>
      </c>
      <c r="Z923" s="1">
        <v>0.1</v>
      </c>
      <c r="AA923" s="219"/>
      <c r="AB923" s="302" t="s">
        <v>6821</v>
      </c>
      <c r="AC923" s="302"/>
      <c r="AD923" s="302"/>
      <c r="AE923" s="302"/>
      <c r="AF923">
        <f t="shared" si="208"/>
        <v>0</v>
      </c>
    </row>
    <row r="924" spans="1:32" ht="26.25" hidden="1" x14ac:dyDescent="0.25">
      <c r="A924" s="322" t="s">
        <v>2665</v>
      </c>
      <c r="B924" s="93" t="str">
        <f t="shared" si="209"/>
        <v>YES</v>
      </c>
      <c r="C924" s="93" t="s">
        <v>5503</v>
      </c>
      <c r="D924" s="4">
        <v>39989</v>
      </c>
      <c r="E924" s="2">
        <v>40057</v>
      </c>
      <c r="F924" s="2">
        <f t="shared" si="210"/>
        <v>43709</v>
      </c>
      <c r="G924" s="6">
        <v>319</v>
      </c>
      <c r="H924" s="93" t="s">
        <v>5808</v>
      </c>
      <c r="I924" s="7" t="s">
        <v>79</v>
      </c>
      <c r="J924" s="424" t="s">
        <v>7922</v>
      </c>
      <c r="K924" s="266">
        <f t="shared" si="211"/>
        <v>2019</v>
      </c>
      <c r="L924" s="390" t="s">
        <v>5555</v>
      </c>
      <c r="M924" s="390" t="s">
        <v>7541</v>
      </c>
      <c r="N924" s="32" t="s">
        <v>2657</v>
      </c>
      <c r="O924" s="32" t="s">
        <v>2667</v>
      </c>
      <c r="P924" s="278"/>
      <c r="Q924" s="233" t="s">
        <v>2666</v>
      </c>
      <c r="R924" s="75">
        <v>1256.5</v>
      </c>
      <c r="S924" s="75"/>
      <c r="T924" s="75">
        <v>1256.5</v>
      </c>
      <c r="U924" s="200">
        <v>478.5</v>
      </c>
      <c r="V924" s="287">
        <f t="shared" ca="1" si="212"/>
        <v>10</v>
      </c>
      <c r="W924" s="75">
        <f t="shared" ca="1" si="213"/>
        <v>5582.5</v>
      </c>
      <c r="X924" s="200">
        <f t="shared" ca="1" si="214"/>
        <v>6360.5</v>
      </c>
      <c r="Y924" s="1">
        <v>0.45</v>
      </c>
      <c r="Z924" s="1">
        <v>0.1</v>
      </c>
      <c r="AA924" s="219"/>
      <c r="AB924" s="302" t="s">
        <v>6822</v>
      </c>
      <c r="AC924" s="302"/>
      <c r="AD924" s="302"/>
      <c r="AE924" s="302"/>
      <c r="AF924">
        <f t="shared" si="208"/>
        <v>0</v>
      </c>
    </row>
    <row r="925" spans="1:32" ht="26.25" hidden="1" x14ac:dyDescent="0.25">
      <c r="A925" s="322" t="s">
        <v>2668</v>
      </c>
      <c r="B925" s="93" t="str">
        <f t="shared" si="209"/>
        <v>YES</v>
      </c>
      <c r="C925" s="93" t="s">
        <v>5503</v>
      </c>
      <c r="D925" s="4">
        <v>39989</v>
      </c>
      <c r="E925" s="2">
        <v>40057</v>
      </c>
      <c r="F925" s="2">
        <f t="shared" si="210"/>
        <v>43709</v>
      </c>
      <c r="G925" s="6">
        <v>742.23</v>
      </c>
      <c r="H925" s="93" t="s">
        <v>5808</v>
      </c>
      <c r="I925" s="7" t="s">
        <v>79</v>
      </c>
      <c r="J925" s="424" t="s">
        <v>7922</v>
      </c>
      <c r="K925" s="266">
        <f t="shared" si="211"/>
        <v>2019</v>
      </c>
      <c r="L925" s="390" t="s">
        <v>5555</v>
      </c>
      <c r="M925" s="390" t="s">
        <v>7541</v>
      </c>
      <c r="N925" s="32" t="s">
        <v>2657</v>
      </c>
      <c r="O925" s="32" t="s">
        <v>2670</v>
      </c>
      <c r="P925" s="278"/>
      <c r="Q925" s="233" t="s">
        <v>2669</v>
      </c>
      <c r="R925" s="75">
        <v>49549.5</v>
      </c>
      <c r="S925" s="75"/>
      <c r="T925" s="75">
        <v>49549.5</v>
      </c>
      <c r="U925" s="200">
        <v>1114.5</v>
      </c>
      <c r="V925" s="287">
        <f t="shared" ca="1" si="212"/>
        <v>10</v>
      </c>
      <c r="W925" s="75">
        <f t="shared" ca="1" si="213"/>
        <v>13002.5</v>
      </c>
      <c r="X925" s="200">
        <f t="shared" ca="1" si="214"/>
        <v>61437.5</v>
      </c>
      <c r="Y925" s="1">
        <v>0.45</v>
      </c>
      <c r="Z925" s="1">
        <v>0.1</v>
      </c>
      <c r="AA925" s="219"/>
      <c r="AB925" s="302" t="s">
        <v>6823</v>
      </c>
      <c r="AC925" s="302"/>
      <c r="AD925" s="302"/>
      <c r="AE925" s="302"/>
      <c r="AF925">
        <f t="shared" si="208"/>
        <v>0</v>
      </c>
    </row>
    <row r="926" spans="1:32" ht="26.25" hidden="1" x14ac:dyDescent="0.25">
      <c r="A926" s="322" t="s">
        <v>2671</v>
      </c>
      <c r="B926" s="93" t="str">
        <f t="shared" si="209"/>
        <v>YES</v>
      </c>
      <c r="C926" s="93" t="s">
        <v>5503</v>
      </c>
      <c r="D926" s="4">
        <v>39989</v>
      </c>
      <c r="E926" s="2">
        <v>40057</v>
      </c>
      <c r="F926" s="2">
        <f t="shared" si="210"/>
        <v>43709</v>
      </c>
      <c r="G926" s="6">
        <v>340.15</v>
      </c>
      <c r="H926" s="93" t="s">
        <v>5808</v>
      </c>
      <c r="I926" s="7" t="s">
        <v>79</v>
      </c>
      <c r="J926" s="424" t="s">
        <v>7922</v>
      </c>
      <c r="K926" s="266">
        <f t="shared" si="211"/>
        <v>2019</v>
      </c>
      <c r="L926" s="390" t="s">
        <v>5555</v>
      </c>
      <c r="M926" s="390" t="s">
        <v>7541</v>
      </c>
      <c r="N926" s="32" t="s">
        <v>2657</v>
      </c>
      <c r="O926" s="32" t="s">
        <v>2673</v>
      </c>
      <c r="P926" s="278"/>
      <c r="Q926" s="233" t="s">
        <v>2672</v>
      </c>
      <c r="R926" s="75">
        <v>123411.5</v>
      </c>
      <c r="S926" s="75"/>
      <c r="T926" s="75">
        <v>123411.5</v>
      </c>
      <c r="U926" s="200">
        <v>511.5</v>
      </c>
      <c r="V926" s="287">
        <f t="shared" ca="1" si="212"/>
        <v>10</v>
      </c>
      <c r="W926" s="75">
        <f t="shared" ca="1" si="213"/>
        <v>5967.5</v>
      </c>
      <c r="X926" s="200">
        <f t="shared" ca="1" si="214"/>
        <v>128867.5</v>
      </c>
      <c r="Y926" s="1">
        <v>0.45</v>
      </c>
      <c r="Z926" s="1">
        <v>0.1</v>
      </c>
      <c r="AA926" s="219"/>
      <c r="AB926" s="302" t="s">
        <v>6824</v>
      </c>
      <c r="AC926" s="302"/>
      <c r="AD926" s="302"/>
      <c r="AE926" s="302"/>
      <c r="AF926">
        <f t="shared" si="208"/>
        <v>0</v>
      </c>
    </row>
    <row r="927" spans="1:32" ht="26.25" hidden="1" x14ac:dyDescent="0.25">
      <c r="A927" s="322" t="s">
        <v>2674</v>
      </c>
      <c r="B927" s="93" t="str">
        <f t="shared" si="209"/>
        <v>YES</v>
      </c>
      <c r="C927" s="93" t="s">
        <v>5503</v>
      </c>
      <c r="D927" s="4">
        <v>39989</v>
      </c>
      <c r="E927" s="2">
        <v>40057</v>
      </c>
      <c r="F927" s="2">
        <f t="shared" si="210"/>
        <v>43709</v>
      </c>
      <c r="G927" s="6">
        <v>488.95</v>
      </c>
      <c r="H927" s="7" t="s">
        <v>2466</v>
      </c>
      <c r="I927" s="9" t="s">
        <v>1050</v>
      </c>
      <c r="J927" s="424" t="s">
        <v>7922</v>
      </c>
      <c r="K927" s="266">
        <f t="shared" si="211"/>
        <v>2019</v>
      </c>
      <c r="L927" s="390"/>
      <c r="M927" s="390"/>
      <c r="N927" s="32" t="s">
        <v>2676</v>
      </c>
      <c r="O927" s="32" t="s">
        <v>2677</v>
      </c>
      <c r="P927" s="278"/>
      <c r="Q927" s="233" t="s">
        <v>2675</v>
      </c>
      <c r="R927" s="81">
        <v>1851.5</v>
      </c>
      <c r="S927" s="75"/>
      <c r="T927" s="81">
        <v>1851.5</v>
      </c>
      <c r="U927" s="200">
        <v>733.5</v>
      </c>
      <c r="V927" s="287">
        <f t="shared" ca="1" si="212"/>
        <v>10</v>
      </c>
      <c r="W927" s="75">
        <f t="shared" ca="1" si="213"/>
        <v>8557.5</v>
      </c>
      <c r="X927" s="200">
        <f t="shared" ca="1" si="214"/>
        <v>9675.5</v>
      </c>
      <c r="Y927" s="1">
        <v>0.45</v>
      </c>
      <c r="Z927" s="1">
        <v>0.1</v>
      </c>
      <c r="AA927" s="219"/>
      <c r="AB927" s="302" t="s">
        <v>6825</v>
      </c>
      <c r="AC927" s="302"/>
      <c r="AD927" s="302"/>
      <c r="AE927" s="302"/>
      <c r="AF927">
        <f t="shared" si="208"/>
        <v>0</v>
      </c>
    </row>
    <row r="928" spans="1:32" ht="15.75" hidden="1" thickBot="1" x14ac:dyDescent="0.3">
      <c r="A928" s="322"/>
      <c r="D928" s="7"/>
      <c r="E928" s="8"/>
      <c r="F928" s="2"/>
      <c r="G928" s="6"/>
      <c r="H928" s="7"/>
      <c r="I928" s="7"/>
      <c r="J928" s="186"/>
      <c r="K928" s="186"/>
      <c r="L928" s="386"/>
      <c r="M928" s="386"/>
      <c r="N928" s="32"/>
      <c r="O928" s="32"/>
      <c r="P928" s="278"/>
      <c r="Q928" s="233"/>
      <c r="R928" s="76">
        <v>187342</v>
      </c>
      <c r="S928" s="76">
        <v>245</v>
      </c>
      <c r="T928" s="76">
        <v>187587</v>
      </c>
      <c r="U928" s="200"/>
      <c r="V928" s="75"/>
      <c r="W928" s="75"/>
      <c r="X928" s="200"/>
      <c r="Y928" s="1"/>
      <c r="Z928" s="1"/>
      <c r="AA928" s="219"/>
      <c r="AB928" s="302"/>
      <c r="AC928" s="302"/>
      <c r="AD928" s="302"/>
      <c r="AE928" s="302"/>
      <c r="AF928">
        <f t="shared" si="208"/>
        <v>0</v>
      </c>
    </row>
    <row r="929" spans="1:32" hidden="1" x14ac:dyDescent="0.25">
      <c r="A929" s="322"/>
      <c r="D929" s="7"/>
      <c r="E929" s="8"/>
      <c r="F929" s="2"/>
      <c r="G929" s="6"/>
      <c r="H929" s="7"/>
      <c r="I929" s="7"/>
      <c r="J929" s="186"/>
      <c r="K929" s="186"/>
      <c r="L929" s="386"/>
      <c r="M929" s="386"/>
      <c r="N929" s="32"/>
      <c r="O929" s="32"/>
      <c r="P929" s="278"/>
      <c r="Q929" s="233" t="s">
        <v>2678</v>
      </c>
      <c r="R929" s="75">
        <v>99999.99</v>
      </c>
      <c r="S929" s="75"/>
      <c r="T929" s="75"/>
      <c r="U929" s="200"/>
      <c r="V929" s="75"/>
      <c r="W929" s="75"/>
      <c r="X929" s="200"/>
      <c r="Y929" s="1"/>
      <c r="Z929" s="1"/>
      <c r="AA929" s="219"/>
      <c r="AB929" s="302"/>
      <c r="AC929" s="302"/>
      <c r="AD929" s="302"/>
      <c r="AE929" s="302"/>
      <c r="AF929">
        <f t="shared" si="208"/>
        <v>0</v>
      </c>
    </row>
    <row r="930" spans="1:32" hidden="1" x14ac:dyDescent="0.25">
      <c r="A930" s="322"/>
      <c r="D930" s="7"/>
      <c r="E930" s="8"/>
      <c r="F930" s="2"/>
      <c r="G930" s="6"/>
      <c r="H930" s="7"/>
      <c r="I930" s="7"/>
      <c r="J930" s="186"/>
      <c r="K930" s="186"/>
      <c r="L930" s="386"/>
      <c r="M930" s="386"/>
      <c r="N930" s="32"/>
      <c r="O930" s="32"/>
      <c r="P930" s="278"/>
      <c r="Q930" s="233" t="s">
        <v>2679</v>
      </c>
      <c r="R930" s="81">
        <v>87342.01</v>
      </c>
      <c r="S930" s="75"/>
      <c r="T930" s="75"/>
      <c r="U930" s="200"/>
      <c r="V930" s="75"/>
      <c r="W930" s="75"/>
      <c r="X930" s="200"/>
      <c r="Y930" s="1"/>
      <c r="Z930" s="1"/>
      <c r="AA930" s="219"/>
      <c r="AB930" s="302"/>
      <c r="AC930" s="302"/>
      <c r="AD930" s="302"/>
      <c r="AE930" s="302"/>
      <c r="AF930">
        <f t="shared" si="208"/>
        <v>0</v>
      </c>
    </row>
    <row r="931" spans="1:32" ht="15.75" hidden="1" thickBot="1" x14ac:dyDescent="0.3">
      <c r="A931" s="322"/>
      <c r="D931" s="7"/>
      <c r="E931" s="8"/>
      <c r="F931" s="2"/>
      <c r="G931" s="6"/>
      <c r="H931" s="7"/>
      <c r="I931" s="7"/>
      <c r="J931" s="186"/>
      <c r="K931" s="186"/>
      <c r="L931" s="386"/>
      <c r="M931" s="386"/>
      <c r="N931" s="32"/>
      <c r="O931" s="32"/>
      <c r="P931" s="278"/>
      <c r="Q931" s="233"/>
      <c r="R931" s="82">
        <v>187342</v>
      </c>
      <c r="S931" s="75"/>
      <c r="T931" s="75"/>
      <c r="U931" s="200"/>
      <c r="V931" s="75"/>
      <c r="W931" s="75"/>
      <c r="X931" s="200"/>
      <c r="Y931" s="1"/>
      <c r="Z931" s="1"/>
      <c r="AA931" s="219"/>
      <c r="AB931" s="302"/>
      <c r="AC931" s="302"/>
      <c r="AD931" s="302"/>
      <c r="AE931" s="302"/>
      <c r="AF931">
        <f t="shared" si="208"/>
        <v>0</v>
      </c>
    </row>
    <row r="932" spans="1:32" hidden="1" x14ac:dyDescent="0.25">
      <c r="A932" s="322"/>
      <c r="D932" s="7"/>
      <c r="E932" s="8"/>
      <c r="F932" s="2"/>
      <c r="G932" s="6"/>
      <c r="H932" s="7"/>
      <c r="I932" s="7"/>
      <c r="J932" s="186"/>
      <c r="K932" s="186"/>
      <c r="L932" s="386"/>
      <c r="M932" s="386"/>
      <c r="N932" s="32"/>
      <c r="O932" s="32"/>
      <c r="P932" s="278"/>
      <c r="Q932" s="233"/>
      <c r="R932" s="75"/>
      <c r="S932" s="75"/>
      <c r="T932" s="75"/>
      <c r="U932" s="200"/>
      <c r="V932" s="75"/>
      <c r="W932" s="75"/>
      <c r="X932" s="200"/>
      <c r="Y932" s="1"/>
      <c r="Z932" s="1"/>
      <c r="AA932" s="219"/>
      <c r="AB932" s="302"/>
      <c r="AC932" s="302"/>
      <c r="AD932" s="302"/>
      <c r="AE932" s="302"/>
      <c r="AF932">
        <f t="shared" si="208"/>
        <v>0</v>
      </c>
    </row>
    <row r="933" spans="1:32" hidden="1" x14ac:dyDescent="0.25">
      <c r="A933" s="322"/>
      <c r="D933" s="7"/>
      <c r="E933" s="8"/>
      <c r="F933" s="2"/>
      <c r="G933" s="6"/>
      <c r="H933" s="7"/>
      <c r="I933" s="7"/>
      <c r="J933" s="186"/>
      <c r="K933" s="186"/>
      <c r="L933" s="386"/>
      <c r="M933" s="386"/>
      <c r="N933" s="32"/>
      <c r="O933" s="32"/>
      <c r="P933" s="278"/>
      <c r="Q933" s="233"/>
      <c r="R933" s="75"/>
      <c r="S933" s="75"/>
      <c r="T933" s="75"/>
      <c r="U933" s="200"/>
      <c r="V933" s="75"/>
      <c r="W933" s="75"/>
      <c r="X933" s="200"/>
      <c r="Y933" s="1"/>
      <c r="Z933" s="1"/>
      <c r="AA933" s="219"/>
      <c r="AB933" s="302"/>
      <c r="AC933" s="302"/>
      <c r="AD933" s="302"/>
      <c r="AE933" s="302"/>
      <c r="AF933">
        <f t="shared" si="208"/>
        <v>0</v>
      </c>
    </row>
    <row r="934" spans="1:32" ht="26.25" hidden="1" x14ac:dyDescent="0.25">
      <c r="A934" s="322" t="s">
        <v>2680</v>
      </c>
      <c r="B934" s="93" t="str">
        <f>IF(COUNTIF(GIS,A934),"YES","NO")</f>
        <v>YES</v>
      </c>
      <c r="C934" s="93" t="s">
        <v>5503</v>
      </c>
      <c r="D934" s="4">
        <v>40016</v>
      </c>
      <c r="E934" s="2">
        <v>40057</v>
      </c>
      <c r="F934" s="2">
        <f t="shared" si="210"/>
        <v>43709</v>
      </c>
      <c r="G934" s="6">
        <v>1281.43</v>
      </c>
      <c r="H934" s="7" t="s">
        <v>2682</v>
      </c>
      <c r="I934" s="7" t="s">
        <v>548</v>
      </c>
      <c r="J934" s="424" t="s">
        <v>7922</v>
      </c>
      <c r="K934" s="266">
        <f>YEAR(F934)</f>
        <v>2019</v>
      </c>
      <c r="L934" s="390" t="s">
        <v>7579</v>
      </c>
      <c r="M934" s="390" t="s">
        <v>7580</v>
      </c>
      <c r="N934" s="32" t="s">
        <v>2683</v>
      </c>
      <c r="O934" s="32" t="s">
        <v>2684</v>
      </c>
      <c r="P934" s="278"/>
      <c r="Q934" s="233" t="s">
        <v>2681</v>
      </c>
      <c r="R934" s="75">
        <v>4627</v>
      </c>
      <c r="S934" s="75"/>
      <c r="T934" s="75">
        <v>4627</v>
      </c>
      <c r="U934" s="200">
        <v>1923</v>
      </c>
      <c r="V934" s="287">
        <f ca="1">IF(YEAR($W$3)-YEAR(E934)&gt;9,10,IF(MONTH($W$3)&lt;MONTH(E934),YEAR($W$3)-YEAR(E934),YEAR($W$3)-YEAR(E934)+1))</f>
        <v>10</v>
      </c>
      <c r="W934" s="75">
        <f t="shared" ref="W934:W937" ca="1" si="215">IF(V934&lt;6, ROUNDUP(G934,0)*$W$6*V934, ROUNDUP(G934,0)*($W$6*5 + (V934-5)*$W$7))</f>
        <v>22435</v>
      </c>
      <c r="X934" s="200">
        <f t="shared" ref="X934:X937" ca="1" si="216">IF(V934=0,T934,((T934-ROUNDUP(G934,0)*1.5)+W934))</f>
        <v>25139</v>
      </c>
      <c r="Y934" s="1">
        <v>0.45</v>
      </c>
      <c r="Z934" s="1">
        <v>0.1</v>
      </c>
      <c r="AA934" s="219"/>
      <c r="AB934" s="302"/>
      <c r="AC934" s="302"/>
      <c r="AD934" s="302"/>
      <c r="AE934" s="302"/>
      <c r="AF934">
        <f t="shared" si="208"/>
        <v>0</v>
      </c>
    </row>
    <row r="935" spans="1:32" ht="26.25" hidden="1" x14ac:dyDescent="0.25">
      <c r="A935" s="322" t="s">
        <v>2685</v>
      </c>
      <c r="B935" s="93" t="str">
        <f>IF(COUNTIF(GIS,A935),"YES","NO")</f>
        <v>YES</v>
      </c>
      <c r="C935" s="93" t="s">
        <v>5503</v>
      </c>
      <c r="D935" s="4">
        <v>40016</v>
      </c>
      <c r="E935" s="2">
        <v>40057</v>
      </c>
      <c r="F935" s="2">
        <f t="shared" si="210"/>
        <v>43709</v>
      </c>
      <c r="G935" s="6">
        <v>320</v>
      </c>
      <c r="H935" s="7" t="s">
        <v>2687</v>
      </c>
      <c r="I935" s="7" t="s">
        <v>548</v>
      </c>
      <c r="J935" s="424" t="s">
        <v>7922</v>
      </c>
      <c r="K935" s="266">
        <f>YEAR(F935)</f>
        <v>2019</v>
      </c>
      <c r="L935" s="390" t="s">
        <v>5659</v>
      </c>
      <c r="M935" s="390" t="s">
        <v>7580</v>
      </c>
      <c r="N935" s="32" t="s">
        <v>2688</v>
      </c>
      <c r="O935" s="32" t="s">
        <v>2689</v>
      </c>
      <c r="P935" s="278"/>
      <c r="Q935" s="233" t="s">
        <v>2686</v>
      </c>
      <c r="R935" s="75">
        <v>1260</v>
      </c>
      <c r="S935" s="75"/>
      <c r="T935" s="75">
        <v>1260</v>
      </c>
      <c r="U935" s="200">
        <v>480</v>
      </c>
      <c r="V935" s="287">
        <f ca="1">IF(YEAR($W$3)-YEAR(E935)&gt;9,10,IF(MONTH($W$3)&lt;MONTH(E935),YEAR($W$3)-YEAR(E935),YEAR($W$3)-YEAR(E935)+1))</f>
        <v>10</v>
      </c>
      <c r="W935" s="75">
        <f t="shared" ca="1" si="215"/>
        <v>5600</v>
      </c>
      <c r="X935" s="200">
        <f t="shared" ca="1" si="216"/>
        <v>6380</v>
      </c>
      <c r="Y935" s="1">
        <v>0.45</v>
      </c>
      <c r="Z935" s="1">
        <v>0.1</v>
      </c>
      <c r="AA935" s="219"/>
      <c r="AB935" s="302"/>
      <c r="AC935" s="302"/>
      <c r="AD935" s="302"/>
      <c r="AE935" s="302"/>
      <c r="AF935">
        <f t="shared" si="208"/>
        <v>0</v>
      </c>
    </row>
    <row r="936" spans="1:32" ht="26.25" hidden="1" x14ac:dyDescent="0.25">
      <c r="A936" s="322" t="s">
        <v>2690</v>
      </c>
      <c r="B936" s="93" t="str">
        <f>IF(COUNTIF(GIS,A936),"YES","NO")</f>
        <v>YES</v>
      </c>
      <c r="C936" s="93" t="s">
        <v>5503</v>
      </c>
      <c r="D936" s="4">
        <v>40016</v>
      </c>
      <c r="E936" s="2">
        <v>40057</v>
      </c>
      <c r="F936" s="2">
        <f t="shared" si="210"/>
        <v>43709</v>
      </c>
      <c r="G936" s="6">
        <v>240</v>
      </c>
      <c r="H936" s="7" t="s">
        <v>2682</v>
      </c>
      <c r="I936" s="7" t="s">
        <v>548</v>
      </c>
      <c r="J936" s="424" t="s">
        <v>7922</v>
      </c>
      <c r="K936" s="266">
        <f>YEAR(F936)</f>
        <v>2019</v>
      </c>
      <c r="L936" s="390" t="s">
        <v>7538</v>
      </c>
      <c r="M936" s="390" t="s">
        <v>7581</v>
      </c>
      <c r="N936" s="32" t="s">
        <v>2692</v>
      </c>
      <c r="O936" s="32" t="s">
        <v>2693</v>
      </c>
      <c r="P936" s="278"/>
      <c r="Q936" s="233" t="s">
        <v>2691</v>
      </c>
      <c r="R936" s="75">
        <v>980</v>
      </c>
      <c r="S936" s="75"/>
      <c r="T936" s="75">
        <v>980</v>
      </c>
      <c r="U936" s="200">
        <v>360</v>
      </c>
      <c r="V936" s="287">
        <f ca="1">IF(YEAR($W$3)-YEAR(E936)&gt;9,10,IF(MONTH($W$3)&lt;MONTH(E936),YEAR($W$3)-YEAR(E936),YEAR($W$3)-YEAR(E936)+1))</f>
        <v>10</v>
      </c>
      <c r="W936" s="75">
        <f t="shared" ca="1" si="215"/>
        <v>4200</v>
      </c>
      <c r="X936" s="200">
        <f t="shared" ca="1" si="216"/>
        <v>4820</v>
      </c>
      <c r="Y936" s="1">
        <v>0.45</v>
      </c>
      <c r="Z936" s="1">
        <v>0.1</v>
      </c>
      <c r="AA936" s="219"/>
      <c r="AB936" s="302"/>
      <c r="AC936" s="302"/>
      <c r="AD936" s="302"/>
      <c r="AE936" s="302"/>
      <c r="AF936">
        <f t="shared" si="208"/>
        <v>0</v>
      </c>
    </row>
    <row r="937" spans="1:32" ht="24.75" hidden="1" customHeight="1" x14ac:dyDescent="0.25">
      <c r="A937" s="322" t="s">
        <v>2694</v>
      </c>
      <c r="B937" s="93" t="str">
        <f>IF(COUNTIF(GIS,A937),"YES","NO")</f>
        <v>YES</v>
      </c>
      <c r="C937" s="93" t="s">
        <v>5503</v>
      </c>
      <c r="D937" s="4">
        <v>40016</v>
      </c>
      <c r="E937" s="2">
        <v>40057</v>
      </c>
      <c r="F937" s="2">
        <f t="shared" si="210"/>
        <v>43709</v>
      </c>
      <c r="G937" s="6">
        <v>200</v>
      </c>
      <c r="H937" s="7" t="s">
        <v>899</v>
      </c>
      <c r="I937" s="7" t="s">
        <v>512</v>
      </c>
      <c r="J937" s="105" t="s">
        <v>7914</v>
      </c>
      <c r="K937" s="266">
        <f>YEAR(F937)</f>
        <v>2019</v>
      </c>
      <c r="L937" s="390" t="s">
        <v>7517</v>
      </c>
      <c r="M937" s="390" t="s">
        <v>7518</v>
      </c>
      <c r="N937" s="32" t="s">
        <v>2696</v>
      </c>
      <c r="O937" s="32" t="s">
        <v>2697</v>
      </c>
      <c r="P937" s="278"/>
      <c r="Q937" s="233" t="s">
        <v>2695</v>
      </c>
      <c r="R937" s="75">
        <v>80440</v>
      </c>
      <c r="S937" s="75"/>
      <c r="T937" s="75">
        <v>80440</v>
      </c>
      <c r="U937" s="200">
        <v>300</v>
      </c>
      <c r="V937" s="287">
        <f ca="1">IF(YEAR($W$3)-YEAR(E937)&gt;9,10,IF(MONTH($W$3)&lt;MONTH(E937),YEAR($W$3)-YEAR(E937),YEAR($W$3)-YEAR(E937)+1))</f>
        <v>10</v>
      </c>
      <c r="W937" s="75">
        <f t="shared" ca="1" si="215"/>
        <v>3500</v>
      </c>
      <c r="X937" s="200">
        <f t="shared" ca="1" si="216"/>
        <v>83640</v>
      </c>
      <c r="Y937" s="1">
        <v>0.45</v>
      </c>
      <c r="Z937" s="1">
        <v>0.1</v>
      </c>
      <c r="AA937" s="219"/>
      <c r="AB937" s="302" t="s">
        <v>5396</v>
      </c>
      <c r="AC937" s="308">
        <v>42829</v>
      </c>
      <c r="AD937" s="309">
        <v>0.25</v>
      </c>
      <c r="AE937" s="302" t="s">
        <v>6234</v>
      </c>
      <c r="AF937">
        <f t="shared" si="208"/>
        <v>0</v>
      </c>
    </row>
    <row r="938" spans="1:32" ht="15.75" hidden="1" thickBot="1" x14ac:dyDescent="0.3">
      <c r="A938" s="322"/>
      <c r="D938" s="7"/>
      <c r="E938" s="8"/>
      <c r="F938" s="2"/>
      <c r="G938" s="6"/>
      <c r="H938" s="7"/>
      <c r="I938" s="7"/>
      <c r="J938" s="186"/>
      <c r="K938" s="186"/>
      <c r="L938" s="386"/>
      <c r="M938" s="386"/>
      <c r="N938" s="32"/>
      <c r="O938" s="32"/>
      <c r="P938" s="278"/>
      <c r="Q938" s="233" t="s">
        <v>2627</v>
      </c>
      <c r="R938" s="76">
        <v>87307</v>
      </c>
      <c r="S938" s="75"/>
      <c r="T938" s="76">
        <v>87307</v>
      </c>
      <c r="U938" s="200"/>
      <c r="V938" s="75"/>
      <c r="W938" s="75"/>
      <c r="X938" s="200"/>
      <c r="Y938" s="1"/>
      <c r="Z938" s="1"/>
      <c r="AA938" s="219"/>
      <c r="AB938" s="302"/>
      <c r="AC938" s="302"/>
      <c r="AD938" s="302"/>
      <c r="AE938" s="302"/>
      <c r="AF938">
        <f t="shared" si="208"/>
        <v>0</v>
      </c>
    </row>
    <row r="939" spans="1:32" hidden="1" x14ac:dyDescent="0.25">
      <c r="A939" s="322"/>
      <c r="D939" s="7"/>
      <c r="E939" s="8"/>
      <c r="F939" s="2"/>
      <c r="G939" s="6"/>
      <c r="H939" s="7"/>
      <c r="I939" s="7"/>
      <c r="J939" s="186"/>
      <c r="K939" s="186"/>
      <c r="L939" s="386"/>
      <c r="M939" s="386"/>
      <c r="N939" s="32"/>
      <c r="O939" s="32"/>
      <c r="P939" s="278"/>
      <c r="Q939" s="233"/>
      <c r="R939" s="75"/>
      <c r="S939" s="75"/>
      <c r="T939" s="75"/>
      <c r="U939" s="200"/>
      <c r="V939" s="75"/>
      <c r="W939" s="75"/>
      <c r="X939" s="200"/>
      <c r="Y939" s="1"/>
      <c r="Z939" s="1"/>
      <c r="AA939" s="219"/>
      <c r="AB939" s="302"/>
      <c r="AC939" s="302"/>
      <c r="AD939" s="302"/>
      <c r="AE939" s="302"/>
      <c r="AF939">
        <f t="shared" si="208"/>
        <v>0</v>
      </c>
    </row>
    <row r="940" spans="1:32" ht="39" hidden="1" x14ac:dyDescent="0.25">
      <c r="A940" s="322" t="s">
        <v>2384</v>
      </c>
      <c r="B940" s="93" t="str">
        <f>IF(COUNTIF(GIS,A940),"YES","NO")</f>
        <v>NO</v>
      </c>
      <c r="C940" s="93" t="s">
        <v>5503</v>
      </c>
      <c r="D940" s="4">
        <v>39645</v>
      </c>
      <c r="E940" s="2">
        <v>39753</v>
      </c>
      <c r="F940" s="2"/>
      <c r="G940" s="107"/>
      <c r="H940" s="7"/>
      <c r="I940" s="7"/>
      <c r="J940" s="105" t="s">
        <v>4823</v>
      </c>
      <c r="K940" s="266"/>
      <c r="L940" s="383"/>
      <c r="M940" s="383"/>
      <c r="N940" s="32"/>
      <c r="O940" s="32"/>
      <c r="P940" s="278"/>
      <c r="Q940" s="240"/>
      <c r="R940" s="108"/>
      <c r="S940" s="108"/>
      <c r="T940" s="75">
        <v>-42225</v>
      </c>
      <c r="U940" s="202"/>
      <c r="V940" s="287">
        <f ca="1">IF(YEAR($W$3)-YEAR(E940)&gt;9,10,IF(MONTH($W$3)&lt;MONTH(E940),YEAR($W$3)-YEAR(E940),YEAR($W$3)-YEAR(E940)+1))</f>
        <v>10</v>
      </c>
      <c r="W940" s="75">
        <f ca="1">IF(V940&lt;6, ROUNDUP(G940,0)*$W$6*V940, ROUNDUP(G940,0)*($W$6*5 + (V940-5)*$W$7))</f>
        <v>0</v>
      </c>
      <c r="X940" s="200">
        <f ca="1">IF(V940=0,T940,((T940-ROUNDUP(G940,0)*1.5)+W940))</f>
        <v>-42225</v>
      </c>
      <c r="Y940" s="1">
        <v>0.5</v>
      </c>
      <c r="Z940" s="1"/>
      <c r="AA940" s="219"/>
      <c r="AB940" s="302"/>
      <c r="AC940" s="302"/>
      <c r="AD940" s="302"/>
      <c r="AE940" s="302"/>
      <c r="AF940">
        <f t="shared" si="208"/>
        <v>0</v>
      </c>
    </row>
    <row r="941" spans="1:32" hidden="1" x14ac:dyDescent="0.25">
      <c r="A941" s="322"/>
      <c r="D941" s="112"/>
      <c r="E941" s="113"/>
      <c r="F941" s="2"/>
      <c r="G941" s="6"/>
      <c r="H941" s="7"/>
      <c r="I941" s="7"/>
      <c r="J941" s="109" t="s">
        <v>4824</v>
      </c>
      <c r="K941" s="109"/>
      <c r="L941" s="385"/>
      <c r="M941" s="385"/>
      <c r="N941" s="32"/>
      <c r="O941" s="32"/>
      <c r="P941" s="278"/>
      <c r="Q941" s="237" t="s">
        <v>2698</v>
      </c>
      <c r="R941" s="75"/>
      <c r="S941" s="75"/>
      <c r="T941" s="81">
        <v>-86831.5</v>
      </c>
      <c r="U941" s="200"/>
      <c r="V941" s="75"/>
      <c r="W941" s="75"/>
      <c r="X941" s="200"/>
      <c r="Y941" s="1"/>
      <c r="Z941" s="1"/>
      <c r="AA941" s="219"/>
      <c r="AB941" s="302"/>
      <c r="AC941" s="302"/>
      <c r="AD941" s="302"/>
      <c r="AE941" s="302"/>
      <c r="AF941">
        <f t="shared" si="208"/>
        <v>0</v>
      </c>
    </row>
    <row r="942" spans="1:32" hidden="1" x14ac:dyDescent="0.25">
      <c r="A942" s="322"/>
      <c r="D942" s="7"/>
      <c r="E942" s="8"/>
      <c r="F942" s="2"/>
      <c r="G942" s="6"/>
      <c r="H942" s="7"/>
      <c r="I942" s="7"/>
      <c r="J942" s="186"/>
      <c r="K942" s="186"/>
      <c r="L942" s="386"/>
      <c r="M942" s="386"/>
      <c r="N942" s="32"/>
      <c r="O942" s="32"/>
      <c r="P942" s="278"/>
      <c r="Q942" s="233"/>
      <c r="R942" s="75"/>
      <c r="S942" s="75"/>
      <c r="T942" s="75"/>
      <c r="U942" s="200"/>
      <c r="V942" s="75"/>
      <c r="W942" s="75"/>
      <c r="X942" s="200"/>
      <c r="Y942" s="1"/>
      <c r="Z942" s="1"/>
      <c r="AA942" s="219"/>
      <c r="AB942" s="302"/>
      <c r="AC942" s="302"/>
      <c r="AD942" s="302"/>
      <c r="AE942" s="302"/>
      <c r="AF942">
        <f t="shared" si="208"/>
        <v>0</v>
      </c>
    </row>
    <row r="943" spans="1:32" ht="15.75" hidden="1" thickBot="1" x14ac:dyDescent="0.3">
      <c r="A943" s="322"/>
      <c r="D943" s="7"/>
      <c r="E943" s="8"/>
      <c r="F943" s="2"/>
      <c r="G943" s="6"/>
      <c r="H943" s="7"/>
      <c r="I943" s="7"/>
      <c r="J943" s="186"/>
      <c r="K943" s="186"/>
      <c r="L943" s="386"/>
      <c r="M943" s="386"/>
      <c r="N943" s="32"/>
      <c r="O943" s="32"/>
      <c r="P943" s="278"/>
      <c r="Q943" s="233" t="s">
        <v>2699</v>
      </c>
      <c r="R943" s="75"/>
      <c r="S943" s="75"/>
      <c r="T943" s="82">
        <v>17472861</v>
      </c>
      <c r="U943" s="200"/>
      <c r="V943" s="75"/>
      <c r="W943" s="75"/>
      <c r="X943" s="200"/>
      <c r="Y943" s="1"/>
      <c r="Z943" s="1"/>
      <c r="AA943" s="219"/>
      <c r="AB943" s="302"/>
      <c r="AC943" s="302"/>
      <c r="AD943" s="302"/>
      <c r="AE943" s="302"/>
      <c r="AF943">
        <f t="shared" si="208"/>
        <v>0</v>
      </c>
    </row>
    <row r="944" spans="1:32" hidden="1" x14ac:dyDescent="0.25">
      <c r="A944" s="322"/>
      <c r="D944" s="7"/>
      <c r="E944" s="8"/>
      <c r="F944" s="2"/>
      <c r="G944" s="6"/>
      <c r="H944" s="7"/>
      <c r="I944" s="7"/>
      <c r="J944" s="186"/>
      <c r="K944" s="186"/>
      <c r="L944" s="386"/>
      <c r="M944" s="386"/>
      <c r="N944" s="32"/>
      <c r="O944" s="32"/>
      <c r="P944" s="278"/>
      <c r="Q944" s="233"/>
      <c r="R944" s="75"/>
      <c r="S944" s="75"/>
      <c r="T944" s="75"/>
      <c r="U944" s="200"/>
      <c r="V944" s="75"/>
      <c r="W944" s="75"/>
      <c r="X944" s="200"/>
      <c r="Y944" s="1"/>
      <c r="Z944" s="1"/>
      <c r="AA944" s="219"/>
      <c r="AB944" s="302"/>
      <c r="AC944" s="302"/>
      <c r="AD944" s="302"/>
      <c r="AE944" s="302"/>
      <c r="AF944">
        <f t="shared" si="208"/>
        <v>0</v>
      </c>
    </row>
    <row r="945" spans="1:32" ht="26.25" hidden="1" x14ac:dyDescent="0.25">
      <c r="A945" s="322" t="s">
        <v>2700</v>
      </c>
      <c r="B945" s="93" t="str">
        <f t="shared" ref="B945:B977" si="217">IF(COUNTIF(GIS,A945),"YES","NO")</f>
        <v>YES</v>
      </c>
      <c r="C945" s="93" t="s">
        <v>5503</v>
      </c>
      <c r="D945" s="4">
        <v>40255</v>
      </c>
      <c r="E945" s="2">
        <v>40330</v>
      </c>
      <c r="F945" s="2">
        <f t="shared" si="210"/>
        <v>43983</v>
      </c>
      <c r="G945" s="6">
        <v>122</v>
      </c>
      <c r="H945" s="7" t="s">
        <v>2701</v>
      </c>
      <c r="I945" s="7" t="s">
        <v>308</v>
      </c>
      <c r="J945" s="186"/>
      <c r="K945" s="266">
        <f t="shared" ref="K945:K977" si="218">YEAR(F945)</f>
        <v>2020</v>
      </c>
      <c r="L945" s="390" t="s">
        <v>5514</v>
      </c>
      <c r="M945" s="390" t="s">
        <v>7575</v>
      </c>
      <c r="N945" s="32" t="s">
        <v>2702</v>
      </c>
      <c r="O945" s="32" t="s">
        <v>2703</v>
      </c>
      <c r="P945" s="278"/>
      <c r="Q945" s="233" t="s">
        <v>6302</v>
      </c>
      <c r="R945" s="75">
        <v>572</v>
      </c>
      <c r="S945" s="75">
        <v>4026</v>
      </c>
      <c r="T945" s="75">
        <v>4598</v>
      </c>
      <c r="U945" s="200">
        <v>244</v>
      </c>
      <c r="V945" s="287">
        <f t="shared" ref="V945:V977" ca="1" si="219">IF(YEAR($W$3)-YEAR(E945)&gt;9,10,IF(MONTH($W$3)&lt;MONTH(E945),YEAR($W$3)-YEAR(E945),YEAR($W$3)-YEAR(E945)+1))</f>
        <v>10</v>
      </c>
      <c r="W945" s="75">
        <f t="shared" ref="W945:W977" ca="1" si="220">IF(V945&lt;6, ROUNDUP(G945,0)*$W$6*V945, ROUNDUP(G945,0)*($W$6*5 + (V945-5)*$W$7))</f>
        <v>2135</v>
      </c>
      <c r="X945" s="200">
        <f t="shared" ref="X945:X977" ca="1" si="221">IF(V945=0,T945,((T945-ROUNDUP(G945,0)*1.5)+W945))</f>
        <v>6550</v>
      </c>
      <c r="Y945" s="31"/>
      <c r="Z945" s="31">
        <v>0.1</v>
      </c>
      <c r="AA945" s="223"/>
      <c r="AB945" s="302" t="s">
        <v>6303</v>
      </c>
      <c r="AC945" s="308">
        <v>43536</v>
      </c>
      <c r="AD945" s="309">
        <v>0.25</v>
      </c>
      <c r="AE945" s="302" t="s">
        <v>7508</v>
      </c>
      <c r="AF945">
        <f t="shared" si="208"/>
        <v>0</v>
      </c>
    </row>
    <row r="946" spans="1:32" hidden="1" x14ac:dyDescent="0.25">
      <c r="A946" s="322" t="s">
        <v>2704</v>
      </c>
      <c r="B946" s="93" t="str">
        <f t="shared" si="217"/>
        <v>YES</v>
      </c>
      <c r="C946" s="93" t="s">
        <v>5503</v>
      </c>
      <c r="D946" s="4">
        <v>40255</v>
      </c>
      <c r="E946" s="2">
        <v>40330</v>
      </c>
      <c r="F946" s="2">
        <f t="shared" si="210"/>
        <v>43983</v>
      </c>
      <c r="G946" s="6">
        <v>40.700000000000003</v>
      </c>
      <c r="H946" s="7" t="s">
        <v>2705</v>
      </c>
      <c r="I946" s="7" t="s">
        <v>308</v>
      </c>
      <c r="J946" s="186"/>
      <c r="K946" s="266">
        <f t="shared" si="218"/>
        <v>2020</v>
      </c>
      <c r="L946" s="390" t="s">
        <v>5741</v>
      </c>
      <c r="M946" s="390" t="s">
        <v>5683</v>
      </c>
      <c r="N946" s="32" t="s">
        <v>2706</v>
      </c>
      <c r="O946" s="32" t="s">
        <v>2707</v>
      </c>
      <c r="P946" s="278"/>
      <c r="Q946" s="233" t="s">
        <v>6294</v>
      </c>
      <c r="R946" s="75">
        <v>288.5</v>
      </c>
      <c r="S946" s="75"/>
      <c r="T946" s="75">
        <v>288.5</v>
      </c>
      <c r="U946" s="200">
        <v>82</v>
      </c>
      <c r="V946" s="287">
        <f t="shared" ca="1" si="219"/>
        <v>10</v>
      </c>
      <c r="W946" s="75">
        <f t="shared" ca="1" si="220"/>
        <v>717.5</v>
      </c>
      <c r="X946" s="200">
        <f t="shared" ca="1" si="221"/>
        <v>944.5</v>
      </c>
      <c r="Y946" s="1"/>
      <c r="Z946" s="31">
        <v>0.1</v>
      </c>
      <c r="AA946" s="223"/>
      <c r="AB946" s="302" t="s">
        <v>6295</v>
      </c>
      <c r="AC946" s="302"/>
      <c r="AD946" s="302"/>
      <c r="AE946" s="302"/>
      <c r="AF946">
        <f t="shared" si="208"/>
        <v>0</v>
      </c>
    </row>
    <row r="947" spans="1:32" ht="26.25" hidden="1" x14ac:dyDescent="0.25">
      <c r="A947" s="322" t="s">
        <v>2708</v>
      </c>
      <c r="B947" s="93" t="str">
        <f t="shared" si="217"/>
        <v>YES</v>
      </c>
      <c r="C947" s="93" t="s">
        <v>5503</v>
      </c>
      <c r="D947" s="4">
        <v>40255</v>
      </c>
      <c r="E947" s="2">
        <v>40330</v>
      </c>
      <c r="F947" s="2">
        <f t="shared" si="210"/>
        <v>43983</v>
      </c>
      <c r="G947" s="6">
        <v>40</v>
      </c>
      <c r="H947" s="7" t="s">
        <v>2705</v>
      </c>
      <c r="I947" s="7" t="s">
        <v>308</v>
      </c>
      <c r="J947" s="186"/>
      <c r="K947" s="266">
        <f t="shared" si="218"/>
        <v>2020</v>
      </c>
      <c r="L947" s="390" t="s">
        <v>5783</v>
      </c>
      <c r="M947" s="390" t="s">
        <v>5840</v>
      </c>
      <c r="N947" s="32" t="s">
        <v>2709</v>
      </c>
      <c r="O947" s="32" t="s">
        <v>2710</v>
      </c>
      <c r="P947" s="278"/>
      <c r="Q947" s="233" t="s">
        <v>6296</v>
      </c>
      <c r="R947" s="75">
        <v>285</v>
      </c>
      <c r="S947" s="75">
        <v>480</v>
      </c>
      <c r="T947" s="75">
        <v>765</v>
      </c>
      <c r="U947" s="200">
        <v>80</v>
      </c>
      <c r="V947" s="287">
        <f t="shared" ca="1" si="219"/>
        <v>10</v>
      </c>
      <c r="W947" s="75">
        <f t="shared" ca="1" si="220"/>
        <v>700</v>
      </c>
      <c r="X947" s="200">
        <f t="shared" ca="1" si="221"/>
        <v>1405</v>
      </c>
      <c r="Y947" s="1"/>
      <c r="Z947" s="31">
        <v>0.1</v>
      </c>
      <c r="AA947" s="223"/>
      <c r="AB947" s="302" t="s">
        <v>6297</v>
      </c>
      <c r="AC947" s="302"/>
      <c r="AD947" s="302"/>
      <c r="AE947" s="302"/>
      <c r="AF947">
        <f t="shared" si="208"/>
        <v>0</v>
      </c>
    </row>
    <row r="948" spans="1:32" ht="26.25" hidden="1" x14ac:dyDescent="0.25">
      <c r="A948" s="322" t="s">
        <v>2711</v>
      </c>
      <c r="B948" s="93" t="str">
        <f t="shared" si="217"/>
        <v>YES</v>
      </c>
      <c r="C948" s="93" t="s">
        <v>5503</v>
      </c>
      <c r="D948" s="4">
        <v>40255</v>
      </c>
      <c r="E948" s="2">
        <v>40330</v>
      </c>
      <c r="F948" s="2">
        <f t="shared" si="210"/>
        <v>43983</v>
      </c>
      <c r="G948" s="6">
        <v>200</v>
      </c>
      <c r="H948" s="7" t="s">
        <v>2705</v>
      </c>
      <c r="I948" s="7" t="s">
        <v>308</v>
      </c>
      <c r="J948" s="186"/>
      <c r="K948" s="266">
        <f t="shared" si="218"/>
        <v>2020</v>
      </c>
      <c r="L948" s="390" t="s">
        <v>5783</v>
      </c>
      <c r="M948" s="390" t="s">
        <v>7574</v>
      </c>
      <c r="N948" s="32" t="s">
        <v>2712</v>
      </c>
      <c r="O948" s="32" t="s">
        <v>2713</v>
      </c>
      <c r="P948" s="278"/>
      <c r="Q948" s="233" t="s">
        <v>6298</v>
      </c>
      <c r="R948" s="75">
        <v>845</v>
      </c>
      <c r="S948" s="75"/>
      <c r="T948" s="75">
        <v>845</v>
      </c>
      <c r="U948" s="200">
        <v>400</v>
      </c>
      <c r="V948" s="287">
        <f t="shared" ca="1" si="219"/>
        <v>10</v>
      </c>
      <c r="W948" s="75">
        <f t="shared" ca="1" si="220"/>
        <v>3500</v>
      </c>
      <c r="X948" s="200">
        <f t="shared" ca="1" si="221"/>
        <v>4045</v>
      </c>
      <c r="Y948" s="1"/>
      <c r="Z948" s="31">
        <v>0.1</v>
      </c>
      <c r="AA948" s="223"/>
      <c r="AB948" s="302" t="s">
        <v>6299</v>
      </c>
      <c r="AC948" s="302"/>
      <c r="AD948" s="302"/>
      <c r="AE948" s="302"/>
      <c r="AF948">
        <f t="shared" si="208"/>
        <v>0</v>
      </c>
    </row>
    <row r="949" spans="1:32" hidden="1" x14ac:dyDescent="0.25">
      <c r="A949" s="322" t="s">
        <v>2714</v>
      </c>
      <c r="B949" s="93" t="str">
        <f t="shared" si="217"/>
        <v>YES</v>
      </c>
      <c r="C949" s="93" t="s">
        <v>5503</v>
      </c>
      <c r="D949" s="4">
        <v>40255</v>
      </c>
      <c r="E949" s="2">
        <v>40330</v>
      </c>
      <c r="F949" s="2">
        <f t="shared" si="210"/>
        <v>43983</v>
      </c>
      <c r="G949" s="6">
        <v>39.090000000000003</v>
      </c>
      <c r="H949" s="7" t="s">
        <v>2705</v>
      </c>
      <c r="I949" s="7" t="s">
        <v>308</v>
      </c>
      <c r="J949" s="186"/>
      <c r="K949" s="266">
        <f>YEAR(F949)</f>
        <v>2020</v>
      </c>
      <c r="L949" s="390" t="s">
        <v>7522</v>
      </c>
      <c r="M949" s="390" t="s">
        <v>5835</v>
      </c>
      <c r="N949" s="32" t="s">
        <v>2715</v>
      </c>
      <c r="O949" s="32" t="s">
        <v>2716</v>
      </c>
      <c r="P949" s="278"/>
      <c r="Q949" s="233" t="s">
        <v>6300</v>
      </c>
      <c r="R949" s="75">
        <v>285</v>
      </c>
      <c r="S949" s="75"/>
      <c r="T949" s="75">
        <v>285</v>
      </c>
      <c r="U949" s="200">
        <v>80</v>
      </c>
      <c r="V949" s="287">
        <f t="shared" ca="1" si="219"/>
        <v>10</v>
      </c>
      <c r="W949" s="75">
        <f t="shared" ca="1" si="220"/>
        <v>700</v>
      </c>
      <c r="X949" s="200">
        <f t="shared" ca="1" si="221"/>
        <v>925</v>
      </c>
      <c r="Y949" s="1"/>
      <c r="Z949" s="31">
        <v>0.1</v>
      </c>
      <c r="AA949" s="223"/>
      <c r="AB949" s="302" t="s">
        <v>6301</v>
      </c>
      <c r="AC949" s="302"/>
      <c r="AD949" s="302"/>
      <c r="AE949" s="302"/>
      <c r="AF949">
        <f t="shared" si="208"/>
        <v>0</v>
      </c>
    </row>
    <row r="950" spans="1:32" ht="26.25" hidden="1" x14ac:dyDescent="0.25">
      <c r="A950" s="322" t="s">
        <v>2717</v>
      </c>
      <c r="B950" s="93" t="str">
        <f t="shared" si="217"/>
        <v>YES</v>
      </c>
      <c r="C950" s="93" t="s">
        <v>5503</v>
      </c>
      <c r="D950" s="4">
        <v>40255</v>
      </c>
      <c r="E950" s="2">
        <v>40330</v>
      </c>
      <c r="F950" s="2">
        <f t="shared" si="210"/>
        <v>43983</v>
      </c>
      <c r="G950" s="6">
        <v>40</v>
      </c>
      <c r="H950" s="7" t="s">
        <v>307</v>
      </c>
      <c r="I950" s="7" t="s">
        <v>308</v>
      </c>
      <c r="J950" s="186"/>
      <c r="K950" s="266">
        <f t="shared" si="218"/>
        <v>2020</v>
      </c>
      <c r="L950" s="390" t="s">
        <v>6178</v>
      </c>
      <c r="M950" s="390" t="s">
        <v>5577</v>
      </c>
      <c r="N950" s="32" t="s">
        <v>2718</v>
      </c>
      <c r="O950" s="32" t="s">
        <v>2719</v>
      </c>
      <c r="P950" s="278"/>
      <c r="Q950" s="235" t="s">
        <v>6342</v>
      </c>
      <c r="R950" s="75">
        <v>285</v>
      </c>
      <c r="S950" s="75">
        <v>320</v>
      </c>
      <c r="T950" s="75">
        <v>605</v>
      </c>
      <c r="U950" s="200">
        <v>80</v>
      </c>
      <c r="V950" s="287">
        <f t="shared" ca="1" si="219"/>
        <v>10</v>
      </c>
      <c r="W950" s="75">
        <f t="shared" ca="1" si="220"/>
        <v>700</v>
      </c>
      <c r="X950" s="200">
        <f t="shared" ca="1" si="221"/>
        <v>1245</v>
      </c>
      <c r="Y950" s="1"/>
      <c r="Z950" s="31">
        <v>0.1</v>
      </c>
      <c r="AA950" s="223"/>
      <c r="AB950" s="302" t="s">
        <v>6343</v>
      </c>
      <c r="AC950" s="302"/>
      <c r="AD950" s="302"/>
      <c r="AE950" s="302"/>
      <c r="AF950">
        <f t="shared" si="208"/>
        <v>0</v>
      </c>
    </row>
    <row r="951" spans="1:32" ht="26.25" hidden="1" x14ac:dyDescent="0.25">
      <c r="A951" s="322" t="s">
        <v>2720</v>
      </c>
      <c r="B951" s="93" t="str">
        <f t="shared" si="217"/>
        <v>YES</v>
      </c>
      <c r="C951" s="93" t="s">
        <v>5503</v>
      </c>
      <c r="D951" s="4">
        <v>40255</v>
      </c>
      <c r="E951" s="2">
        <v>40330</v>
      </c>
      <c r="F951" s="2">
        <f t="shared" si="210"/>
        <v>43983</v>
      </c>
      <c r="G951" s="6">
        <v>57.26</v>
      </c>
      <c r="H951" s="7" t="s">
        <v>307</v>
      </c>
      <c r="I951" s="7" t="s">
        <v>308</v>
      </c>
      <c r="J951" s="186"/>
      <c r="K951" s="266">
        <f t="shared" si="218"/>
        <v>2020</v>
      </c>
      <c r="L951" s="390" t="s">
        <v>6178</v>
      </c>
      <c r="M951" s="390" t="s">
        <v>5796</v>
      </c>
      <c r="N951" s="32" t="s">
        <v>2721</v>
      </c>
      <c r="O951" s="32" t="s">
        <v>2722</v>
      </c>
      <c r="P951" s="278"/>
      <c r="Q951" s="235" t="s">
        <v>6346</v>
      </c>
      <c r="R951" s="75">
        <v>348</v>
      </c>
      <c r="S951" s="75">
        <v>3364</v>
      </c>
      <c r="T951" s="75">
        <v>3712</v>
      </c>
      <c r="U951" s="200">
        <v>116</v>
      </c>
      <c r="V951" s="287">
        <f t="shared" ca="1" si="219"/>
        <v>10</v>
      </c>
      <c r="W951" s="75">
        <f t="shared" ca="1" si="220"/>
        <v>1015</v>
      </c>
      <c r="X951" s="200">
        <f t="shared" ca="1" si="221"/>
        <v>4640</v>
      </c>
      <c r="Y951" s="1"/>
      <c r="Z951" s="31">
        <v>0.1</v>
      </c>
      <c r="AA951" s="223"/>
      <c r="AB951" s="302" t="s">
        <v>6347</v>
      </c>
      <c r="AC951" s="302"/>
      <c r="AD951" s="302"/>
      <c r="AE951" s="302"/>
      <c r="AF951">
        <f t="shared" si="208"/>
        <v>0</v>
      </c>
    </row>
    <row r="952" spans="1:32" ht="26.25" hidden="1" x14ac:dyDescent="0.25">
      <c r="A952" s="322" t="s">
        <v>2723</v>
      </c>
      <c r="B952" s="93" t="str">
        <f t="shared" si="217"/>
        <v>NO</v>
      </c>
      <c r="C952" s="93" t="s">
        <v>5503</v>
      </c>
      <c r="D952" s="4">
        <v>40255</v>
      </c>
      <c r="E952" s="2">
        <v>40330</v>
      </c>
      <c r="F952" s="2">
        <f t="shared" si="210"/>
        <v>43983</v>
      </c>
      <c r="G952" s="6">
        <v>154.30000000000001</v>
      </c>
      <c r="H952" s="7"/>
      <c r="I952" s="7" t="s">
        <v>308</v>
      </c>
      <c r="J952" s="105" t="s">
        <v>2724</v>
      </c>
      <c r="K952" s="266">
        <f t="shared" si="218"/>
        <v>2020</v>
      </c>
      <c r="L952" s="381"/>
      <c r="M952" s="381"/>
      <c r="N952" s="32"/>
      <c r="O952" s="32"/>
      <c r="P952" s="278"/>
      <c r="Q952" s="233">
        <v>9</v>
      </c>
      <c r="R952" s="75">
        <v>687.5</v>
      </c>
      <c r="S952" s="75"/>
      <c r="T952" s="75">
        <v>687.5</v>
      </c>
      <c r="U952" s="200">
        <v>232.5</v>
      </c>
      <c r="V952" s="287">
        <f t="shared" ca="1" si="219"/>
        <v>10</v>
      </c>
      <c r="W952" s="75">
        <f t="shared" ca="1" si="220"/>
        <v>2712.5</v>
      </c>
      <c r="X952" s="200">
        <f t="shared" ca="1" si="221"/>
        <v>3167.5</v>
      </c>
      <c r="Y952" s="1"/>
      <c r="Z952" s="31">
        <v>0.1</v>
      </c>
      <c r="AA952" s="223"/>
      <c r="AB952" s="302"/>
      <c r="AC952" s="302"/>
      <c r="AD952" s="302"/>
      <c r="AE952" s="302"/>
      <c r="AF952">
        <f t="shared" si="208"/>
        <v>0</v>
      </c>
    </row>
    <row r="953" spans="1:32" ht="26.25" hidden="1" x14ac:dyDescent="0.25">
      <c r="A953" s="322" t="s">
        <v>2725</v>
      </c>
      <c r="B953" s="93" t="str">
        <f t="shared" si="217"/>
        <v>YES</v>
      </c>
      <c r="C953" s="93" t="s">
        <v>5503</v>
      </c>
      <c r="D953" s="4">
        <v>40255</v>
      </c>
      <c r="E953" s="2">
        <v>40330</v>
      </c>
      <c r="F953" s="2">
        <f t="shared" si="210"/>
        <v>43983</v>
      </c>
      <c r="G953" s="6">
        <v>600.4</v>
      </c>
      <c r="H953" s="7" t="s">
        <v>2726</v>
      </c>
      <c r="I953" s="7" t="s">
        <v>308</v>
      </c>
      <c r="J953" s="186"/>
      <c r="K953" s="266">
        <f t="shared" si="218"/>
        <v>2020</v>
      </c>
      <c r="L953" s="390" t="s">
        <v>7582</v>
      </c>
      <c r="M953" s="390" t="s">
        <v>6140</v>
      </c>
      <c r="N953" s="32" t="s">
        <v>2727</v>
      </c>
      <c r="O953" s="32" t="s">
        <v>2728</v>
      </c>
      <c r="P953" s="278"/>
      <c r="Q953" s="233">
        <v>10</v>
      </c>
      <c r="R953" s="75">
        <v>2248.5</v>
      </c>
      <c r="S953" s="75">
        <v>40868</v>
      </c>
      <c r="T953" s="75">
        <v>43116.5</v>
      </c>
      <c r="U953" s="200">
        <v>1202</v>
      </c>
      <c r="V953" s="287">
        <f t="shared" ca="1" si="219"/>
        <v>10</v>
      </c>
      <c r="W953" s="75">
        <f t="shared" ca="1" si="220"/>
        <v>10517.5</v>
      </c>
      <c r="X953" s="200">
        <f t="shared" ca="1" si="221"/>
        <v>52732.5</v>
      </c>
      <c r="Y953" s="1"/>
      <c r="Z953" s="31">
        <v>0.1</v>
      </c>
      <c r="AA953" s="223"/>
      <c r="AB953" s="302"/>
      <c r="AC953" s="302"/>
      <c r="AD953" s="302"/>
      <c r="AE953" s="302"/>
      <c r="AF953">
        <f t="shared" si="208"/>
        <v>0</v>
      </c>
    </row>
    <row r="954" spans="1:32" hidden="1" x14ac:dyDescent="0.25">
      <c r="A954" s="322" t="s">
        <v>2729</v>
      </c>
      <c r="B954" s="93" t="str">
        <f t="shared" si="217"/>
        <v>YES</v>
      </c>
      <c r="C954" s="93" t="s">
        <v>5503</v>
      </c>
      <c r="D954" s="4">
        <v>40255</v>
      </c>
      <c r="E954" s="2">
        <v>40330</v>
      </c>
      <c r="F954" s="2">
        <f t="shared" si="210"/>
        <v>43983</v>
      </c>
      <c r="G954" s="6">
        <v>37.9</v>
      </c>
      <c r="H954" s="7" t="s">
        <v>866</v>
      </c>
      <c r="I954" s="7" t="s">
        <v>308</v>
      </c>
      <c r="J954" s="186"/>
      <c r="K954" s="266">
        <f t="shared" si="218"/>
        <v>2020</v>
      </c>
      <c r="L954" s="390" t="s">
        <v>6006</v>
      </c>
      <c r="M954" s="390" t="s">
        <v>5683</v>
      </c>
      <c r="N954" s="32" t="s">
        <v>2730</v>
      </c>
      <c r="O954" s="32" t="s">
        <v>2731</v>
      </c>
      <c r="P954" s="278"/>
      <c r="Q954" s="233" t="s">
        <v>6350</v>
      </c>
      <c r="R954" s="75">
        <v>278</v>
      </c>
      <c r="S954" s="75"/>
      <c r="T954" s="75">
        <v>278</v>
      </c>
      <c r="U954" s="200">
        <v>76</v>
      </c>
      <c r="V954" s="287">
        <f t="shared" ca="1" si="219"/>
        <v>10</v>
      </c>
      <c r="W954" s="75">
        <f t="shared" ca="1" si="220"/>
        <v>665</v>
      </c>
      <c r="X954" s="200">
        <f t="shared" ca="1" si="221"/>
        <v>886</v>
      </c>
      <c r="Y954" s="1"/>
      <c r="Z954" s="31">
        <v>0.1</v>
      </c>
      <c r="AA954" s="223"/>
      <c r="AB954" s="302" t="s">
        <v>6826</v>
      </c>
      <c r="AC954" s="302"/>
      <c r="AD954" s="302"/>
      <c r="AE954" s="302"/>
      <c r="AF954">
        <f t="shared" si="208"/>
        <v>0</v>
      </c>
    </row>
    <row r="955" spans="1:32" ht="26.25" hidden="1" x14ac:dyDescent="0.25">
      <c r="A955" s="322" t="s">
        <v>2732</v>
      </c>
      <c r="B955" s="93" t="str">
        <f t="shared" si="217"/>
        <v>YES</v>
      </c>
      <c r="C955" s="93" t="s">
        <v>5503</v>
      </c>
      <c r="D955" s="4">
        <v>40255</v>
      </c>
      <c r="E955" s="2">
        <v>40330</v>
      </c>
      <c r="F955" s="2">
        <f t="shared" si="210"/>
        <v>43983</v>
      </c>
      <c r="G955" s="6">
        <v>213.01</v>
      </c>
      <c r="H955" s="7" t="s">
        <v>2726</v>
      </c>
      <c r="I955" s="7" t="s">
        <v>308</v>
      </c>
      <c r="J955" s="186"/>
      <c r="K955" s="266">
        <f t="shared" si="218"/>
        <v>2020</v>
      </c>
      <c r="L955" s="390" t="s">
        <v>6180</v>
      </c>
      <c r="M955" s="390" t="s">
        <v>7537</v>
      </c>
      <c r="N955" s="32" t="s">
        <v>2733</v>
      </c>
      <c r="O955" s="32" t="s">
        <v>2734</v>
      </c>
      <c r="P955" s="278"/>
      <c r="Q955" s="233">
        <v>13</v>
      </c>
      <c r="R955" s="75">
        <v>852</v>
      </c>
      <c r="S955" s="75">
        <v>23836</v>
      </c>
      <c r="T955" s="75">
        <v>24688</v>
      </c>
      <c r="U955" s="200">
        <v>428</v>
      </c>
      <c r="V955" s="287">
        <f t="shared" ca="1" si="219"/>
        <v>10</v>
      </c>
      <c r="W955" s="75">
        <f t="shared" ca="1" si="220"/>
        <v>3745</v>
      </c>
      <c r="X955" s="200">
        <f t="shared" ca="1" si="221"/>
        <v>28112</v>
      </c>
      <c r="Y955" s="1"/>
      <c r="Z955" s="31">
        <v>0.1</v>
      </c>
      <c r="AA955" s="223"/>
      <c r="AB955" s="302"/>
      <c r="AC955" s="302"/>
      <c r="AD955" s="302"/>
      <c r="AE955" s="302"/>
      <c r="AF955">
        <f t="shared" si="208"/>
        <v>0</v>
      </c>
    </row>
    <row r="956" spans="1:32" ht="26.25" hidden="1" x14ac:dyDescent="0.25">
      <c r="A956" s="322" t="s">
        <v>2735</v>
      </c>
      <c r="B956" s="93" t="str">
        <f t="shared" si="217"/>
        <v>YES</v>
      </c>
      <c r="C956" s="93" t="s">
        <v>5503</v>
      </c>
      <c r="D956" s="4">
        <v>40255</v>
      </c>
      <c r="E956" s="2">
        <v>40330</v>
      </c>
      <c r="F956" s="2">
        <f t="shared" si="210"/>
        <v>43983</v>
      </c>
      <c r="G956" s="6">
        <v>400</v>
      </c>
      <c r="H956" s="7" t="s">
        <v>2736</v>
      </c>
      <c r="I956" s="7" t="s">
        <v>86</v>
      </c>
      <c r="J956" s="186"/>
      <c r="K956" s="266">
        <f t="shared" si="218"/>
        <v>2020</v>
      </c>
      <c r="L956" s="301" t="s">
        <v>5910</v>
      </c>
      <c r="M956" s="301" t="s">
        <v>7584</v>
      </c>
      <c r="N956" s="32" t="s">
        <v>2737</v>
      </c>
      <c r="O956" s="32" t="s">
        <v>2738</v>
      </c>
      <c r="P956" s="278"/>
      <c r="Q956" s="233">
        <v>50</v>
      </c>
      <c r="R956" s="75">
        <v>1545</v>
      </c>
      <c r="S956" s="75">
        <v>4800</v>
      </c>
      <c r="T956" s="75">
        <v>6345</v>
      </c>
      <c r="U956" s="200">
        <v>800</v>
      </c>
      <c r="V956" s="287">
        <f t="shared" ca="1" si="219"/>
        <v>10</v>
      </c>
      <c r="W956" s="75">
        <f t="shared" ca="1" si="220"/>
        <v>7000</v>
      </c>
      <c r="X956" s="200">
        <f t="shared" ca="1" si="221"/>
        <v>12745</v>
      </c>
      <c r="Y956" s="1"/>
      <c r="Z956" s="31">
        <v>0.1</v>
      </c>
      <c r="AA956" s="223"/>
      <c r="AB956" s="302" t="s">
        <v>6827</v>
      </c>
      <c r="AC956" s="302"/>
      <c r="AD956" s="302"/>
      <c r="AE956" s="302"/>
      <c r="AF956">
        <f t="shared" si="208"/>
        <v>0</v>
      </c>
    </row>
    <row r="957" spans="1:32" ht="26.25" hidden="1" x14ac:dyDescent="0.25">
      <c r="A957" s="322" t="s">
        <v>2739</v>
      </c>
      <c r="B957" s="93" t="str">
        <f t="shared" si="217"/>
        <v>YES</v>
      </c>
      <c r="C957" s="93" t="s">
        <v>5503</v>
      </c>
      <c r="D957" s="4">
        <v>40255</v>
      </c>
      <c r="E957" s="2">
        <v>40330</v>
      </c>
      <c r="F957" s="2">
        <f t="shared" si="210"/>
        <v>43983</v>
      </c>
      <c r="G957" s="6">
        <v>160</v>
      </c>
      <c r="H957" s="7" t="s">
        <v>97</v>
      </c>
      <c r="I957" s="7" t="s">
        <v>86</v>
      </c>
      <c r="J957" s="186"/>
      <c r="K957" s="266">
        <f t="shared" si="218"/>
        <v>2020</v>
      </c>
      <c r="L957" s="301" t="s">
        <v>5863</v>
      </c>
      <c r="M957" s="301" t="s">
        <v>7536</v>
      </c>
      <c r="N957" s="32" t="s">
        <v>2740</v>
      </c>
      <c r="O957" s="32" t="s">
        <v>2741</v>
      </c>
      <c r="P957" s="278"/>
      <c r="Q957" s="233">
        <v>52</v>
      </c>
      <c r="R957" s="75">
        <v>705</v>
      </c>
      <c r="S957" s="75">
        <v>71680</v>
      </c>
      <c r="T957" s="75">
        <v>72385</v>
      </c>
      <c r="U957" s="200">
        <v>320</v>
      </c>
      <c r="V957" s="287">
        <f t="shared" ca="1" si="219"/>
        <v>10</v>
      </c>
      <c r="W957" s="75">
        <f t="shared" ca="1" si="220"/>
        <v>2800</v>
      </c>
      <c r="X957" s="200">
        <f t="shared" ca="1" si="221"/>
        <v>74945</v>
      </c>
      <c r="Y957" s="1"/>
      <c r="Z957" s="31">
        <v>0.1</v>
      </c>
      <c r="AA957" s="223"/>
      <c r="AB957" s="302" t="s">
        <v>6828</v>
      </c>
      <c r="AC957" s="302"/>
      <c r="AD957" s="302"/>
      <c r="AE957" s="302"/>
      <c r="AF957">
        <f t="shared" si="208"/>
        <v>0</v>
      </c>
    </row>
    <row r="958" spans="1:32" ht="26.25" hidden="1" x14ac:dyDescent="0.25">
      <c r="A958" s="322" t="s">
        <v>2742</v>
      </c>
      <c r="B958" s="93" t="str">
        <f t="shared" si="217"/>
        <v>YES</v>
      </c>
      <c r="C958" s="93" t="s">
        <v>5503</v>
      </c>
      <c r="D958" s="4">
        <v>40255</v>
      </c>
      <c r="E958" s="2">
        <v>40330</v>
      </c>
      <c r="F958" s="2">
        <f t="shared" si="210"/>
        <v>43983</v>
      </c>
      <c r="G958" s="6">
        <v>173.33</v>
      </c>
      <c r="H958" s="7" t="s">
        <v>2743</v>
      </c>
      <c r="I958" s="7" t="s">
        <v>86</v>
      </c>
      <c r="J958" s="186"/>
      <c r="K958" s="266">
        <f t="shared" si="218"/>
        <v>2020</v>
      </c>
      <c r="L958" s="301" t="s">
        <v>5834</v>
      </c>
      <c r="M958" s="301" t="s">
        <v>7583</v>
      </c>
      <c r="N958" s="32" t="s">
        <v>2744</v>
      </c>
      <c r="O958" s="32" t="s">
        <v>2745</v>
      </c>
      <c r="P958" s="278"/>
      <c r="Q958" s="233">
        <v>54</v>
      </c>
      <c r="R958" s="75">
        <v>754</v>
      </c>
      <c r="S958" s="75"/>
      <c r="T958" s="75">
        <v>754</v>
      </c>
      <c r="U958" s="200">
        <v>348</v>
      </c>
      <c r="V958" s="287">
        <f t="shared" ca="1" si="219"/>
        <v>10</v>
      </c>
      <c r="W958" s="75">
        <f t="shared" ca="1" si="220"/>
        <v>3045</v>
      </c>
      <c r="X958" s="200">
        <f t="shared" ca="1" si="221"/>
        <v>3538</v>
      </c>
      <c r="Y958" s="1"/>
      <c r="Z958" s="31">
        <v>0.1</v>
      </c>
      <c r="AA958" s="223"/>
      <c r="AB958" s="302" t="s">
        <v>6829</v>
      </c>
      <c r="AC958" s="302"/>
      <c r="AD958" s="302"/>
      <c r="AE958" s="302"/>
      <c r="AF958">
        <f t="shared" si="208"/>
        <v>0</v>
      </c>
    </row>
    <row r="959" spans="1:32" ht="26.25" hidden="1" x14ac:dyDescent="0.25">
      <c r="A959" s="322" t="s">
        <v>2746</v>
      </c>
      <c r="B959" s="93" t="str">
        <f t="shared" si="217"/>
        <v>YES</v>
      </c>
      <c r="C959" s="93" t="s">
        <v>5503</v>
      </c>
      <c r="D959" s="4">
        <v>40255</v>
      </c>
      <c r="E959" s="2">
        <v>40330</v>
      </c>
      <c r="F959" s="2">
        <f t="shared" si="210"/>
        <v>43983</v>
      </c>
      <c r="G959" s="6">
        <v>197.56</v>
      </c>
      <c r="H959" s="7" t="s">
        <v>2747</v>
      </c>
      <c r="I959" s="7" t="s">
        <v>2748</v>
      </c>
      <c r="J959" s="186"/>
      <c r="K959" s="266">
        <f t="shared" si="218"/>
        <v>2020</v>
      </c>
      <c r="L959" s="390" t="s">
        <v>7585</v>
      </c>
      <c r="M959" s="390" t="s">
        <v>7586</v>
      </c>
      <c r="N959" s="32" t="s">
        <v>2749</v>
      </c>
      <c r="O959" s="32" t="s">
        <v>2750</v>
      </c>
      <c r="P959" s="278"/>
      <c r="Q959" s="233">
        <v>56</v>
      </c>
      <c r="R959" s="75">
        <v>838</v>
      </c>
      <c r="S959" s="75">
        <v>13464</v>
      </c>
      <c r="T959" s="75">
        <v>14302</v>
      </c>
      <c r="U959" s="200">
        <v>396</v>
      </c>
      <c r="V959" s="287">
        <f t="shared" ca="1" si="219"/>
        <v>10</v>
      </c>
      <c r="W959" s="75">
        <f t="shared" ca="1" si="220"/>
        <v>3465</v>
      </c>
      <c r="X959" s="200">
        <f t="shared" ca="1" si="221"/>
        <v>17470</v>
      </c>
      <c r="Y959" s="1"/>
      <c r="Z959" s="31">
        <v>0.1</v>
      </c>
      <c r="AA959" s="223"/>
      <c r="AB959" s="302" t="s">
        <v>6830</v>
      </c>
      <c r="AC959" s="302"/>
      <c r="AD959" s="302"/>
      <c r="AE959" s="302"/>
      <c r="AF959">
        <f t="shared" si="208"/>
        <v>0</v>
      </c>
    </row>
    <row r="960" spans="1:32" ht="26.25" hidden="1" customHeight="1" x14ac:dyDescent="0.25">
      <c r="A960" s="322" t="s">
        <v>2751</v>
      </c>
      <c r="B960" s="93" t="str">
        <f t="shared" si="217"/>
        <v>YES</v>
      </c>
      <c r="C960" s="93" t="s">
        <v>5503</v>
      </c>
      <c r="D960" s="4">
        <v>40255</v>
      </c>
      <c r="E960" s="2">
        <v>40330</v>
      </c>
      <c r="F960" s="2">
        <f t="shared" si="210"/>
        <v>43983</v>
      </c>
      <c r="G960" s="6">
        <v>145.52000000000001</v>
      </c>
      <c r="H960" s="7" t="s">
        <v>2747</v>
      </c>
      <c r="I960" s="7" t="s">
        <v>2748</v>
      </c>
      <c r="J960" s="105" t="s">
        <v>5277</v>
      </c>
      <c r="K960" s="266">
        <f t="shared" si="218"/>
        <v>2020</v>
      </c>
      <c r="L960" s="390" t="s">
        <v>5885</v>
      </c>
      <c r="M960" s="390" t="s">
        <v>5508</v>
      </c>
      <c r="N960" s="32" t="s">
        <v>2752</v>
      </c>
      <c r="O960" s="32" t="s">
        <v>2753</v>
      </c>
      <c r="P960" s="278"/>
      <c r="Q960" s="233">
        <v>57</v>
      </c>
      <c r="R960" s="75">
        <v>656</v>
      </c>
      <c r="S960" s="75">
        <v>10658</v>
      </c>
      <c r="T960" s="75">
        <v>11314</v>
      </c>
      <c r="U960" s="200">
        <v>292</v>
      </c>
      <c r="V960" s="287">
        <f t="shared" ca="1" si="219"/>
        <v>10</v>
      </c>
      <c r="W960" s="75">
        <f t="shared" ca="1" si="220"/>
        <v>2555</v>
      </c>
      <c r="X960" s="200">
        <f t="shared" ca="1" si="221"/>
        <v>13650</v>
      </c>
      <c r="Y960" s="1"/>
      <c r="Z960" s="31">
        <v>0.1</v>
      </c>
      <c r="AA960" s="223"/>
      <c r="AB960" s="302" t="s">
        <v>6831</v>
      </c>
      <c r="AC960" s="310">
        <v>43193</v>
      </c>
      <c r="AD960" s="311">
        <v>0.2</v>
      </c>
      <c r="AE960" s="312" t="s">
        <v>6225</v>
      </c>
      <c r="AF960">
        <f t="shared" si="208"/>
        <v>0</v>
      </c>
    </row>
    <row r="961" spans="1:32" hidden="1" x14ac:dyDescent="0.25">
      <c r="A961" s="322" t="s">
        <v>2754</v>
      </c>
      <c r="B961" s="93" t="str">
        <f t="shared" si="217"/>
        <v>YES</v>
      </c>
      <c r="C961" s="93" t="s">
        <v>5503</v>
      </c>
      <c r="D961" s="4">
        <v>40255</v>
      </c>
      <c r="E961" s="2">
        <v>40330</v>
      </c>
      <c r="F961" s="2">
        <f t="shared" si="210"/>
        <v>43983</v>
      </c>
      <c r="G961" s="6">
        <v>30.23</v>
      </c>
      <c r="H961" s="7" t="s">
        <v>2747</v>
      </c>
      <c r="I961" s="7" t="s">
        <v>2748</v>
      </c>
      <c r="J961" s="186"/>
      <c r="K961" s="266">
        <f t="shared" si="218"/>
        <v>2020</v>
      </c>
      <c r="L961" s="390" t="s">
        <v>5885</v>
      </c>
      <c r="M961" s="390" t="s">
        <v>5508</v>
      </c>
      <c r="N961" s="32" t="s">
        <v>2755</v>
      </c>
      <c r="O961" s="32" t="s">
        <v>2756</v>
      </c>
      <c r="P961" s="278"/>
      <c r="Q961" s="233">
        <v>58</v>
      </c>
      <c r="R961" s="75">
        <v>253.5</v>
      </c>
      <c r="S961" s="75">
        <v>558</v>
      </c>
      <c r="T961" s="75">
        <v>811.5</v>
      </c>
      <c r="U961" s="200">
        <v>62</v>
      </c>
      <c r="V961" s="287">
        <f t="shared" ca="1" si="219"/>
        <v>10</v>
      </c>
      <c r="W961" s="75">
        <f t="shared" ca="1" si="220"/>
        <v>542.5</v>
      </c>
      <c r="X961" s="200">
        <f t="shared" ca="1" si="221"/>
        <v>1307.5</v>
      </c>
      <c r="Y961" s="1"/>
      <c r="Z961" s="31">
        <v>0.1</v>
      </c>
      <c r="AA961" s="223"/>
      <c r="AB961" s="302" t="s">
        <v>6832</v>
      </c>
      <c r="AC961" s="302"/>
      <c r="AD961" s="302"/>
      <c r="AE961" s="302"/>
      <c r="AF961">
        <f t="shared" si="208"/>
        <v>0</v>
      </c>
    </row>
    <row r="962" spans="1:32" ht="26.25" hidden="1" x14ac:dyDescent="0.25">
      <c r="A962" s="322" t="s">
        <v>2757</v>
      </c>
      <c r="B962" s="93" t="str">
        <f t="shared" si="217"/>
        <v>YES</v>
      </c>
      <c r="C962" s="93" t="s">
        <v>5503</v>
      </c>
      <c r="D962" s="4">
        <v>40255</v>
      </c>
      <c r="E962" s="2">
        <v>40330</v>
      </c>
      <c r="F962" s="2">
        <f t="shared" si="210"/>
        <v>43983</v>
      </c>
      <c r="G962" s="6">
        <v>1029.5899999999999</v>
      </c>
      <c r="H962" s="7" t="s">
        <v>2758</v>
      </c>
      <c r="I962" s="7" t="s">
        <v>2748</v>
      </c>
      <c r="J962" s="186"/>
      <c r="K962" s="266">
        <f t="shared" si="218"/>
        <v>2020</v>
      </c>
      <c r="L962" s="390" t="s">
        <v>5793</v>
      </c>
      <c r="M962" s="390" t="s">
        <v>5796</v>
      </c>
      <c r="N962" s="32" t="s">
        <v>2759</v>
      </c>
      <c r="O962" s="32" t="s">
        <v>2760</v>
      </c>
      <c r="P962" s="278"/>
      <c r="Q962" s="233">
        <v>59</v>
      </c>
      <c r="R962" s="75">
        <v>3750</v>
      </c>
      <c r="S962" s="75"/>
      <c r="T962" s="75">
        <v>3750</v>
      </c>
      <c r="U962" s="200">
        <v>2060</v>
      </c>
      <c r="V962" s="287">
        <f t="shared" ca="1" si="219"/>
        <v>10</v>
      </c>
      <c r="W962" s="75">
        <f t="shared" ca="1" si="220"/>
        <v>18025</v>
      </c>
      <c r="X962" s="200">
        <f t="shared" ca="1" si="221"/>
        <v>20230</v>
      </c>
      <c r="Y962" s="1"/>
      <c r="Z962" s="31">
        <v>0.1</v>
      </c>
      <c r="AA962" s="223"/>
      <c r="AB962" s="302" t="s">
        <v>6833</v>
      </c>
      <c r="AC962" s="302"/>
      <c r="AD962" s="302"/>
      <c r="AE962" s="302"/>
      <c r="AF962">
        <f t="shared" si="208"/>
        <v>0</v>
      </c>
    </row>
    <row r="963" spans="1:32" hidden="1" x14ac:dyDescent="0.25">
      <c r="A963" s="322" t="s">
        <v>2761</v>
      </c>
      <c r="B963" s="93" t="str">
        <f t="shared" si="217"/>
        <v>YES</v>
      </c>
      <c r="C963" s="93" t="s">
        <v>5503</v>
      </c>
      <c r="D963" s="4">
        <v>40255</v>
      </c>
      <c r="E963" s="2">
        <v>40330</v>
      </c>
      <c r="F963" s="2">
        <f t="shared" si="210"/>
        <v>43983</v>
      </c>
      <c r="G963" s="6">
        <v>630.61</v>
      </c>
      <c r="H963" s="7" t="s">
        <v>2758</v>
      </c>
      <c r="I963" s="7" t="s">
        <v>2748</v>
      </c>
      <c r="J963" s="186"/>
      <c r="K963" s="266">
        <f t="shared" si="218"/>
        <v>2020</v>
      </c>
      <c r="L963" s="390" t="s">
        <v>5519</v>
      </c>
      <c r="M963" s="390" t="s">
        <v>5805</v>
      </c>
      <c r="N963" s="32" t="s">
        <v>2762</v>
      </c>
      <c r="O963" s="32" t="s">
        <v>2763</v>
      </c>
      <c r="P963" s="278"/>
      <c r="Q963" s="233">
        <v>60</v>
      </c>
      <c r="R963" s="75">
        <v>2353.5</v>
      </c>
      <c r="S963" s="75"/>
      <c r="T963" s="75">
        <v>2353.5</v>
      </c>
      <c r="U963" s="200">
        <v>1262</v>
      </c>
      <c r="V963" s="287">
        <f t="shared" ca="1" si="219"/>
        <v>10</v>
      </c>
      <c r="W963" s="75">
        <f t="shared" ca="1" si="220"/>
        <v>11042.5</v>
      </c>
      <c r="X963" s="200">
        <f t="shared" ca="1" si="221"/>
        <v>12449.5</v>
      </c>
      <c r="Y963" s="1"/>
      <c r="Z963" s="31">
        <v>0.1</v>
      </c>
      <c r="AA963" s="223"/>
      <c r="AB963" s="302" t="s">
        <v>6834</v>
      </c>
      <c r="AC963" s="302"/>
      <c r="AD963" s="302"/>
      <c r="AE963" s="302"/>
      <c r="AF963">
        <f t="shared" si="208"/>
        <v>0</v>
      </c>
    </row>
    <row r="964" spans="1:32" ht="26.25" hidden="1" x14ac:dyDescent="0.25">
      <c r="A964" s="322" t="s">
        <v>2764</v>
      </c>
      <c r="B964" s="93" t="str">
        <f t="shared" si="217"/>
        <v>YES</v>
      </c>
      <c r="C964" s="93" t="s">
        <v>5503</v>
      </c>
      <c r="D964" s="4">
        <v>40255</v>
      </c>
      <c r="E964" s="2">
        <v>40330</v>
      </c>
      <c r="F964" s="2">
        <f t="shared" si="210"/>
        <v>43983</v>
      </c>
      <c r="G964" s="6">
        <v>80</v>
      </c>
      <c r="H964" s="7" t="s">
        <v>2758</v>
      </c>
      <c r="I964" s="7" t="s">
        <v>2748</v>
      </c>
      <c r="J964" s="105" t="s">
        <v>2766</v>
      </c>
      <c r="K964" s="266">
        <f t="shared" si="218"/>
        <v>2020</v>
      </c>
      <c r="L964" s="381"/>
      <c r="M964" s="381"/>
      <c r="N964" s="32" t="s">
        <v>2762</v>
      </c>
      <c r="O964" s="32" t="s">
        <v>2765</v>
      </c>
      <c r="P964" s="278"/>
      <c r="Q964" s="233">
        <v>61</v>
      </c>
      <c r="R964" s="75">
        <v>425</v>
      </c>
      <c r="S964" s="75"/>
      <c r="T964" s="75">
        <v>425</v>
      </c>
      <c r="U964" s="200">
        <v>120</v>
      </c>
      <c r="V964" s="287">
        <f t="shared" ca="1" si="219"/>
        <v>10</v>
      </c>
      <c r="W964" s="75">
        <f t="shared" ca="1" si="220"/>
        <v>1400</v>
      </c>
      <c r="X964" s="200">
        <f t="shared" ca="1" si="221"/>
        <v>1705</v>
      </c>
      <c r="Y964" s="1"/>
      <c r="Z964" s="31">
        <v>0.1</v>
      </c>
      <c r="AA964" s="223"/>
      <c r="AB964" s="302" t="s">
        <v>6835</v>
      </c>
      <c r="AC964" s="302"/>
      <c r="AD964" s="302"/>
      <c r="AE964" s="302"/>
      <c r="AF964">
        <f t="shared" si="208"/>
        <v>0</v>
      </c>
    </row>
    <row r="965" spans="1:32" ht="26.25" hidden="1" x14ac:dyDescent="0.25">
      <c r="A965" s="322" t="s">
        <v>2767</v>
      </c>
      <c r="B965" s="93" t="str">
        <f t="shared" si="217"/>
        <v>YES</v>
      </c>
      <c r="C965" s="93" t="s">
        <v>5503</v>
      </c>
      <c r="D965" s="4">
        <v>40255</v>
      </c>
      <c r="E965" s="2">
        <v>40330</v>
      </c>
      <c r="F965" s="2">
        <f t="shared" si="210"/>
        <v>43983</v>
      </c>
      <c r="G965" s="6">
        <v>460.25</v>
      </c>
      <c r="H965" s="7" t="s">
        <v>2768</v>
      </c>
      <c r="I965" s="7" t="s">
        <v>2748</v>
      </c>
      <c r="J965" s="186"/>
      <c r="K965" s="266">
        <f t="shared" si="218"/>
        <v>2020</v>
      </c>
      <c r="L965" s="390" t="s">
        <v>5834</v>
      </c>
      <c r="M965" s="390" t="s">
        <v>5805</v>
      </c>
      <c r="N965" s="32" t="s">
        <v>2769</v>
      </c>
      <c r="O965" s="32" t="s">
        <v>2770</v>
      </c>
      <c r="P965" s="278"/>
      <c r="Q965" s="233">
        <v>62</v>
      </c>
      <c r="R965" s="75">
        <v>1758.5</v>
      </c>
      <c r="S965" s="75"/>
      <c r="T965" s="75">
        <v>1758.5</v>
      </c>
      <c r="U965" s="200">
        <v>922</v>
      </c>
      <c r="V965" s="287">
        <f t="shared" ca="1" si="219"/>
        <v>10</v>
      </c>
      <c r="W965" s="75">
        <f t="shared" ca="1" si="220"/>
        <v>8067.5</v>
      </c>
      <c r="X965" s="200">
        <f t="shared" ca="1" si="221"/>
        <v>9134.5</v>
      </c>
      <c r="Y965" s="1"/>
      <c r="Z965" s="31">
        <v>0.1</v>
      </c>
      <c r="AA965" s="223"/>
      <c r="AB965" s="302" t="s">
        <v>6836</v>
      </c>
      <c r="AC965" s="302"/>
      <c r="AD965" s="302"/>
      <c r="AE965" s="302"/>
      <c r="AF965">
        <f t="shared" si="208"/>
        <v>0</v>
      </c>
    </row>
    <row r="966" spans="1:32" ht="26.25" hidden="1" x14ac:dyDescent="0.25">
      <c r="A966" s="322" t="s">
        <v>2771</v>
      </c>
      <c r="B966" s="93" t="str">
        <f t="shared" si="217"/>
        <v>YES</v>
      </c>
      <c r="C966" s="93" t="s">
        <v>5503</v>
      </c>
      <c r="D966" s="4">
        <v>40255</v>
      </c>
      <c r="E966" s="2">
        <v>40330</v>
      </c>
      <c r="F966" s="2">
        <f t="shared" si="210"/>
        <v>43983</v>
      </c>
      <c r="G966" s="6">
        <v>798.29</v>
      </c>
      <c r="H966" s="7" t="s">
        <v>2768</v>
      </c>
      <c r="I966" s="7" t="s">
        <v>2748</v>
      </c>
      <c r="J966" s="186"/>
      <c r="K966" s="266">
        <f t="shared" si="218"/>
        <v>2020</v>
      </c>
      <c r="L966" s="390" t="s">
        <v>5834</v>
      </c>
      <c r="M966" s="390" t="s">
        <v>5805</v>
      </c>
      <c r="N966" s="32" t="s">
        <v>2769</v>
      </c>
      <c r="O966" s="32" t="s">
        <v>2772</v>
      </c>
      <c r="P966" s="278"/>
      <c r="Q966" s="233">
        <v>63</v>
      </c>
      <c r="R966" s="75">
        <v>2941.5</v>
      </c>
      <c r="S966" s="75"/>
      <c r="T966" s="75">
        <v>2941.5</v>
      </c>
      <c r="U966" s="200">
        <v>1598</v>
      </c>
      <c r="V966" s="287">
        <f t="shared" ca="1" si="219"/>
        <v>10</v>
      </c>
      <c r="W966" s="75">
        <f t="shared" ca="1" si="220"/>
        <v>13982.5</v>
      </c>
      <c r="X966" s="200">
        <f t="shared" ca="1" si="221"/>
        <v>15725.5</v>
      </c>
      <c r="Y966" s="1"/>
      <c r="Z966" s="31">
        <v>0.1</v>
      </c>
      <c r="AA966" s="223"/>
      <c r="AB966" s="302" t="s">
        <v>6837</v>
      </c>
      <c r="AC966" s="302"/>
      <c r="AD966" s="302"/>
      <c r="AE966" s="302"/>
      <c r="AF966">
        <f t="shared" si="208"/>
        <v>0</v>
      </c>
    </row>
    <row r="967" spans="1:32" ht="26.25" hidden="1" customHeight="1" x14ac:dyDescent="0.25">
      <c r="A967" s="322" t="s">
        <v>2773</v>
      </c>
      <c r="B967" s="93" t="str">
        <f t="shared" si="217"/>
        <v>YES</v>
      </c>
      <c r="C967" s="93" t="s">
        <v>5503</v>
      </c>
      <c r="D967" s="4">
        <v>40255</v>
      </c>
      <c r="E967" s="2">
        <v>40330</v>
      </c>
      <c r="F967" s="2">
        <f t="shared" si="210"/>
        <v>43983</v>
      </c>
      <c r="G967" s="6">
        <v>700.46</v>
      </c>
      <c r="H967" s="7" t="s">
        <v>2768</v>
      </c>
      <c r="I967" s="7" t="s">
        <v>2748</v>
      </c>
      <c r="J967" s="186"/>
      <c r="K967" s="266">
        <f t="shared" si="218"/>
        <v>2020</v>
      </c>
      <c r="L967" s="390" t="s">
        <v>5834</v>
      </c>
      <c r="M967" s="390" t="s">
        <v>5805</v>
      </c>
      <c r="N967" s="32" t="s">
        <v>2769</v>
      </c>
      <c r="O967" s="32" t="s">
        <v>2774</v>
      </c>
      <c r="P967" s="278"/>
      <c r="Q967" s="233">
        <v>64</v>
      </c>
      <c r="R967" s="75">
        <v>2598.5</v>
      </c>
      <c r="S967" s="75"/>
      <c r="T967" s="75">
        <v>2598.5</v>
      </c>
      <c r="U967" s="200">
        <v>1402</v>
      </c>
      <c r="V967" s="287">
        <f t="shared" ca="1" si="219"/>
        <v>10</v>
      </c>
      <c r="W967" s="75">
        <f t="shared" ca="1" si="220"/>
        <v>12267.5</v>
      </c>
      <c r="X967" s="200">
        <f t="shared" ca="1" si="221"/>
        <v>13814.5</v>
      </c>
      <c r="Y967" s="1"/>
      <c r="Z967" s="31">
        <v>0.1</v>
      </c>
      <c r="AA967" s="223"/>
      <c r="AB967" s="302" t="s">
        <v>6838</v>
      </c>
      <c r="AC967" s="302"/>
      <c r="AD967" s="302"/>
      <c r="AE967" s="302"/>
      <c r="AF967">
        <f t="shared" si="208"/>
        <v>0</v>
      </c>
    </row>
    <row r="968" spans="1:32" ht="26.25" hidden="1" customHeight="1" x14ac:dyDescent="0.25">
      <c r="A968" s="322" t="s">
        <v>2775</v>
      </c>
      <c r="B968" s="93" t="str">
        <f t="shared" si="217"/>
        <v>YES</v>
      </c>
      <c r="C968" s="93" t="s">
        <v>5503</v>
      </c>
      <c r="D968" s="4">
        <v>40255</v>
      </c>
      <c r="E968" s="2">
        <v>40330</v>
      </c>
      <c r="F968" s="2">
        <f t="shared" si="210"/>
        <v>43983</v>
      </c>
      <c r="G968" s="6">
        <v>679.17</v>
      </c>
      <c r="H968" s="7" t="s">
        <v>2768</v>
      </c>
      <c r="I968" s="7" t="s">
        <v>2748</v>
      </c>
      <c r="J968" s="186"/>
      <c r="K968" s="266">
        <f t="shared" si="218"/>
        <v>2020</v>
      </c>
      <c r="L968" s="390" t="s">
        <v>5834</v>
      </c>
      <c r="M968" s="390" t="s">
        <v>5805</v>
      </c>
      <c r="N968" s="32" t="s">
        <v>2769</v>
      </c>
      <c r="O968" s="32" t="s">
        <v>2776</v>
      </c>
      <c r="P968" s="278"/>
      <c r="Q968" s="233">
        <v>65</v>
      </c>
      <c r="R968" s="75">
        <v>2525</v>
      </c>
      <c r="S968" s="75"/>
      <c r="T968" s="75">
        <v>2525</v>
      </c>
      <c r="U968" s="200">
        <v>1360</v>
      </c>
      <c r="V968" s="287">
        <f t="shared" ca="1" si="219"/>
        <v>10</v>
      </c>
      <c r="W968" s="75">
        <f t="shared" ca="1" si="220"/>
        <v>11900</v>
      </c>
      <c r="X968" s="200">
        <f t="shared" ca="1" si="221"/>
        <v>13405</v>
      </c>
      <c r="Y968" s="1"/>
      <c r="Z968" s="31">
        <v>0.1</v>
      </c>
      <c r="AA968" s="223"/>
      <c r="AB968" s="302" t="s">
        <v>6839</v>
      </c>
      <c r="AC968" s="302"/>
      <c r="AD968" s="302"/>
      <c r="AE968" s="302"/>
      <c r="AF968">
        <f t="shared" si="208"/>
        <v>0</v>
      </c>
    </row>
    <row r="969" spans="1:32" hidden="1" x14ac:dyDescent="0.25">
      <c r="A969" s="322" t="s">
        <v>2777</v>
      </c>
      <c r="B969" s="93" t="str">
        <f t="shared" si="217"/>
        <v>YES</v>
      </c>
      <c r="C969" s="93" t="s">
        <v>5503</v>
      </c>
      <c r="D969" s="4">
        <v>40255</v>
      </c>
      <c r="E969" s="2">
        <v>40330</v>
      </c>
      <c r="F969" s="2">
        <f t="shared" si="210"/>
        <v>43983</v>
      </c>
      <c r="G969" s="6">
        <v>461.69</v>
      </c>
      <c r="H969" s="7" t="s">
        <v>2768</v>
      </c>
      <c r="I969" s="7" t="s">
        <v>2748</v>
      </c>
      <c r="J969" s="186"/>
      <c r="K969" s="266">
        <f t="shared" si="218"/>
        <v>2020</v>
      </c>
      <c r="L969" s="390" t="s">
        <v>5834</v>
      </c>
      <c r="M969" s="390" t="s">
        <v>5805</v>
      </c>
      <c r="N969" s="32" t="s">
        <v>2769</v>
      </c>
      <c r="O969" s="32" t="s">
        <v>2778</v>
      </c>
      <c r="P969" s="278"/>
      <c r="Q969" s="233">
        <v>66</v>
      </c>
      <c r="R969" s="75">
        <v>1762</v>
      </c>
      <c r="S969" s="75"/>
      <c r="T969" s="75">
        <v>1762</v>
      </c>
      <c r="U969" s="200">
        <v>924</v>
      </c>
      <c r="V969" s="287">
        <f t="shared" ca="1" si="219"/>
        <v>10</v>
      </c>
      <c r="W969" s="75">
        <f t="shared" ca="1" si="220"/>
        <v>8085</v>
      </c>
      <c r="X969" s="200">
        <f t="shared" ca="1" si="221"/>
        <v>9154</v>
      </c>
      <c r="Y969" s="1"/>
      <c r="Z969" s="31">
        <v>0.1</v>
      </c>
      <c r="AA969" s="223"/>
      <c r="AB969" s="302" t="s">
        <v>6840</v>
      </c>
      <c r="AC969" s="302"/>
      <c r="AD969" s="302"/>
      <c r="AE969" s="302"/>
      <c r="AF969">
        <f t="shared" si="208"/>
        <v>0</v>
      </c>
    </row>
    <row r="970" spans="1:32" hidden="1" x14ac:dyDescent="0.25">
      <c r="A970" s="322" t="s">
        <v>2779</v>
      </c>
      <c r="B970" s="93" t="str">
        <f t="shared" si="217"/>
        <v>YES</v>
      </c>
      <c r="C970" s="93" t="s">
        <v>5503</v>
      </c>
      <c r="D970" s="4">
        <v>40255</v>
      </c>
      <c r="E970" s="2">
        <v>40330</v>
      </c>
      <c r="F970" s="2">
        <f t="shared" si="210"/>
        <v>43983</v>
      </c>
      <c r="G970" s="6">
        <v>992.69</v>
      </c>
      <c r="H970" s="7" t="s">
        <v>2758</v>
      </c>
      <c r="I970" s="7" t="s">
        <v>2748</v>
      </c>
      <c r="J970" s="186"/>
      <c r="K970" s="266">
        <f t="shared" si="218"/>
        <v>2020</v>
      </c>
      <c r="L970" s="390" t="s">
        <v>5514</v>
      </c>
      <c r="M970" s="390" t="s">
        <v>5805</v>
      </c>
      <c r="N970" s="32" t="s">
        <v>2780</v>
      </c>
      <c r="O970" s="32" t="s">
        <v>2781</v>
      </c>
      <c r="P970" s="278"/>
      <c r="Q970" s="233">
        <v>67</v>
      </c>
      <c r="R970" s="75">
        <v>3620.5</v>
      </c>
      <c r="S970" s="75"/>
      <c r="T970" s="75">
        <v>3620.5</v>
      </c>
      <c r="U970" s="200">
        <v>1986</v>
      </c>
      <c r="V970" s="287">
        <f t="shared" ca="1" si="219"/>
        <v>10</v>
      </c>
      <c r="W970" s="75">
        <f t="shared" ca="1" si="220"/>
        <v>17377.5</v>
      </c>
      <c r="X970" s="200">
        <f t="shared" ca="1" si="221"/>
        <v>19508.5</v>
      </c>
      <c r="Y970" s="1"/>
      <c r="Z970" s="31">
        <v>0.1</v>
      </c>
      <c r="AA970" s="223"/>
      <c r="AB970" s="302" t="s">
        <v>6841</v>
      </c>
      <c r="AC970" s="302"/>
      <c r="AD970" s="302"/>
      <c r="AE970" s="302"/>
      <c r="AF970">
        <f t="shared" si="208"/>
        <v>0</v>
      </c>
    </row>
    <row r="971" spans="1:32" hidden="1" x14ac:dyDescent="0.25">
      <c r="A971" s="322" t="s">
        <v>2782</v>
      </c>
      <c r="B971" s="93" t="str">
        <f t="shared" si="217"/>
        <v>YES</v>
      </c>
      <c r="C971" s="93" t="s">
        <v>5503</v>
      </c>
      <c r="D971" s="4">
        <v>40255</v>
      </c>
      <c r="E971" s="2">
        <v>40330</v>
      </c>
      <c r="F971" s="2">
        <f t="shared" si="210"/>
        <v>43983</v>
      </c>
      <c r="G971" s="6">
        <v>763.5</v>
      </c>
      <c r="H971" s="7" t="s">
        <v>2758</v>
      </c>
      <c r="I971" s="7" t="s">
        <v>2748</v>
      </c>
      <c r="J971" s="186"/>
      <c r="K971" s="266">
        <f t="shared" si="218"/>
        <v>2020</v>
      </c>
      <c r="L971" s="390" t="s">
        <v>5514</v>
      </c>
      <c r="M971" s="390" t="s">
        <v>5805</v>
      </c>
      <c r="N971" s="32" t="s">
        <v>2780</v>
      </c>
      <c r="O971" s="32" t="s">
        <v>2783</v>
      </c>
      <c r="P971" s="278"/>
      <c r="Q971" s="233">
        <v>68</v>
      </c>
      <c r="R971" s="75">
        <v>2819</v>
      </c>
      <c r="S971" s="75"/>
      <c r="T971" s="75">
        <v>2819</v>
      </c>
      <c r="U971" s="200">
        <v>1528</v>
      </c>
      <c r="V971" s="287">
        <f t="shared" ca="1" si="219"/>
        <v>10</v>
      </c>
      <c r="W971" s="75">
        <f t="shared" ca="1" si="220"/>
        <v>13370</v>
      </c>
      <c r="X971" s="200">
        <f t="shared" ca="1" si="221"/>
        <v>15043</v>
      </c>
      <c r="Y971" s="1"/>
      <c r="Z971" s="31">
        <v>0.1</v>
      </c>
      <c r="AA971" s="223"/>
      <c r="AB971" s="302" t="s">
        <v>6842</v>
      </c>
      <c r="AC971" s="302"/>
      <c r="AD971" s="302"/>
      <c r="AE971" s="302"/>
      <c r="AF971">
        <f t="shared" ref="AF971:AF1034" si="222">COUNTIF(FilterList,A971)</f>
        <v>0</v>
      </c>
    </row>
    <row r="972" spans="1:32" ht="26.25" hidden="1" x14ac:dyDescent="0.25">
      <c r="A972" s="322" t="s">
        <v>2784</v>
      </c>
      <c r="B972" s="93" t="str">
        <f t="shared" si="217"/>
        <v>YES</v>
      </c>
      <c r="C972" s="93" t="s">
        <v>5503</v>
      </c>
      <c r="D972" s="4">
        <v>40255</v>
      </c>
      <c r="E972" s="2">
        <v>40330</v>
      </c>
      <c r="F972" s="2">
        <f t="shared" ref="F972:F1035" si="223">DATE(YEAR(E972)+10,MONTH(E972),DAY(E972))</f>
        <v>43983</v>
      </c>
      <c r="G972" s="6">
        <v>1351.55</v>
      </c>
      <c r="H972" s="7" t="s">
        <v>2758</v>
      </c>
      <c r="I972" s="7" t="s">
        <v>2748</v>
      </c>
      <c r="J972" s="186"/>
      <c r="K972" s="266">
        <f t="shared" si="218"/>
        <v>2020</v>
      </c>
      <c r="L972" s="390" t="s">
        <v>5514</v>
      </c>
      <c r="M972" s="390" t="s">
        <v>5805</v>
      </c>
      <c r="N972" s="32" t="s">
        <v>2780</v>
      </c>
      <c r="O972" s="32" t="s">
        <v>2785</v>
      </c>
      <c r="P972" s="278"/>
      <c r="Q972" s="233">
        <v>69</v>
      </c>
      <c r="R972" s="75">
        <v>4877</v>
      </c>
      <c r="S972" s="75"/>
      <c r="T972" s="75">
        <v>4877</v>
      </c>
      <c r="U972" s="200">
        <v>2704</v>
      </c>
      <c r="V972" s="287">
        <f t="shared" ca="1" si="219"/>
        <v>10</v>
      </c>
      <c r="W972" s="75">
        <f t="shared" ca="1" si="220"/>
        <v>23660</v>
      </c>
      <c r="X972" s="200">
        <f t="shared" ca="1" si="221"/>
        <v>26509</v>
      </c>
      <c r="Y972" s="1"/>
      <c r="Z972" s="31">
        <v>0.1</v>
      </c>
      <c r="AA972" s="223"/>
      <c r="AB972" s="302" t="s">
        <v>6843</v>
      </c>
      <c r="AC972" s="302"/>
      <c r="AD972" s="302"/>
      <c r="AE972" s="302"/>
      <c r="AF972">
        <f t="shared" si="222"/>
        <v>0</v>
      </c>
    </row>
    <row r="973" spans="1:32" hidden="1" x14ac:dyDescent="0.25">
      <c r="A973" s="322" t="s">
        <v>2786</v>
      </c>
      <c r="B973" s="93" t="str">
        <f t="shared" si="217"/>
        <v>YES</v>
      </c>
      <c r="C973" s="93" t="s">
        <v>5503</v>
      </c>
      <c r="D973" s="4">
        <v>40255</v>
      </c>
      <c r="E973" s="2">
        <v>40330</v>
      </c>
      <c r="F973" s="2">
        <f t="shared" si="223"/>
        <v>43983</v>
      </c>
      <c r="G973" s="6">
        <v>112.04</v>
      </c>
      <c r="H973" s="7" t="s">
        <v>2758</v>
      </c>
      <c r="I973" s="7" t="s">
        <v>2748</v>
      </c>
      <c r="J973" s="186"/>
      <c r="K973" s="266">
        <f t="shared" si="218"/>
        <v>2020</v>
      </c>
      <c r="L973" s="390" t="s">
        <v>5514</v>
      </c>
      <c r="M973" s="390" t="s">
        <v>5805</v>
      </c>
      <c r="N973" s="32" t="s">
        <v>2780</v>
      </c>
      <c r="O973" s="32" t="s">
        <v>2787</v>
      </c>
      <c r="P973" s="278"/>
      <c r="Q973" s="233">
        <v>70</v>
      </c>
      <c r="R973" s="75">
        <v>540.5</v>
      </c>
      <c r="S973" s="75"/>
      <c r="T973" s="75">
        <v>540.5</v>
      </c>
      <c r="U973" s="200">
        <v>226</v>
      </c>
      <c r="V973" s="287">
        <f t="shared" ca="1" si="219"/>
        <v>10</v>
      </c>
      <c r="W973" s="75">
        <f t="shared" ca="1" si="220"/>
        <v>1977.5</v>
      </c>
      <c r="X973" s="200">
        <f t="shared" ca="1" si="221"/>
        <v>2348.5</v>
      </c>
      <c r="Y973" s="1"/>
      <c r="Z973" s="31">
        <v>0.1</v>
      </c>
      <c r="AA973" s="223"/>
      <c r="AB973" s="302" t="s">
        <v>6844</v>
      </c>
      <c r="AC973" s="302"/>
      <c r="AD973" s="302"/>
      <c r="AE973" s="302"/>
      <c r="AF973">
        <f t="shared" si="222"/>
        <v>0</v>
      </c>
    </row>
    <row r="974" spans="1:32" ht="26.25" hidden="1" customHeight="1" x14ac:dyDescent="0.25">
      <c r="A974" s="322" t="s">
        <v>2788</v>
      </c>
      <c r="B974" s="93" t="str">
        <f t="shared" si="217"/>
        <v>YES</v>
      </c>
      <c r="C974" s="93" t="s">
        <v>5503</v>
      </c>
      <c r="D974" s="4">
        <v>40255</v>
      </c>
      <c r="E974" s="2">
        <v>40330</v>
      </c>
      <c r="F974" s="2">
        <f t="shared" si="223"/>
        <v>43983</v>
      </c>
      <c r="G974" s="6">
        <v>535.86</v>
      </c>
      <c r="H974" s="7" t="s">
        <v>2758</v>
      </c>
      <c r="I974" s="7" t="s">
        <v>2748</v>
      </c>
      <c r="J974" s="186"/>
      <c r="K974" s="266">
        <f t="shared" si="218"/>
        <v>2020</v>
      </c>
      <c r="L974" s="390" t="s">
        <v>5514</v>
      </c>
      <c r="M974" s="390" t="s">
        <v>5805</v>
      </c>
      <c r="N974" s="32" t="s">
        <v>2780</v>
      </c>
      <c r="O974" s="32" t="s">
        <v>2789</v>
      </c>
      <c r="P974" s="278"/>
      <c r="Q974" s="233">
        <v>71</v>
      </c>
      <c r="R974" s="75">
        <v>2021</v>
      </c>
      <c r="S974" s="75"/>
      <c r="T974" s="75">
        <v>2021</v>
      </c>
      <c r="U974" s="200">
        <v>1072</v>
      </c>
      <c r="V974" s="287">
        <f t="shared" ca="1" si="219"/>
        <v>10</v>
      </c>
      <c r="W974" s="75">
        <f t="shared" ca="1" si="220"/>
        <v>9380</v>
      </c>
      <c r="X974" s="200">
        <f t="shared" ca="1" si="221"/>
        <v>10597</v>
      </c>
      <c r="Y974" s="1"/>
      <c r="Z974" s="31">
        <v>0.1</v>
      </c>
      <c r="AA974" s="223"/>
      <c r="AB974" s="302" t="s">
        <v>6845</v>
      </c>
      <c r="AC974" s="302"/>
      <c r="AD974" s="302"/>
      <c r="AE974" s="302"/>
      <c r="AF974">
        <f t="shared" si="222"/>
        <v>0</v>
      </c>
    </row>
    <row r="975" spans="1:32" hidden="1" x14ac:dyDescent="0.25">
      <c r="A975" s="322" t="s">
        <v>2790</v>
      </c>
      <c r="B975" s="93" t="str">
        <f t="shared" si="217"/>
        <v>YES</v>
      </c>
      <c r="C975" s="93" t="s">
        <v>5503</v>
      </c>
      <c r="D975" s="4">
        <v>40255</v>
      </c>
      <c r="E975" s="2">
        <v>40330</v>
      </c>
      <c r="F975" s="2">
        <f t="shared" si="223"/>
        <v>43983</v>
      </c>
      <c r="G975" s="6">
        <v>119</v>
      </c>
      <c r="H975" s="7" t="s">
        <v>2768</v>
      </c>
      <c r="I975" s="7" t="s">
        <v>2748</v>
      </c>
      <c r="J975" s="186"/>
      <c r="K975" s="266">
        <f t="shared" si="218"/>
        <v>2020</v>
      </c>
      <c r="L975" s="390" t="s">
        <v>5519</v>
      </c>
      <c r="M975" s="390" t="s">
        <v>5796</v>
      </c>
      <c r="N975" s="32" t="s">
        <v>2791</v>
      </c>
      <c r="O975" s="32" t="s">
        <v>2792</v>
      </c>
      <c r="P975" s="278" t="s">
        <v>2793</v>
      </c>
      <c r="Q975" s="233">
        <v>72</v>
      </c>
      <c r="R975" s="75">
        <v>561.5</v>
      </c>
      <c r="S975" s="75"/>
      <c r="T975" s="75">
        <v>561.5</v>
      </c>
      <c r="U975" s="200">
        <v>238</v>
      </c>
      <c r="V975" s="287">
        <f t="shared" ca="1" si="219"/>
        <v>10</v>
      </c>
      <c r="W975" s="75">
        <f t="shared" ca="1" si="220"/>
        <v>2082.5</v>
      </c>
      <c r="X975" s="200">
        <f t="shared" ca="1" si="221"/>
        <v>2465.5</v>
      </c>
      <c r="Y975" s="1"/>
      <c r="Z975" s="31">
        <v>0.1</v>
      </c>
      <c r="AA975" s="223"/>
      <c r="AB975" s="302" t="s">
        <v>6846</v>
      </c>
      <c r="AC975" s="302"/>
      <c r="AD975" s="302"/>
      <c r="AE975" s="302"/>
      <c r="AF975">
        <f t="shared" si="222"/>
        <v>0</v>
      </c>
    </row>
    <row r="976" spans="1:32" ht="26.25" hidden="1" x14ac:dyDescent="0.25">
      <c r="A976" s="322" t="s">
        <v>2794</v>
      </c>
      <c r="B976" s="93" t="str">
        <f t="shared" si="217"/>
        <v>NO</v>
      </c>
      <c r="C976" s="93" t="s">
        <v>5503</v>
      </c>
      <c r="D976" s="4">
        <v>40255</v>
      </c>
      <c r="E976" s="2">
        <v>40330</v>
      </c>
      <c r="F976" s="2">
        <f t="shared" si="223"/>
        <v>43983</v>
      </c>
      <c r="G976" s="6">
        <v>118.28</v>
      </c>
      <c r="H976" s="7"/>
      <c r="I976" s="7" t="s">
        <v>2748</v>
      </c>
      <c r="J976" s="105" t="s">
        <v>2795</v>
      </c>
      <c r="K976" s="266">
        <f t="shared" si="218"/>
        <v>2020</v>
      </c>
      <c r="L976" s="381"/>
      <c r="M976" s="381"/>
      <c r="N976" s="32"/>
      <c r="O976" s="32"/>
      <c r="P976" s="278"/>
      <c r="Q976" s="233">
        <v>73</v>
      </c>
      <c r="R976" s="75">
        <v>561.5</v>
      </c>
      <c r="S976" s="75"/>
      <c r="T976" s="75">
        <v>561.5</v>
      </c>
      <c r="U976" s="200">
        <v>180</v>
      </c>
      <c r="V976" s="287">
        <f t="shared" ca="1" si="219"/>
        <v>10</v>
      </c>
      <c r="W976" s="75">
        <f t="shared" ca="1" si="220"/>
        <v>2082.5</v>
      </c>
      <c r="X976" s="200">
        <f t="shared" ca="1" si="221"/>
        <v>2465.5</v>
      </c>
      <c r="Y976" s="1"/>
      <c r="Z976" s="31">
        <v>0.1</v>
      </c>
      <c r="AA976" s="223"/>
      <c r="AB976" s="302"/>
      <c r="AC976" s="302"/>
      <c r="AD976" s="302"/>
      <c r="AE976" s="302"/>
      <c r="AF976">
        <f t="shared" si="222"/>
        <v>0</v>
      </c>
    </row>
    <row r="977" spans="1:32" hidden="1" x14ac:dyDescent="0.25">
      <c r="A977" s="322" t="s">
        <v>2796</v>
      </c>
      <c r="B977" s="93" t="str">
        <f t="shared" si="217"/>
        <v>YES</v>
      </c>
      <c r="C977" s="93" t="s">
        <v>5503</v>
      </c>
      <c r="D977" s="4">
        <v>40255</v>
      </c>
      <c r="E977" s="2">
        <v>40330</v>
      </c>
      <c r="F977" s="2">
        <f t="shared" si="223"/>
        <v>43983</v>
      </c>
      <c r="G977" s="6">
        <v>81.17</v>
      </c>
      <c r="H977" s="7" t="s">
        <v>237</v>
      </c>
      <c r="I977" s="7" t="s">
        <v>2748</v>
      </c>
      <c r="J977" s="186"/>
      <c r="K977" s="266">
        <f t="shared" si="218"/>
        <v>2020</v>
      </c>
      <c r="L977" s="390" t="s">
        <v>5793</v>
      </c>
      <c r="M977" s="390" t="s">
        <v>5809</v>
      </c>
      <c r="N977" s="32" t="s">
        <v>2797</v>
      </c>
      <c r="O977" s="32" t="s">
        <v>2798</v>
      </c>
      <c r="P977" s="278"/>
      <c r="Q977" s="233">
        <v>79</v>
      </c>
      <c r="R977" s="81">
        <v>432</v>
      </c>
      <c r="S977" s="81">
        <v>3936</v>
      </c>
      <c r="T977" s="81">
        <v>4368</v>
      </c>
      <c r="U977" s="200">
        <v>164</v>
      </c>
      <c r="V977" s="287">
        <f t="shared" ca="1" si="219"/>
        <v>10</v>
      </c>
      <c r="W977" s="75">
        <f t="shared" ca="1" si="220"/>
        <v>1435</v>
      </c>
      <c r="X977" s="200">
        <f t="shared" ca="1" si="221"/>
        <v>5680</v>
      </c>
      <c r="Y977" s="1"/>
      <c r="Z977" s="31">
        <v>0.1</v>
      </c>
      <c r="AA977" s="223"/>
      <c r="AB977" s="302" t="s">
        <v>6847</v>
      </c>
      <c r="AC977" s="302"/>
      <c r="AD977" s="302"/>
      <c r="AE977" s="302"/>
      <c r="AF977">
        <f t="shared" si="222"/>
        <v>0</v>
      </c>
    </row>
    <row r="978" spans="1:32" ht="15.75" hidden="1" thickBot="1" x14ac:dyDescent="0.3">
      <c r="A978" s="322"/>
      <c r="D978" s="7"/>
      <c r="E978" s="8"/>
      <c r="F978" s="2"/>
      <c r="G978" s="6"/>
      <c r="H978" s="7"/>
      <c r="I978" s="7"/>
      <c r="J978" s="186"/>
      <c r="K978" s="186"/>
      <c r="L978" s="386"/>
      <c r="M978" s="386"/>
      <c r="N978" s="32"/>
      <c r="O978" s="32"/>
      <c r="P978" s="278"/>
      <c r="Q978" s="233"/>
      <c r="R978" s="82">
        <v>45273</v>
      </c>
      <c r="S978" s="82">
        <v>177990</v>
      </c>
      <c r="T978" s="82">
        <v>223263</v>
      </c>
      <c r="U978" s="200"/>
      <c r="V978" s="75"/>
      <c r="W978" s="75"/>
      <c r="X978" s="200"/>
      <c r="Y978" s="1"/>
      <c r="Z978" s="1"/>
      <c r="AA978" s="219"/>
      <c r="AB978" s="302"/>
      <c r="AC978" s="302"/>
      <c r="AD978" s="302"/>
      <c r="AE978" s="302"/>
      <c r="AF978">
        <f t="shared" si="222"/>
        <v>0</v>
      </c>
    </row>
    <row r="979" spans="1:32" hidden="1" x14ac:dyDescent="0.25">
      <c r="A979" s="322"/>
      <c r="D979" s="7"/>
      <c r="E979" s="8"/>
      <c r="F979" s="2"/>
      <c r="G979" s="6"/>
      <c r="H979" s="7"/>
      <c r="I979" s="7"/>
      <c r="J979" s="186"/>
      <c r="K979" s="186"/>
      <c r="L979" s="386"/>
      <c r="M979" s="386"/>
      <c r="N979" s="32"/>
      <c r="O979" s="32"/>
      <c r="P979" s="278"/>
      <c r="Q979" s="233" t="s">
        <v>2799</v>
      </c>
      <c r="R979" s="75"/>
      <c r="S979" s="75"/>
      <c r="T979" s="75">
        <v>99999</v>
      </c>
      <c r="U979" s="200"/>
      <c r="V979" s="75"/>
      <c r="W979" s="75"/>
      <c r="X979" s="200"/>
      <c r="Y979" s="1"/>
      <c r="Z979" s="1"/>
      <c r="AA979" s="219"/>
      <c r="AB979" s="302"/>
      <c r="AC979" s="302"/>
      <c r="AD979" s="302"/>
      <c r="AE979" s="302"/>
      <c r="AF979">
        <f t="shared" si="222"/>
        <v>0</v>
      </c>
    </row>
    <row r="980" spans="1:32" hidden="1" x14ac:dyDescent="0.25">
      <c r="A980" s="322"/>
      <c r="D980" s="7"/>
      <c r="E980" s="8"/>
      <c r="F980" s="2"/>
      <c r="G980" s="6"/>
      <c r="H980" s="7"/>
      <c r="I980" s="7"/>
      <c r="J980" s="186"/>
      <c r="K980" s="186"/>
      <c r="L980" s="386"/>
      <c r="M980" s="386"/>
      <c r="N980" s="32"/>
      <c r="O980" s="32"/>
      <c r="P980" s="278"/>
      <c r="Q980" s="233" t="s">
        <v>2800</v>
      </c>
      <c r="R980" s="75"/>
      <c r="S980" s="75"/>
      <c r="T980" s="75">
        <v>123264</v>
      </c>
      <c r="U980" s="200"/>
      <c r="V980" s="75"/>
      <c r="W980" s="75"/>
      <c r="X980" s="200"/>
      <c r="Y980" s="1"/>
      <c r="Z980" s="1"/>
      <c r="AA980" s="219"/>
      <c r="AB980" s="302"/>
      <c r="AC980" s="302"/>
      <c r="AD980" s="302"/>
      <c r="AE980" s="302"/>
      <c r="AF980">
        <f t="shared" si="222"/>
        <v>0</v>
      </c>
    </row>
    <row r="981" spans="1:32" ht="15.75" hidden="1" thickBot="1" x14ac:dyDescent="0.3">
      <c r="A981" s="322"/>
      <c r="D981" s="7"/>
      <c r="E981" s="8"/>
      <c r="F981" s="2"/>
      <c r="G981" s="6"/>
      <c r="H981" s="7"/>
      <c r="I981" s="7"/>
      <c r="J981" s="186"/>
      <c r="K981" s="186"/>
      <c r="L981" s="386"/>
      <c r="M981" s="386"/>
      <c r="N981" s="32"/>
      <c r="O981" s="32"/>
      <c r="P981" s="278"/>
      <c r="Q981" s="233"/>
      <c r="R981" s="75"/>
      <c r="S981" s="75"/>
      <c r="T981" s="76">
        <v>223263</v>
      </c>
      <c r="U981" s="200"/>
      <c r="V981" s="75"/>
      <c r="W981" s="75"/>
      <c r="X981" s="200"/>
      <c r="Y981" s="1"/>
      <c r="Z981" s="1"/>
      <c r="AA981" s="219"/>
      <c r="AB981" s="302"/>
      <c r="AC981" s="302"/>
      <c r="AD981" s="302"/>
      <c r="AE981" s="302"/>
      <c r="AF981">
        <f t="shared" si="222"/>
        <v>0</v>
      </c>
    </row>
    <row r="982" spans="1:32" hidden="1" x14ac:dyDescent="0.25">
      <c r="A982" s="322"/>
      <c r="D982" s="7"/>
      <c r="E982" s="8"/>
      <c r="F982" s="2"/>
      <c r="G982" s="6"/>
      <c r="H982" s="7"/>
      <c r="I982" s="7"/>
      <c r="J982" s="186"/>
      <c r="K982" s="186"/>
      <c r="L982" s="386"/>
      <c r="M982" s="386"/>
      <c r="N982" s="32"/>
      <c r="O982" s="32"/>
      <c r="P982" s="278"/>
      <c r="Q982" s="233"/>
      <c r="R982" s="75"/>
      <c r="S982" s="75"/>
      <c r="T982" s="75"/>
      <c r="U982" s="200"/>
      <c r="V982" s="75"/>
      <c r="W982" s="75"/>
      <c r="X982" s="200"/>
      <c r="Y982" s="1"/>
      <c r="Z982" s="1"/>
      <c r="AA982" s="219"/>
      <c r="AB982" s="302"/>
      <c r="AC982" s="302"/>
      <c r="AD982" s="302"/>
      <c r="AE982" s="302"/>
      <c r="AF982">
        <f t="shared" si="222"/>
        <v>0</v>
      </c>
    </row>
    <row r="983" spans="1:32" hidden="1" x14ac:dyDescent="0.25">
      <c r="A983" s="322"/>
      <c r="D983" s="7"/>
      <c r="E983" s="8"/>
      <c r="F983" s="2"/>
      <c r="G983" s="6"/>
      <c r="H983" s="7"/>
      <c r="I983" s="7"/>
      <c r="J983" s="186"/>
      <c r="K983" s="186"/>
      <c r="L983" s="386"/>
      <c r="M983" s="386"/>
      <c r="N983" s="32"/>
      <c r="O983" s="32"/>
      <c r="P983" s="278"/>
      <c r="Q983" s="233"/>
      <c r="R983" s="75"/>
      <c r="S983" s="75"/>
      <c r="T983" s="75"/>
      <c r="U983" s="200"/>
      <c r="V983" s="75"/>
      <c r="W983" s="75"/>
      <c r="X983" s="200"/>
      <c r="Y983" s="1"/>
      <c r="Z983" s="1"/>
      <c r="AA983" s="219"/>
      <c r="AB983" s="302"/>
      <c r="AC983" s="302"/>
      <c r="AD983" s="302"/>
      <c r="AE983" s="302"/>
      <c r="AF983">
        <f t="shared" si="222"/>
        <v>0</v>
      </c>
    </row>
    <row r="984" spans="1:32" hidden="1" x14ac:dyDescent="0.25">
      <c r="A984" s="322" t="s">
        <v>2801</v>
      </c>
      <c r="B984" s="93" t="str">
        <f t="shared" ref="B984:B989" si="224">IF(COUNTIF(GIS,A984),"YES","NO")</f>
        <v>YES</v>
      </c>
      <c r="C984" s="93" t="s">
        <v>5503</v>
      </c>
      <c r="D984" s="4">
        <v>40289</v>
      </c>
      <c r="E984" s="2">
        <v>40330</v>
      </c>
      <c r="F984" s="2">
        <f t="shared" si="223"/>
        <v>43983</v>
      </c>
      <c r="G984" s="6">
        <v>160</v>
      </c>
      <c r="H984" s="7" t="s">
        <v>517</v>
      </c>
      <c r="I984" s="7" t="s">
        <v>512</v>
      </c>
      <c r="J984" s="186"/>
      <c r="K984" s="266">
        <f t="shared" ref="K984:K989" si="225">YEAR(F984)</f>
        <v>2020</v>
      </c>
      <c r="L984" s="390" t="s">
        <v>7529</v>
      </c>
      <c r="M984" s="390" t="s">
        <v>7527</v>
      </c>
      <c r="N984" s="32" t="s">
        <v>2803</v>
      </c>
      <c r="O984" s="32" t="s">
        <v>2804</v>
      </c>
      <c r="P984" s="278"/>
      <c r="Q984" s="233" t="s">
        <v>2802</v>
      </c>
      <c r="R984" s="75">
        <v>705</v>
      </c>
      <c r="S984" s="75">
        <v>1600</v>
      </c>
      <c r="T984" s="75">
        <v>2305</v>
      </c>
      <c r="U984" s="200">
        <v>320</v>
      </c>
      <c r="V984" s="287">
        <f t="shared" ref="V984:V989" ca="1" si="226">IF(YEAR($W$3)-YEAR(E984)&gt;9,10,IF(MONTH($W$3)&lt;MONTH(E984),YEAR($W$3)-YEAR(E984),YEAR($W$3)-YEAR(E984)+1))</f>
        <v>10</v>
      </c>
      <c r="W984" s="75">
        <f t="shared" ref="W984:W989" ca="1" si="227">IF(V984&lt;6, ROUNDUP(G984,0)*$W$6*V984, ROUNDUP(G984,0)*($W$6*5 + (V984-5)*$W$7))</f>
        <v>2800</v>
      </c>
      <c r="X984" s="200">
        <f t="shared" ref="X984:X989" ca="1" si="228">IF(V984=0,T984,((T984-ROUNDUP(G984,0)*1.5)+W984))</f>
        <v>4865</v>
      </c>
      <c r="Y984" s="1"/>
      <c r="Z984" s="31">
        <v>0.1</v>
      </c>
      <c r="AA984" s="223"/>
      <c r="AB984" s="302" t="s">
        <v>6848</v>
      </c>
      <c r="AC984" s="302"/>
      <c r="AD984" s="302"/>
      <c r="AE984" s="302"/>
      <c r="AF984">
        <f t="shared" si="222"/>
        <v>0</v>
      </c>
    </row>
    <row r="985" spans="1:32" ht="25.5" hidden="1" x14ac:dyDescent="0.25">
      <c r="A985" s="322" t="s">
        <v>2805</v>
      </c>
      <c r="B985" s="93" t="str">
        <f t="shared" si="224"/>
        <v>YES</v>
      </c>
      <c r="C985" s="93" t="s">
        <v>5503</v>
      </c>
      <c r="D985" s="4">
        <v>40289</v>
      </c>
      <c r="E985" s="2">
        <v>40330</v>
      </c>
      <c r="F985" s="2">
        <f t="shared" si="223"/>
        <v>43983</v>
      </c>
      <c r="G985" s="6">
        <v>1252.68</v>
      </c>
      <c r="H985" s="7" t="s">
        <v>559</v>
      </c>
      <c r="I985" s="7" t="s">
        <v>512</v>
      </c>
      <c r="J985" s="186"/>
      <c r="K985" s="266">
        <f t="shared" si="225"/>
        <v>2020</v>
      </c>
      <c r="L985" s="390" t="s">
        <v>5698</v>
      </c>
      <c r="M985" s="390" t="s">
        <v>7531</v>
      </c>
      <c r="N985" s="32" t="s">
        <v>2807</v>
      </c>
      <c r="O985" s="32" t="s">
        <v>2808</v>
      </c>
      <c r="P985" s="278"/>
      <c r="Q985" s="233" t="s">
        <v>2806</v>
      </c>
      <c r="R985" s="75">
        <v>4530.5</v>
      </c>
      <c r="S985" s="75">
        <v>711704</v>
      </c>
      <c r="T985" s="75">
        <v>716234.5</v>
      </c>
      <c r="U985" s="200">
        <v>2506</v>
      </c>
      <c r="V985" s="287">
        <f t="shared" ca="1" si="226"/>
        <v>10</v>
      </c>
      <c r="W985" s="75">
        <f t="shared" ca="1" si="227"/>
        <v>21927.5</v>
      </c>
      <c r="X985" s="200">
        <f t="shared" ca="1" si="228"/>
        <v>736282.5</v>
      </c>
      <c r="Y985" s="1"/>
      <c r="Z985" s="31">
        <v>0.1</v>
      </c>
      <c r="AA985" s="223"/>
      <c r="AB985" s="302" t="s">
        <v>6849</v>
      </c>
      <c r="AC985" s="308">
        <v>43843</v>
      </c>
      <c r="AD985" s="309">
        <v>0.25</v>
      </c>
      <c r="AE985" s="302" t="s">
        <v>8237</v>
      </c>
      <c r="AF985">
        <f t="shared" si="222"/>
        <v>0</v>
      </c>
    </row>
    <row r="986" spans="1:32" ht="25.5" hidden="1" x14ac:dyDescent="0.25">
      <c r="A986" s="322" t="s">
        <v>2809</v>
      </c>
      <c r="B986" s="93" t="str">
        <f t="shared" si="224"/>
        <v>YES</v>
      </c>
      <c r="C986" s="93" t="s">
        <v>5503</v>
      </c>
      <c r="D986" s="4">
        <v>40289</v>
      </c>
      <c r="E986" s="2">
        <v>40330</v>
      </c>
      <c r="F986" s="2">
        <f t="shared" si="223"/>
        <v>43983</v>
      </c>
      <c r="G986" s="6">
        <v>1280</v>
      </c>
      <c r="H986" s="7" t="s">
        <v>559</v>
      </c>
      <c r="I986" s="7" t="s">
        <v>512</v>
      </c>
      <c r="J986" s="186"/>
      <c r="K986" s="266">
        <f t="shared" si="225"/>
        <v>2020</v>
      </c>
      <c r="L986" s="390" t="s">
        <v>5698</v>
      </c>
      <c r="M986" s="390" t="s">
        <v>7531</v>
      </c>
      <c r="N986" s="32" t="s">
        <v>2807</v>
      </c>
      <c r="O986" s="32" t="s">
        <v>2811</v>
      </c>
      <c r="P986" s="278"/>
      <c r="Q986" s="233" t="s">
        <v>2810</v>
      </c>
      <c r="R986" s="75">
        <v>4625</v>
      </c>
      <c r="S986" s="75">
        <v>797440</v>
      </c>
      <c r="T986" s="75">
        <v>802065</v>
      </c>
      <c r="U986" s="200">
        <v>2560</v>
      </c>
      <c r="V986" s="287">
        <f t="shared" ca="1" si="226"/>
        <v>10</v>
      </c>
      <c r="W986" s="75">
        <f t="shared" ca="1" si="227"/>
        <v>22400</v>
      </c>
      <c r="X986" s="200">
        <f t="shared" ca="1" si="228"/>
        <v>822545</v>
      </c>
      <c r="Y986" s="1"/>
      <c r="Z986" s="31">
        <v>0.1</v>
      </c>
      <c r="AA986" s="223"/>
      <c r="AB986" s="302" t="s">
        <v>6850</v>
      </c>
      <c r="AC986" s="308">
        <v>43843</v>
      </c>
      <c r="AD986" s="309">
        <v>0.25</v>
      </c>
      <c r="AE986" s="302" t="s">
        <v>8237</v>
      </c>
      <c r="AF986">
        <f t="shared" si="222"/>
        <v>0</v>
      </c>
    </row>
    <row r="987" spans="1:32" ht="26.25" hidden="1" customHeight="1" x14ac:dyDescent="0.25">
      <c r="A987" s="322" t="s">
        <v>2812</v>
      </c>
      <c r="B987" s="93" t="str">
        <f t="shared" si="224"/>
        <v>YES</v>
      </c>
      <c r="C987" s="93" t="s">
        <v>5503</v>
      </c>
      <c r="D987" s="4">
        <v>40289</v>
      </c>
      <c r="E987" s="2">
        <v>40330</v>
      </c>
      <c r="F987" s="2">
        <f t="shared" si="223"/>
        <v>43983</v>
      </c>
      <c r="G987" s="6">
        <v>40</v>
      </c>
      <c r="H987" s="7" t="s">
        <v>2814</v>
      </c>
      <c r="I987" s="7" t="s">
        <v>198</v>
      </c>
      <c r="J987" s="186"/>
      <c r="K987" s="266">
        <f t="shared" si="225"/>
        <v>2020</v>
      </c>
      <c r="L987" s="390" t="s">
        <v>5514</v>
      </c>
      <c r="M987" s="390" t="s">
        <v>7587</v>
      </c>
      <c r="N987" s="32" t="s">
        <v>2815</v>
      </c>
      <c r="O987" s="32" t="s">
        <v>2816</v>
      </c>
      <c r="P987" s="278"/>
      <c r="Q987" s="233" t="s">
        <v>2813</v>
      </c>
      <c r="R987" s="75">
        <v>285</v>
      </c>
      <c r="S987" s="75">
        <v>17920</v>
      </c>
      <c r="T987" s="75">
        <v>18205</v>
      </c>
      <c r="U987" s="200">
        <v>80</v>
      </c>
      <c r="V987" s="287">
        <f t="shared" ca="1" si="226"/>
        <v>10</v>
      </c>
      <c r="W987" s="75">
        <f t="shared" ca="1" si="227"/>
        <v>700</v>
      </c>
      <c r="X987" s="200">
        <f t="shared" ca="1" si="228"/>
        <v>18845</v>
      </c>
      <c r="Y987" s="1"/>
      <c r="Z987" s="31">
        <v>0.1</v>
      </c>
      <c r="AA987" s="223"/>
      <c r="AB987" s="302" t="s">
        <v>6851</v>
      </c>
      <c r="AC987" s="302"/>
      <c r="AD987" s="302"/>
      <c r="AE987" s="302"/>
      <c r="AF987">
        <f t="shared" si="222"/>
        <v>0</v>
      </c>
    </row>
    <row r="988" spans="1:32" ht="26.25" hidden="1" x14ac:dyDescent="0.25">
      <c r="A988" s="322" t="s">
        <v>2817</v>
      </c>
      <c r="B988" s="93" t="str">
        <f t="shared" si="224"/>
        <v>YES</v>
      </c>
      <c r="C988" s="93" t="s">
        <v>5503</v>
      </c>
      <c r="D988" s="4">
        <v>40289</v>
      </c>
      <c r="E988" s="2">
        <v>40330</v>
      </c>
      <c r="F988" s="2">
        <f t="shared" si="223"/>
        <v>43983</v>
      </c>
      <c r="G988" s="6">
        <v>10.728</v>
      </c>
      <c r="H988" s="7" t="s">
        <v>573</v>
      </c>
      <c r="I988" s="7" t="s">
        <v>198</v>
      </c>
      <c r="J988" s="186"/>
      <c r="K988" s="266">
        <f t="shared" si="225"/>
        <v>2020</v>
      </c>
      <c r="L988" s="390" t="s">
        <v>5631</v>
      </c>
      <c r="M988" s="390" t="s">
        <v>5809</v>
      </c>
      <c r="N988" s="32" t="s">
        <v>2819</v>
      </c>
      <c r="O988" s="32" t="s">
        <v>2820</v>
      </c>
      <c r="P988" s="278"/>
      <c r="Q988" s="233" t="s">
        <v>2818</v>
      </c>
      <c r="R988" s="75">
        <v>183.5</v>
      </c>
      <c r="S988" s="75">
        <v>528</v>
      </c>
      <c r="T988" s="75">
        <v>711.5</v>
      </c>
      <c r="U988" s="200">
        <v>22</v>
      </c>
      <c r="V988" s="287">
        <f t="shared" ca="1" si="226"/>
        <v>10</v>
      </c>
      <c r="W988" s="75">
        <f t="shared" ca="1" si="227"/>
        <v>192.5</v>
      </c>
      <c r="X988" s="200">
        <f t="shared" ca="1" si="228"/>
        <v>887.5</v>
      </c>
      <c r="Y988" s="1"/>
      <c r="Z988" s="31">
        <v>0.1</v>
      </c>
      <c r="AA988" s="223"/>
      <c r="AB988" s="302" t="s">
        <v>6852</v>
      </c>
      <c r="AC988" s="302"/>
      <c r="AD988" s="302"/>
      <c r="AE988" s="302"/>
      <c r="AF988">
        <f t="shared" si="222"/>
        <v>0</v>
      </c>
    </row>
    <row r="989" spans="1:32" hidden="1" x14ac:dyDescent="0.25">
      <c r="A989" s="322" t="s">
        <v>2821</v>
      </c>
      <c r="B989" s="93" t="str">
        <f t="shared" si="224"/>
        <v>YES</v>
      </c>
      <c r="C989" s="93" t="s">
        <v>5503</v>
      </c>
      <c r="D989" s="4">
        <v>40289</v>
      </c>
      <c r="E989" s="2">
        <v>40330</v>
      </c>
      <c r="F989" s="2">
        <f t="shared" si="223"/>
        <v>43983</v>
      </c>
      <c r="G989" s="6">
        <v>544.82000000000005</v>
      </c>
      <c r="H989" s="7" t="s">
        <v>862</v>
      </c>
      <c r="I989" s="7" t="s">
        <v>15</v>
      </c>
      <c r="J989" s="186"/>
      <c r="K989" s="266">
        <f t="shared" si="225"/>
        <v>2020</v>
      </c>
      <c r="L989" s="390"/>
      <c r="M989" s="390"/>
      <c r="N989" s="32" t="s">
        <v>2823</v>
      </c>
      <c r="O989" s="32" t="s">
        <v>2824</v>
      </c>
      <c r="P989" s="278"/>
      <c r="Q989" s="233" t="s">
        <v>2822</v>
      </c>
      <c r="R989" s="75">
        <v>2087.5</v>
      </c>
      <c r="S989" s="75">
        <v>26640</v>
      </c>
      <c r="T989" s="75">
        <v>28727.5</v>
      </c>
      <c r="U989" s="200">
        <v>1110</v>
      </c>
      <c r="V989" s="287">
        <f t="shared" ca="1" si="226"/>
        <v>10</v>
      </c>
      <c r="W989" s="75">
        <f t="shared" ca="1" si="227"/>
        <v>9537.5</v>
      </c>
      <c r="X989" s="200">
        <f t="shared" ca="1" si="228"/>
        <v>37447.5</v>
      </c>
      <c r="Y989" s="1"/>
      <c r="Z989" s="31">
        <v>0.1</v>
      </c>
      <c r="AA989" s="223"/>
      <c r="AB989" s="302" t="s">
        <v>6853</v>
      </c>
      <c r="AC989" s="302"/>
      <c r="AD989" s="302"/>
      <c r="AE989" s="302"/>
      <c r="AF989">
        <f t="shared" si="222"/>
        <v>0</v>
      </c>
    </row>
    <row r="990" spans="1:32" ht="15.75" hidden="1" thickBot="1" x14ac:dyDescent="0.3">
      <c r="A990" s="322"/>
      <c r="D990" s="7"/>
      <c r="E990" s="8"/>
      <c r="F990" s="2"/>
      <c r="G990" s="6"/>
      <c r="H990" s="7"/>
      <c r="I990" s="7"/>
      <c r="J990" s="186"/>
      <c r="K990" s="186"/>
      <c r="L990" s="386"/>
      <c r="M990" s="386"/>
      <c r="N990" s="32"/>
      <c r="O990" s="32"/>
      <c r="P990" s="278"/>
      <c r="Q990" s="233"/>
      <c r="R990" s="76">
        <v>12416.5</v>
      </c>
      <c r="S990" s="76">
        <v>1555832</v>
      </c>
      <c r="T990" s="76">
        <v>1568248.5</v>
      </c>
      <c r="U990" s="200"/>
      <c r="V990" s="75"/>
      <c r="W990" s="75"/>
      <c r="X990" s="200"/>
      <c r="Y990" s="1"/>
      <c r="Z990" s="1"/>
      <c r="AA990" s="219"/>
      <c r="AB990" s="302"/>
      <c r="AC990" s="302"/>
      <c r="AD990" s="302"/>
      <c r="AE990" s="302"/>
      <c r="AF990">
        <f t="shared" si="222"/>
        <v>0</v>
      </c>
    </row>
    <row r="991" spans="1:32" hidden="1" x14ac:dyDescent="0.25">
      <c r="A991" s="322"/>
      <c r="D991" s="7"/>
      <c r="E991" s="8"/>
      <c r="F991" s="2"/>
      <c r="G991" s="6"/>
      <c r="H991" s="7"/>
      <c r="I991" s="7"/>
      <c r="J991" s="186"/>
      <c r="K991" s="186"/>
      <c r="L991" s="386"/>
      <c r="M991" s="386"/>
      <c r="N991" s="32"/>
      <c r="O991" s="32"/>
      <c r="P991" s="278"/>
      <c r="Q991" s="233" t="s">
        <v>2799</v>
      </c>
      <c r="R991" s="75"/>
      <c r="S991" s="75"/>
      <c r="T991" s="75">
        <v>12416.5</v>
      </c>
      <c r="U991" s="200"/>
      <c r="V991" s="75"/>
      <c r="W991" s="75"/>
      <c r="X991" s="200"/>
      <c r="Y991" s="1"/>
      <c r="Z991" s="1"/>
      <c r="AA991" s="219"/>
      <c r="AB991" s="302"/>
      <c r="AC991" s="302"/>
      <c r="AD991" s="302"/>
      <c r="AE991" s="302"/>
      <c r="AF991">
        <f t="shared" si="222"/>
        <v>0</v>
      </c>
    </row>
    <row r="992" spans="1:32" hidden="1" x14ac:dyDescent="0.25">
      <c r="A992" s="322"/>
      <c r="D992" s="7"/>
      <c r="E992" s="8"/>
      <c r="F992" s="2"/>
      <c r="G992" s="6"/>
      <c r="H992" s="7"/>
      <c r="I992" s="7"/>
      <c r="J992" s="186"/>
      <c r="K992" s="186"/>
      <c r="L992" s="386"/>
      <c r="M992" s="386"/>
      <c r="N992" s="32"/>
      <c r="O992" s="32"/>
      <c r="P992" s="278"/>
      <c r="Q992" s="233" t="s">
        <v>2799</v>
      </c>
      <c r="R992" s="75"/>
      <c r="S992" s="75"/>
      <c r="T992" s="75">
        <v>87000</v>
      </c>
      <c r="U992" s="200"/>
      <c r="V992" s="75"/>
      <c r="W992" s="75"/>
      <c r="X992" s="200"/>
      <c r="Y992" s="1"/>
      <c r="Z992" s="1"/>
      <c r="AA992" s="219"/>
      <c r="AB992" s="302"/>
      <c r="AC992" s="302"/>
      <c r="AD992" s="302"/>
      <c r="AE992" s="302"/>
      <c r="AF992">
        <f t="shared" si="222"/>
        <v>0</v>
      </c>
    </row>
    <row r="993" spans="1:32" hidden="1" x14ac:dyDescent="0.25">
      <c r="A993" s="322"/>
      <c r="D993" s="7"/>
      <c r="E993" s="8"/>
      <c r="F993" s="2"/>
      <c r="G993" s="6"/>
      <c r="H993" s="7"/>
      <c r="I993" s="7"/>
      <c r="J993" s="186"/>
      <c r="K993" s="186"/>
      <c r="L993" s="386"/>
      <c r="M993" s="386"/>
      <c r="N993" s="32"/>
      <c r="O993" s="32"/>
      <c r="P993" s="278"/>
      <c r="Q993" s="233" t="s">
        <v>2825</v>
      </c>
      <c r="R993" s="75"/>
      <c r="S993" s="75"/>
      <c r="T993" s="75">
        <v>1468832</v>
      </c>
      <c r="U993" s="200"/>
      <c r="V993" s="75"/>
      <c r="W993" s="75"/>
      <c r="X993" s="200"/>
      <c r="Y993" s="1"/>
      <c r="Z993" s="1"/>
      <c r="AA993" s="219"/>
      <c r="AB993" s="302"/>
      <c r="AC993" s="302"/>
      <c r="AD993" s="302"/>
      <c r="AE993" s="302"/>
      <c r="AF993">
        <f t="shared" si="222"/>
        <v>0</v>
      </c>
    </row>
    <row r="994" spans="1:32" ht="15.75" hidden="1" thickBot="1" x14ac:dyDescent="0.3">
      <c r="A994" s="322"/>
      <c r="D994" s="7"/>
      <c r="E994" s="8"/>
      <c r="F994" s="2"/>
      <c r="G994" s="6"/>
      <c r="H994" s="7"/>
      <c r="I994" s="7"/>
      <c r="J994" s="186"/>
      <c r="K994" s="186"/>
      <c r="L994" s="386"/>
      <c r="M994" s="386"/>
      <c r="N994" s="32"/>
      <c r="O994" s="32"/>
      <c r="P994" s="278"/>
      <c r="Q994" s="233"/>
      <c r="R994" s="75"/>
      <c r="S994" s="75"/>
      <c r="T994" s="76">
        <v>1568248.5</v>
      </c>
      <c r="U994" s="200"/>
      <c r="V994" s="75"/>
      <c r="W994" s="75"/>
      <c r="X994" s="200"/>
      <c r="Y994" s="1"/>
      <c r="Z994" s="1"/>
      <c r="AA994" s="219"/>
      <c r="AB994" s="302"/>
      <c r="AC994" s="302"/>
      <c r="AD994" s="302"/>
      <c r="AE994" s="302"/>
      <c r="AF994">
        <f t="shared" si="222"/>
        <v>0</v>
      </c>
    </row>
    <row r="995" spans="1:32" hidden="1" x14ac:dyDescent="0.25">
      <c r="A995" s="322"/>
      <c r="D995" s="7"/>
      <c r="E995" s="8"/>
      <c r="F995" s="2"/>
      <c r="G995" s="6"/>
      <c r="H995" s="7"/>
      <c r="I995" s="7"/>
      <c r="J995" s="186"/>
      <c r="K995" s="186"/>
      <c r="L995" s="386"/>
      <c r="M995" s="386"/>
      <c r="N995" s="32"/>
      <c r="O995" s="32"/>
      <c r="P995" s="278"/>
      <c r="Q995" s="233"/>
      <c r="R995" s="75"/>
      <c r="S995" s="75"/>
      <c r="T995" s="75"/>
      <c r="U995" s="200"/>
      <c r="V995" s="75"/>
      <c r="W995" s="75"/>
      <c r="X995" s="200"/>
      <c r="Y995" s="1"/>
      <c r="Z995" s="1"/>
      <c r="AA995" s="219"/>
      <c r="AB995" s="302"/>
      <c r="AC995" s="302"/>
      <c r="AD995" s="302"/>
      <c r="AE995" s="302"/>
      <c r="AF995">
        <f t="shared" si="222"/>
        <v>0</v>
      </c>
    </row>
    <row r="996" spans="1:32" hidden="1" x14ac:dyDescent="0.25">
      <c r="A996" s="322" t="s">
        <v>2826</v>
      </c>
      <c r="B996" s="93" t="str">
        <f t="shared" ref="B996:B1019" si="229">IF(COUNTIF(GIS,A996),"YES","NO")</f>
        <v>YES</v>
      </c>
      <c r="C996" s="93" t="s">
        <v>5503</v>
      </c>
      <c r="D996" s="4">
        <v>40352</v>
      </c>
      <c r="E996" s="2">
        <v>40422</v>
      </c>
      <c r="F996" s="2">
        <f t="shared" si="223"/>
        <v>44075</v>
      </c>
      <c r="G996" s="6">
        <v>40</v>
      </c>
      <c r="H996" s="7" t="s">
        <v>2827</v>
      </c>
      <c r="I996" s="7" t="s">
        <v>79</v>
      </c>
      <c r="J996" s="186"/>
      <c r="K996" s="266">
        <f t="shared" ref="K996:K1019" si="230">YEAR(F996)</f>
        <v>2020</v>
      </c>
      <c r="L996" s="390" t="s">
        <v>7591</v>
      </c>
      <c r="M996" s="390" t="s">
        <v>5840</v>
      </c>
      <c r="N996" s="32" t="s">
        <v>2828</v>
      </c>
      <c r="O996" s="32" t="s">
        <v>2829</v>
      </c>
      <c r="P996" s="278"/>
      <c r="Q996" s="233"/>
      <c r="R996" s="75">
        <v>285</v>
      </c>
      <c r="S996" s="75"/>
      <c r="T996" s="75">
        <v>285</v>
      </c>
      <c r="U996" s="200">
        <v>60</v>
      </c>
      <c r="V996" s="287">
        <f t="shared" ref="V996:V1019" ca="1" si="231">IF(YEAR($W$3)-YEAR(E996)&gt;9,10,IF(MONTH($W$3)&lt;MONTH(E996),YEAR($W$3)-YEAR(E996),YEAR($W$3)-YEAR(E996)+1))</f>
        <v>10</v>
      </c>
      <c r="W996" s="75">
        <f t="shared" ref="W996:W1019" ca="1" si="232">IF(V996&lt;6, ROUNDUP(G996,0)*$W$6*V996, ROUNDUP(G996,0)*($W$6*5 + (V996-5)*$W$7))</f>
        <v>700</v>
      </c>
      <c r="X996" s="200">
        <f t="shared" ref="X996:X1019" ca="1" si="233">IF(V996=0,T996,((T996-ROUNDUP(G996,0)*1.5)+W996))</f>
        <v>925</v>
      </c>
      <c r="Y996" s="1"/>
      <c r="Z996" s="31">
        <v>0.1</v>
      </c>
      <c r="AA996" s="223">
        <v>0.09</v>
      </c>
      <c r="AB996" s="302" t="s">
        <v>8093</v>
      </c>
      <c r="AC996" s="302"/>
      <c r="AD996" s="302"/>
      <c r="AE996" s="302"/>
      <c r="AF996">
        <f t="shared" si="222"/>
        <v>0</v>
      </c>
    </row>
    <row r="997" spans="1:32" hidden="1" x14ac:dyDescent="0.25">
      <c r="A997" s="322" t="s">
        <v>2830</v>
      </c>
      <c r="B997" s="93" t="str">
        <f t="shared" si="229"/>
        <v>YES</v>
      </c>
      <c r="C997" s="93" t="s">
        <v>5503</v>
      </c>
      <c r="D997" s="4">
        <v>40352</v>
      </c>
      <c r="E997" s="2">
        <v>40422</v>
      </c>
      <c r="F997" s="2">
        <f t="shared" si="223"/>
        <v>44075</v>
      </c>
      <c r="G997" s="6">
        <v>39.61</v>
      </c>
      <c r="H997" s="7" t="s">
        <v>2831</v>
      </c>
      <c r="I997" s="7" t="s">
        <v>79</v>
      </c>
      <c r="J997" s="186"/>
      <c r="K997" s="266">
        <f t="shared" si="230"/>
        <v>2020</v>
      </c>
      <c r="L997" s="390" t="s">
        <v>5507</v>
      </c>
      <c r="M997" s="390" t="s">
        <v>7541</v>
      </c>
      <c r="N997" s="32" t="s">
        <v>2832</v>
      </c>
      <c r="O997" s="32" t="s">
        <v>2833</v>
      </c>
      <c r="P997" s="278"/>
      <c r="Q997" s="233"/>
      <c r="R997" s="75">
        <v>285</v>
      </c>
      <c r="S997" s="75"/>
      <c r="T997" s="75">
        <v>285</v>
      </c>
      <c r="U997" s="200">
        <v>60</v>
      </c>
      <c r="V997" s="287">
        <f t="shared" ca="1" si="231"/>
        <v>10</v>
      </c>
      <c r="W997" s="75">
        <f t="shared" ca="1" si="232"/>
        <v>700</v>
      </c>
      <c r="X997" s="200">
        <f t="shared" ca="1" si="233"/>
        <v>925</v>
      </c>
      <c r="Y997" s="1"/>
      <c r="Z997" s="31">
        <v>0.1</v>
      </c>
      <c r="AA997" s="223">
        <v>0.09</v>
      </c>
      <c r="AB997" s="302" t="s">
        <v>6854</v>
      </c>
      <c r="AC997" s="302"/>
      <c r="AD997" s="302"/>
      <c r="AE997" s="302"/>
      <c r="AF997">
        <f t="shared" si="222"/>
        <v>0</v>
      </c>
    </row>
    <row r="998" spans="1:32" hidden="1" x14ac:dyDescent="0.25">
      <c r="A998" s="322" t="s">
        <v>2834</v>
      </c>
      <c r="B998" s="93" t="str">
        <f t="shared" si="229"/>
        <v>YES</v>
      </c>
      <c r="C998" s="93" t="s">
        <v>5503</v>
      </c>
      <c r="D998" s="4">
        <v>40352</v>
      </c>
      <c r="E998" s="2">
        <v>40422</v>
      </c>
      <c r="F998" s="2">
        <f t="shared" si="223"/>
        <v>44075</v>
      </c>
      <c r="G998" s="6">
        <v>239.92</v>
      </c>
      <c r="H998" s="7" t="s">
        <v>2831</v>
      </c>
      <c r="I998" s="7" t="s">
        <v>79</v>
      </c>
      <c r="J998" s="186"/>
      <c r="K998" s="266">
        <f t="shared" si="230"/>
        <v>2020</v>
      </c>
      <c r="L998" s="390" t="s">
        <v>5507</v>
      </c>
      <c r="M998" s="390" t="s">
        <v>7541</v>
      </c>
      <c r="N998" s="32" t="s">
        <v>2835</v>
      </c>
      <c r="O998" s="32" t="s">
        <v>2836</v>
      </c>
      <c r="P998" s="278"/>
      <c r="Q998" s="233"/>
      <c r="R998" s="75">
        <v>2185</v>
      </c>
      <c r="S998" s="75"/>
      <c r="T998" s="75">
        <v>2185</v>
      </c>
      <c r="U998" s="200">
        <v>360</v>
      </c>
      <c r="V998" s="287">
        <f t="shared" ca="1" si="231"/>
        <v>10</v>
      </c>
      <c r="W998" s="75">
        <f t="shared" ca="1" si="232"/>
        <v>4200</v>
      </c>
      <c r="X998" s="200">
        <f t="shared" ca="1" si="233"/>
        <v>6025</v>
      </c>
      <c r="Y998" s="1"/>
      <c r="Z998" s="31">
        <v>0.1</v>
      </c>
      <c r="AA998" s="223">
        <v>0.09</v>
      </c>
      <c r="AB998" s="302" t="s">
        <v>8110</v>
      </c>
      <c r="AC998" s="302"/>
      <c r="AD998" s="302"/>
      <c r="AE998" s="302"/>
      <c r="AF998">
        <f t="shared" si="222"/>
        <v>0</v>
      </c>
    </row>
    <row r="999" spans="1:32" hidden="1" x14ac:dyDescent="0.25">
      <c r="A999" s="322" t="s">
        <v>2837</v>
      </c>
      <c r="B999" s="93" t="str">
        <f t="shared" si="229"/>
        <v>YES</v>
      </c>
      <c r="C999" s="93" t="s">
        <v>5503</v>
      </c>
      <c r="D999" s="4">
        <v>40352</v>
      </c>
      <c r="E999" s="2">
        <v>40422</v>
      </c>
      <c r="F999" s="2">
        <f t="shared" si="223"/>
        <v>44075</v>
      </c>
      <c r="G999" s="6">
        <v>510.67</v>
      </c>
      <c r="H999" s="7" t="s">
        <v>2831</v>
      </c>
      <c r="I999" s="7" t="s">
        <v>79</v>
      </c>
      <c r="J999" s="186"/>
      <c r="K999" s="266">
        <f t="shared" si="230"/>
        <v>2020</v>
      </c>
      <c r="L999" s="390" t="s">
        <v>5507</v>
      </c>
      <c r="M999" s="390" t="s">
        <v>7541</v>
      </c>
      <c r="N999" s="32" t="s">
        <v>2835</v>
      </c>
      <c r="O999" s="32" t="s">
        <v>2838</v>
      </c>
      <c r="P999" s="278"/>
      <c r="Q999" s="233"/>
      <c r="R999" s="75">
        <v>4488.5</v>
      </c>
      <c r="S999" s="75"/>
      <c r="T999" s="75">
        <v>4488.5</v>
      </c>
      <c r="U999" s="200">
        <v>766.5</v>
      </c>
      <c r="V999" s="287">
        <f t="shared" ca="1" si="231"/>
        <v>10</v>
      </c>
      <c r="W999" s="75">
        <f t="shared" ca="1" si="232"/>
        <v>8942.5</v>
      </c>
      <c r="X999" s="200">
        <f t="shared" ca="1" si="233"/>
        <v>12664.5</v>
      </c>
      <c r="Y999" s="1"/>
      <c r="Z999" s="31">
        <v>0.1</v>
      </c>
      <c r="AA999" s="223">
        <v>0.09</v>
      </c>
      <c r="AB999" s="302" t="s">
        <v>8110</v>
      </c>
      <c r="AC999" s="302"/>
      <c r="AD999" s="302"/>
      <c r="AE999" s="302"/>
      <c r="AF999">
        <f t="shared" si="222"/>
        <v>0</v>
      </c>
    </row>
    <row r="1000" spans="1:32" hidden="1" x14ac:dyDescent="0.25">
      <c r="A1000" s="322" t="s">
        <v>2839</v>
      </c>
      <c r="B1000" s="93" t="str">
        <f t="shared" si="229"/>
        <v>YES</v>
      </c>
      <c r="C1000" s="93" t="s">
        <v>5503</v>
      </c>
      <c r="D1000" s="4">
        <v>40352</v>
      </c>
      <c r="E1000" s="2">
        <v>40422</v>
      </c>
      <c r="F1000" s="2">
        <f t="shared" si="223"/>
        <v>44075</v>
      </c>
      <c r="G1000" s="6">
        <v>40.08</v>
      </c>
      <c r="H1000" s="7" t="s">
        <v>2831</v>
      </c>
      <c r="I1000" s="7" t="s">
        <v>79</v>
      </c>
      <c r="J1000" s="186"/>
      <c r="K1000" s="266">
        <f t="shared" si="230"/>
        <v>2020</v>
      </c>
      <c r="L1000" s="390" t="s">
        <v>5507</v>
      </c>
      <c r="M1000" s="390" t="s">
        <v>6016</v>
      </c>
      <c r="N1000" s="32" t="s">
        <v>2840</v>
      </c>
      <c r="O1000" s="32" t="s">
        <v>2841</v>
      </c>
      <c r="P1000" s="278"/>
      <c r="Q1000" s="233"/>
      <c r="R1000" s="75">
        <v>288.5</v>
      </c>
      <c r="S1000" s="75"/>
      <c r="T1000" s="75">
        <v>288.5</v>
      </c>
      <c r="U1000" s="200">
        <v>61.5</v>
      </c>
      <c r="V1000" s="287">
        <f t="shared" ca="1" si="231"/>
        <v>10</v>
      </c>
      <c r="W1000" s="75">
        <f t="shared" ca="1" si="232"/>
        <v>717.5</v>
      </c>
      <c r="X1000" s="200">
        <f t="shared" ca="1" si="233"/>
        <v>944.5</v>
      </c>
      <c r="Y1000" s="1"/>
      <c r="Z1000" s="31">
        <v>0.1</v>
      </c>
      <c r="AA1000" s="223">
        <v>0.09</v>
      </c>
      <c r="AB1000" s="302" t="s">
        <v>6855</v>
      </c>
      <c r="AC1000" s="302"/>
      <c r="AD1000" s="302"/>
      <c r="AE1000" s="302"/>
      <c r="AF1000">
        <f t="shared" si="222"/>
        <v>0</v>
      </c>
    </row>
    <row r="1001" spans="1:32" hidden="1" x14ac:dyDescent="0.25">
      <c r="A1001" s="322" t="s">
        <v>2842</v>
      </c>
      <c r="B1001" s="93" t="str">
        <f t="shared" si="229"/>
        <v>YES</v>
      </c>
      <c r="C1001" s="93" t="s">
        <v>5503</v>
      </c>
      <c r="D1001" s="4">
        <v>40352</v>
      </c>
      <c r="E1001" s="2">
        <v>40422</v>
      </c>
      <c r="F1001" s="2">
        <f t="shared" si="223"/>
        <v>44075</v>
      </c>
      <c r="G1001" s="6">
        <v>30.44</v>
      </c>
      <c r="H1001" s="7" t="s">
        <v>2831</v>
      </c>
      <c r="I1001" s="7" t="s">
        <v>79</v>
      </c>
      <c r="J1001" s="186"/>
      <c r="K1001" s="266">
        <f t="shared" si="230"/>
        <v>2020</v>
      </c>
      <c r="L1001" s="390" t="s">
        <v>5507</v>
      </c>
      <c r="M1001" s="390" t="s">
        <v>6016</v>
      </c>
      <c r="N1001" s="32" t="s">
        <v>2843</v>
      </c>
      <c r="O1001" s="32" t="s">
        <v>2844</v>
      </c>
      <c r="P1001" s="278"/>
      <c r="Q1001" s="233"/>
      <c r="R1001" s="75">
        <v>253.5</v>
      </c>
      <c r="S1001" s="75"/>
      <c r="T1001" s="75">
        <v>253.5</v>
      </c>
      <c r="U1001" s="200">
        <v>46.5</v>
      </c>
      <c r="V1001" s="287">
        <f t="shared" ca="1" si="231"/>
        <v>10</v>
      </c>
      <c r="W1001" s="75">
        <f t="shared" ca="1" si="232"/>
        <v>542.5</v>
      </c>
      <c r="X1001" s="200">
        <f t="shared" ca="1" si="233"/>
        <v>749.5</v>
      </c>
      <c r="Y1001" s="1"/>
      <c r="Z1001" s="31">
        <v>0.1</v>
      </c>
      <c r="AA1001" s="223">
        <v>0.09</v>
      </c>
      <c r="AB1001" s="302" t="s">
        <v>6856</v>
      </c>
      <c r="AC1001" s="302"/>
      <c r="AD1001" s="302"/>
      <c r="AE1001" s="302"/>
      <c r="AF1001">
        <f t="shared" si="222"/>
        <v>0</v>
      </c>
    </row>
    <row r="1002" spans="1:32" ht="26.25" hidden="1" x14ac:dyDescent="0.25">
      <c r="A1002" s="322" t="s">
        <v>2845</v>
      </c>
      <c r="B1002" s="93" t="str">
        <f t="shared" si="229"/>
        <v>YES</v>
      </c>
      <c r="C1002" s="93" t="s">
        <v>5503</v>
      </c>
      <c r="D1002" s="4">
        <v>40352</v>
      </c>
      <c r="E1002" s="2">
        <v>40422</v>
      </c>
      <c r="F1002" s="2">
        <f t="shared" si="223"/>
        <v>44075</v>
      </c>
      <c r="G1002" s="6">
        <v>634.84</v>
      </c>
      <c r="H1002" s="7" t="s">
        <v>2831</v>
      </c>
      <c r="I1002" s="7" t="s">
        <v>79</v>
      </c>
      <c r="J1002" s="186"/>
      <c r="K1002" s="266">
        <f t="shared" si="230"/>
        <v>2020</v>
      </c>
      <c r="L1002" s="390" t="s">
        <v>5507</v>
      </c>
      <c r="M1002" s="390" t="s">
        <v>6016</v>
      </c>
      <c r="N1002" s="32" t="s">
        <v>2843</v>
      </c>
      <c r="O1002" s="32" t="s">
        <v>2846</v>
      </c>
      <c r="P1002" s="278"/>
      <c r="Q1002" s="233"/>
      <c r="R1002" s="75">
        <v>11257.5</v>
      </c>
      <c r="S1002" s="75"/>
      <c r="T1002" s="75">
        <v>11257.5</v>
      </c>
      <c r="U1002" s="200">
        <v>952.5</v>
      </c>
      <c r="V1002" s="287">
        <f t="shared" ca="1" si="231"/>
        <v>10</v>
      </c>
      <c r="W1002" s="75">
        <f t="shared" ca="1" si="232"/>
        <v>11112.5</v>
      </c>
      <c r="X1002" s="200">
        <f t="shared" ca="1" si="233"/>
        <v>21417.5</v>
      </c>
      <c r="Y1002" s="1"/>
      <c r="Z1002" s="31">
        <v>0.1</v>
      </c>
      <c r="AA1002" s="223">
        <v>0.09</v>
      </c>
      <c r="AB1002" s="302" t="s">
        <v>6857</v>
      </c>
      <c r="AC1002" s="302"/>
      <c r="AD1002" s="302"/>
      <c r="AE1002" s="302"/>
      <c r="AF1002">
        <f t="shared" si="222"/>
        <v>0</v>
      </c>
    </row>
    <row r="1003" spans="1:32" ht="26.25" hidden="1" x14ac:dyDescent="0.25">
      <c r="A1003" s="322" t="s">
        <v>2847</v>
      </c>
      <c r="B1003" s="93" t="str">
        <f t="shared" si="229"/>
        <v>YES</v>
      </c>
      <c r="C1003" s="93" t="s">
        <v>5503</v>
      </c>
      <c r="D1003" s="4">
        <v>40352</v>
      </c>
      <c r="E1003" s="2">
        <v>40422</v>
      </c>
      <c r="F1003" s="2">
        <f t="shared" si="223"/>
        <v>44075</v>
      </c>
      <c r="G1003" s="6">
        <v>99.41</v>
      </c>
      <c r="H1003" s="7" t="s">
        <v>2831</v>
      </c>
      <c r="I1003" s="7" t="s">
        <v>79</v>
      </c>
      <c r="J1003" s="192" t="s">
        <v>7915</v>
      </c>
      <c r="K1003" s="266">
        <f t="shared" si="230"/>
        <v>2020</v>
      </c>
      <c r="L1003" s="390" t="s">
        <v>6015</v>
      </c>
      <c r="M1003" s="390" t="s">
        <v>7541</v>
      </c>
      <c r="N1003" s="32" t="s">
        <v>2848</v>
      </c>
      <c r="O1003" s="32" t="s">
        <v>2849</v>
      </c>
      <c r="P1003" s="278"/>
      <c r="Q1003" s="233"/>
      <c r="R1003" s="75">
        <v>895</v>
      </c>
      <c r="S1003" s="75"/>
      <c r="T1003" s="75">
        <v>895</v>
      </c>
      <c r="U1003" s="200">
        <v>150</v>
      </c>
      <c r="V1003" s="287">
        <f t="shared" ca="1" si="231"/>
        <v>10</v>
      </c>
      <c r="W1003" s="75">
        <f t="shared" ca="1" si="232"/>
        <v>1750</v>
      </c>
      <c r="X1003" s="200">
        <f t="shared" ca="1" si="233"/>
        <v>2495</v>
      </c>
      <c r="Y1003" s="1"/>
      <c r="Z1003" s="31">
        <v>0.1</v>
      </c>
      <c r="AA1003" s="223">
        <v>0.09</v>
      </c>
      <c r="AB1003" s="302" t="s">
        <v>6858</v>
      </c>
      <c r="AC1003" s="308">
        <v>43451</v>
      </c>
      <c r="AD1003" s="309">
        <v>0.25</v>
      </c>
      <c r="AE1003" s="302" t="s">
        <v>6260</v>
      </c>
      <c r="AF1003">
        <f t="shared" si="222"/>
        <v>0</v>
      </c>
    </row>
    <row r="1004" spans="1:32" hidden="1" x14ac:dyDescent="0.25">
      <c r="A1004" s="322" t="s">
        <v>2850</v>
      </c>
      <c r="B1004" s="93" t="str">
        <f t="shared" si="229"/>
        <v>YES</v>
      </c>
      <c r="C1004" s="93" t="s">
        <v>5503</v>
      </c>
      <c r="D1004" s="4">
        <v>40352</v>
      </c>
      <c r="E1004" s="2">
        <v>40422</v>
      </c>
      <c r="F1004" s="2">
        <f t="shared" si="223"/>
        <v>44075</v>
      </c>
      <c r="G1004" s="6">
        <v>19.899999999999999</v>
      </c>
      <c r="H1004" s="7" t="s">
        <v>2831</v>
      </c>
      <c r="I1004" s="7" t="s">
        <v>79</v>
      </c>
      <c r="J1004" s="186"/>
      <c r="K1004" s="266">
        <f t="shared" si="230"/>
        <v>2020</v>
      </c>
      <c r="L1004" s="390" t="s">
        <v>6015</v>
      </c>
      <c r="M1004" s="390" t="s">
        <v>7541</v>
      </c>
      <c r="N1004" s="32" t="s">
        <v>2848</v>
      </c>
      <c r="O1004" s="32" t="s">
        <v>2851</v>
      </c>
      <c r="P1004" s="278"/>
      <c r="Q1004" s="233"/>
      <c r="R1004" s="75">
        <v>215</v>
      </c>
      <c r="S1004" s="75"/>
      <c r="T1004" s="75">
        <v>215</v>
      </c>
      <c r="U1004" s="200">
        <v>30</v>
      </c>
      <c r="V1004" s="287">
        <f t="shared" ca="1" si="231"/>
        <v>10</v>
      </c>
      <c r="W1004" s="75">
        <f t="shared" ca="1" si="232"/>
        <v>350</v>
      </c>
      <c r="X1004" s="200">
        <f t="shared" ca="1" si="233"/>
        <v>535</v>
      </c>
      <c r="Y1004" s="1"/>
      <c r="Z1004" s="31">
        <v>0.1</v>
      </c>
      <c r="AA1004" s="223">
        <v>0.09</v>
      </c>
      <c r="AB1004" s="302" t="s">
        <v>6859</v>
      </c>
      <c r="AC1004" s="302"/>
      <c r="AD1004" s="302"/>
      <c r="AE1004" s="302"/>
      <c r="AF1004">
        <f t="shared" si="222"/>
        <v>0</v>
      </c>
    </row>
    <row r="1005" spans="1:32" hidden="1" x14ac:dyDescent="0.25">
      <c r="A1005" s="322" t="s">
        <v>2852</v>
      </c>
      <c r="B1005" s="93" t="str">
        <f t="shared" si="229"/>
        <v>YES</v>
      </c>
      <c r="C1005" s="93" t="s">
        <v>5503</v>
      </c>
      <c r="D1005" s="4">
        <v>40352</v>
      </c>
      <c r="E1005" s="2">
        <v>40422</v>
      </c>
      <c r="F1005" s="2">
        <f t="shared" si="223"/>
        <v>44075</v>
      </c>
      <c r="G1005" s="6">
        <v>159.91999999999999</v>
      </c>
      <c r="H1005" s="7" t="s">
        <v>2831</v>
      </c>
      <c r="I1005" s="7" t="s">
        <v>79</v>
      </c>
      <c r="J1005" s="186"/>
      <c r="K1005" s="266">
        <f t="shared" si="230"/>
        <v>2020</v>
      </c>
      <c r="L1005" s="390" t="s">
        <v>6015</v>
      </c>
      <c r="M1005" s="390" t="s">
        <v>7541</v>
      </c>
      <c r="N1005" s="32" t="s">
        <v>2848</v>
      </c>
      <c r="O1005" s="32" t="s">
        <v>2853</v>
      </c>
      <c r="P1005" s="278"/>
      <c r="Q1005" s="233"/>
      <c r="R1005" s="75">
        <v>1345</v>
      </c>
      <c r="S1005" s="75"/>
      <c r="T1005" s="75">
        <v>1345</v>
      </c>
      <c r="U1005" s="200">
        <v>240</v>
      </c>
      <c r="V1005" s="287">
        <f t="shared" ca="1" si="231"/>
        <v>10</v>
      </c>
      <c r="W1005" s="75">
        <f t="shared" ca="1" si="232"/>
        <v>2800</v>
      </c>
      <c r="X1005" s="200">
        <f t="shared" ca="1" si="233"/>
        <v>3905</v>
      </c>
      <c r="Y1005" s="1"/>
      <c r="Z1005" s="31">
        <v>0.1</v>
      </c>
      <c r="AA1005" s="223">
        <v>0.09</v>
      </c>
      <c r="AB1005" s="302" t="s">
        <v>6860</v>
      </c>
      <c r="AC1005" s="302"/>
      <c r="AD1005" s="302"/>
      <c r="AE1005" s="302"/>
      <c r="AF1005">
        <f t="shared" si="222"/>
        <v>0</v>
      </c>
    </row>
    <row r="1006" spans="1:32" hidden="1" x14ac:dyDescent="0.25">
      <c r="A1006" s="322" t="s">
        <v>2854</v>
      </c>
      <c r="B1006" s="93" t="str">
        <f t="shared" si="229"/>
        <v>YES</v>
      </c>
      <c r="C1006" s="93" t="s">
        <v>5503</v>
      </c>
      <c r="D1006" s="4">
        <v>40352</v>
      </c>
      <c r="E1006" s="2">
        <v>40422</v>
      </c>
      <c r="F1006" s="2">
        <f t="shared" si="223"/>
        <v>44075</v>
      </c>
      <c r="G1006" s="6">
        <v>110</v>
      </c>
      <c r="H1006" s="7" t="s">
        <v>2831</v>
      </c>
      <c r="I1006" s="7" t="s">
        <v>79</v>
      </c>
      <c r="J1006" s="186"/>
      <c r="K1006" s="266">
        <f t="shared" si="230"/>
        <v>2020</v>
      </c>
      <c r="L1006" s="390" t="s">
        <v>6015</v>
      </c>
      <c r="M1006" s="390" t="s">
        <v>7541</v>
      </c>
      <c r="N1006" s="32" t="s">
        <v>2848</v>
      </c>
      <c r="O1006" s="32" t="s">
        <v>2855</v>
      </c>
      <c r="P1006" s="278"/>
      <c r="Q1006" s="233"/>
      <c r="R1006" s="75">
        <v>5590</v>
      </c>
      <c r="S1006" s="75"/>
      <c r="T1006" s="75">
        <v>5590</v>
      </c>
      <c r="U1006" s="200">
        <v>165</v>
      </c>
      <c r="V1006" s="287">
        <f t="shared" ca="1" si="231"/>
        <v>10</v>
      </c>
      <c r="W1006" s="75">
        <f t="shared" ca="1" si="232"/>
        <v>1925</v>
      </c>
      <c r="X1006" s="200">
        <f t="shared" ca="1" si="233"/>
        <v>7350</v>
      </c>
      <c r="Y1006" s="1"/>
      <c r="Z1006" s="31">
        <v>0.1</v>
      </c>
      <c r="AA1006" s="223">
        <v>0.09</v>
      </c>
      <c r="AB1006" s="302" t="s">
        <v>6861</v>
      </c>
      <c r="AC1006" s="302"/>
      <c r="AD1006" s="302"/>
      <c r="AE1006" s="302"/>
      <c r="AF1006">
        <f t="shared" si="222"/>
        <v>0</v>
      </c>
    </row>
    <row r="1007" spans="1:32" hidden="1" x14ac:dyDescent="0.25">
      <c r="A1007" s="322" t="s">
        <v>2856</v>
      </c>
      <c r="B1007" s="93" t="str">
        <f t="shared" si="229"/>
        <v>YES</v>
      </c>
      <c r="C1007" s="93" t="s">
        <v>5503</v>
      </c>
      <c r="D1007" s="4">
        <v>40352</v>
      </c>
      <c r="E1007" s="2">
        <v>40422</v>
      </c>
      <c r="F1007" s="2">
        <f t="shared" si="223"/>
        <v>44075</v>
      </c>
      <c r="G1007" s="6">
        <v>80</v>
      </c>
      <c r="H1007" s="7" t="s">
        <v>2857</v>
      </c>
      <c r="I1007" s="7" t="s">
        <v>86</v>
      </c>
      <c r="J1007" s="186"/>
      <c r="K1007" s="266">
        <f t="shared" si="230"/>
        <v>2020</v>
      </c>
      <c r="L1007" s="301" t="s">
        <v>5885</v>
      </c>
      <c r="M1007" s="301" t="s">
        <v>7574</v>
      </c>
      <c r="N1007" s="32" t="s">
        <v>2858</v>
      </c>
      <c r="O1007" s="32" t="s">
        <v>2859</v>
      </c>
      <c r="P1007" s="278"/>
      <c r="Q1007" s="233"/>
      <c r="R1007" s="75">
        <v>2345</v>
      </c>
      <c r="S1007" s="75"/>
      <c r="T1007" s="75">
        <v>2345</v>
      </c>
      <c r="U1007" s="200">
        <v>120</v>
      </c>
      <c r="V1007" s="287">
        <f t="shared" ca="1" si="231"/>
        <v>10</v>
      </c>
      <c r="W1007" s="75">
        <f t="shared" ca="1" si="232"/>
        <v>1400</v>
      </c>
      <c r="X1007" s="200">
        <f t="shared" ca="1" si="233"/>
        <v>3625</v>
      </c>
      <c r="Y1007" s="1"/>
      <c r="Z1007" s="31">
        <v>0.1</v>
      </c>
      <c r="AA1007" s="223">
        <v>0.09</v>
      </c>
      <c r="AB1007" s="302" t="s">
        <v>6862</v>
      </c>
      <c r="AC1007" s="302"/>
      <c r="AD1007" s="302"/>
      <c r="AE1007" s="302"/>
      <c r="AF1007">
        <f t="shared" si="222"/>
        <v>0</v>
      </c>
    </row>
    <row r="1008" spans="1:32" hidden="1" x14ac:dyDescent="0.25">
      <c r="A1008" s="322" t="s">
        <v>2860</v>
      </c>
      <c r="B1008" s="93" t="str">
        <f t="shared" si="229"/>
        <v>YES</v>
      </c>
      <c r="C1008" s="93" t="s">
        <v>5503</v>
      </c>
      <c r="D1008" s="4">
        <v>40352</v>
      </c>
      <c r="E1008" s="2">
        <v>40422</v>
      </c>
      <c r="F1008" s="2">
        <f t="shared" si="223"/>
        <v>44075</v>
      </c>
      <c r="G1008" s="6">
        <v>40</v>
      </c>
      <c r="H1008" s="7" t="s">
        <v>2857</v>
      </c>
      <c r="I1008" s="7" t="s">
        <v>86</v>
      </c>
      <c r="J1008" s="186"/>
      <c r="K1008" s="266">
        <f t="shared" si="230"/>
        <v>2020</v>
      </c>
      <c r="L1008" s="301" t="s">
        <v>5885</v>
      </c>
      <c r="M1008" s="301" t="s">
        <v>7578</v>
      </c>
      <c r="N1008" s="32" t="s">
        <v>2861</v>
      </c>
      <c r="O1008" s="32" t="s">
        <v>2862</v>
      </c>
      <c r="P1008" s="278"/>
      <c r="Q1008" s="233"/>
      <c r="R1008" s="75">
        <v>285</v>
      </c>
      <c r="S1008" s="75"/>
      <c r="T1008" s="75">
        <v>285</v>
      </c>
      <c r="U1008" s="200">
        <v>60</v>
      </c>
      <c r="V1008" s="287">
        <f t="shared" ca="1" si="231"/>
        <v>10</v>
      </c>
      <c r="W1008" s="75">
        <f t="shared" ca="1" si="232"/>
        <v>700</v>
      </c>
      <c r="X1008" s="200">
        <f t="shared" ca="1" si="233"/>
        <v>925</v>
      </c>
      <c r="Y1008" s="1"/>
      <c r="Z1008" s="31">
        <v>0.1</v>
      </c>
      <c r="AA1008" s="223">
        <v>0.09</v>
      </c>
      <c r="AB1008" s="302" t="s">
        <v>6863</v>
      </c>
      <c r="AC1008" s="302"/>
      <c r="AD1008" s="302"/>
      <c r="AE1008" s="302"/>
      <c r="AF1008">
        <f t="shared" si="222"/>
        <v>0</v>
      </c>
    </row>
    <row r="1009" spans="1:32" ht="26.25" hidden="1" x14ac:dyDescent="0.25">
      <c r="A1009" s="322" t="s">
        <v>2863</v>
      </c>
      <c r="B1009" s="93" t="str">
        <f t="shared" si="229"/>
        <v>YES</v>
      </c>
      <c r="C1009" s="93" t="s">
        <v>5503</v>
      </c>
      <c r="D1009" s="4">
        <v>40352</v>
      </c>
      <c r="E1009" s="2">
        <v>40422</v>
      </c>
      <c r="F1009" s="2">
        <f t="shared" si="223"/>
        <v>44075</v>
      </c>
      <c r="G1009" s="6">
        <v>160</v>
      </c>
      <c r="H1009" s="7" t="s">
        <v>2857</v>
      </c>
      <c r="I1009" s="7" t="s">
        <v>86</v>
      </c>
      <c r="J1009" s="186"/>
      <c r="K1009" s="266">
        <f t="shared" si="230"/>
        <v>2020</v>
      </c>
      <c r="L1009" s="301" t="s">
        <v>5910</v>
      </c>
      <c r="M1009" s="301" t="s">
        <v>7574</v>
      </c>
      <c r="N1009" s="32" t="s">
        <v>2864</v>
      </c>
      <c r="O1009" s="32" t="s">
        <v>2865</v>
      </c>
      <c r="P1009" s="278"/>
      <c r="Q1009" s="233"/>
      <c r="R1009" s="75">
        <v>705</v>
      </c>
      <c r="S1009" s="75"/>
      <c r="T1009" s="75">
        <v>705</v>
      </c>
      <c r="U1009" s="200">
        <v>240</v>
      </c>
      <c r="V1009" s="287">
        <f t="shared" ca="1" si="231"/>
        <v>10</v>
      </c>
      <c r="W1009" s="75">
        <f t="shared" ca="1" si="232"/>
        <v>2800</v>
      </c>
      <c r="X1009" s="200">
        <f t="shared" ca="1" si="233"/>
        <v>3265</v>
      </c>
      <c r="Y1009" s="1"/>
      <c r="Z1009" s="31">
        <v>0.1</v>
      </c>
      <c r="AA1009" s="223">
        <v>0.09</v>
      </c>
      <c r="AB1009" s="302" t="s">
        <v>6864</v>
      </c>
      <c r="AC1009" s="302"/>
      <c r="AD1009" s="302"/>
      <c r="AE1009" s="302"/>
      <c r="AF1009">
        <f t="shared" si="222"/>
        <v>0</v>
      </c>
    </row>
    <row r="1010" spans="1:32" hidden="1" x14ac:dyDescent="0.25">
      <c r="A1010" s="322" t="s">
        <v>2866</v>
      </c>
      <c r="B1010" s="93" t="str">
        <f t="shared" si="229"/>
        <v>YES</v>
      </c>
      <c r="C1010" s="93" t="s">
        <v>5503</v>
      </c>
      <c r="D1010" s="4">
        <v>40352</v>
      </c>
      <c r="E1010" s="2">
        <v>40422</v>
      </c>
      <c r="F1010" s="2">
        <f t="shared" si="223"/>
        <v>44075</v>
      </c>
      <c r="G1010" s="6">
        <v>120</v>
      </c>
      <c r="H1010" s="7" t="s">
        <v>2867</v>
      </c>
      <c r="I1010" s="7" t="s">
        <v>86</v>
      </c>
      <c r="J1010" s="186"/>
      <c r="K1010" s="266">
        <f t="shared" si="230"/>
        <v>2020</v>
      </c>
      <c r="L1010" s="301" t="s">
        <v>5885</v>
      </c>
      <c r="M1010" s="301" t="s">
        <v>5683</v>
      </c>
      <c r="N1010" s="32" t="s">
        <v>2868</v>
      </c>
      <c r="O1010" s="32" t="s">
        <v>2869</v>
      </c>
      <c r="P1010" s="278"/>
      <c r="Q1010" s="233"/>
      <c r="R1010" s="75">
        <v>1285</v>
      </c>
      <c r="S1010" s="75"/>
      <c r="T1010" s="75">
        <v>1285</v>
      </c>
      <c r="U1010" s="200">
        <v>180</v>
      </c>
      <c r="V1010" s="287">
        <f t="shared" ca="1" si="231"/>
        <v>10</v>
      </c>
      <c r="W1010" s="75">
        <f t="shared" ca="1" si="232"/>
        <v>2100</v>
      </c>
      <c r="X1010" s="200">
        <f t="shared" ca="1" si="233"/>
        <v>3205</v>
      </c>
      <c r="Y1010" s="1"/>
      <c r="Z1010" s="31">
        <v>0.1</v>
      </c>
      <c r="AA1010" s="223">
        <v>0.09</v>
      </c>
      <c r="AB1010" s="302" t="s">
        <v>6865</v>
      </c>
      <c r="AC1010" s="302"/>
      <c r="AD1010" s="302"/>
      <c r="AE1010" s="302"/>
      <c r="AF1010">
        <f t="shared" si="222"/>
        <v>0</v>
      </c>
    </row>
    <row r="1011" spans="1:32" ht="26.25" hidden="1" x14ac:dyDescent="0.25">
      <c r="A1011" s="322" t="s">
        <v>2870</v>
      </c>
      <c r="B1011" s="93" t="str">
        <f t="shared" si="229"/>
        <v>YES</v>
      </c>
      <c r="C1011" s="93" t="s">
        <v>5503</v>
      </c>
      <c r="D1011" s="4">
        <v>40352</v>
      </c>
      <c r="E1011" s="2">
        <v>40422</v>
      </c>
      <c r="F1011" s="2">
        <f t="shared" si="223"/>
        <v>44075</v>
      </c>
      <c r="G1011" s="6">
        <v>40</v>
      </c>
      <c r="H1011" s="7" t="s">
        <v>2857</v>
      </c>
      <c r="I1011" s="7" t="s">
        <v>86</v>
      </c>
      <c r="J1011" s="186"/>
      <c r="K1011" s="266">
        <f t="shared" si="230"/>
        <v>2020</v>
      </c>
      <c r="L1011" s="301" t="s">
        <v>5863</v>
      </c>
      <c r="M1011" s="301" t="s">
        <v>5573</v>
      </c>
      <c r="N1011" s="32" t="s">
        <v>2871</v>
      </c>
      <c r="O1011" s="32" t="s">
        <v>2872</v>
      </c>
      <c r="P1011" s="278"/>
      <c r="Q1011" s="233"/>
      <c r="R1011" s="75">
        <v>445</v>
      </c>
      <c r="S1011" s="75"/>
      <c r="T1011" s="75">
        <v>445</v>
      </c>
      <c r="U1011" s="200">
        <v>60</v>
      </c>
      <c r="V1011" s="287">
        <f t="shared" ca="1" si="231"/>
        <v>10</v>
      </c>
      <c r="W1011" s="75">
        <f t="shared" ca="1" si="232"/>
        <v>700</v>
      </c>
      <c r="X1011" s="200">
        <f t="shared" ca="1" si="233"/>
        <v>1085</v>
      </c>
      <c r="Y1011" s="1"/>
      <c r="Z1011" s="31">
        <v>0.1</v>
      </c>
      <c r="AA1011" s="223">
        <v>0.09</v>
      </c>
      <c r="AB1011" s="302" t="s">
        <v>6866</v>
      </c>
      <c r="AC1011" s="302"/>
      <c r="AD1011" s="302"/>
      <c r="AE1011" s="302"/>
      <c r="AF1011">
        <f t="shared" si="222"/>
        <v>0</v>
      </c>
    </row>
    <row r="1012" spans="1:32" ht="26.25" hidden="1" x14ac:dyDescent="0.25">
      <c r="A1012" s="322" t="s">
        <v>2873</v>
      </c>
      <c r="B1012" s="93" t="str">
        <f t="shared" si="229"/>
        <v>YES</v>
      </c>
      <c r="C1012" s="93" t="s">
        <v>5503</v>
      </c>
      <c r="D1012" s="4">
        <v>40352</v>
      </c>
      <c r="E1012" s="2">
        <v>40422</v>
      </c>
      <c r="F1012" s="2">
        <f t="shared" si="223"/>
        <v>44075</v>
      </c>
      <c r="G1012" s="6">
        <v>80</v>
      </c>
      <c r="H1012" s="7" t="s">
        <v>2857</v>
      </c>
      <c r="I1012" s="7" t="s">
        <v>86</v>
      </c>
      <c r="J1012" s="186"/>
      <c r="K1012" s="266">
        <f t="shared" si="230"/>
        <v>2020</v>
      </c>
      <c r="L1012" s="301" t="s">
        <v>5863</v>
      </c>
      <c r="M1012" s="301" t="s">
        <v>5573</v>
      </c>
      <c r="N1012" s="32" t="s">
        <v>2871</v>
      </c>
      <c r="O1012" s="32" t="s">
        <v>2874</v>
      </c>
      <c r="P1012" s="278"/>
      <c r="Q1012" s="233"/>
      <c r="R1012" s="75">
        <v>2025</v>
      </c>
      <c r="S1012" s="75"/>
      <c r="T1012" s="75">
        <v>2025</v>
      </c>
      <c r="U1012" s="200">
        <v>120</v>
      </c>
      <c r="V1012" s="287">
        <f t="shared" ca="1" si="231"/>
        <v>10</v>
      </c>
      <c r="W1012" s="75">
        <f t="shared" ca="1" si="232"/>
        <v>1400</v>
      </c>
      <c r="X1012" s="200">
        <f t="shared" ca="1" si="233"/>
        <v>3305</v>
      </c>
      <c r="Y1012" s="1"/>
      <c r="Z1012" s="31">
        <v>0.1</v>
      </c>
      <c r="AA1012" s="223">
        <v>0.09</v>
      </c>
      <c r="AB1012" s="302" t="s">
        <v>6867</v>
      </c>
      <c r="AC1012" s="302"/>
      <c r="AD1012" s="302"/>
      <c r="AE1012" s="302"/>
      <c r="AF1012">
        <f t="shared" si="222"/>
        <v>0</v>
      </c>
    </row>
    <row r="1013" spans="1:32" ht="51.75" hidden="1" x14ac:dyDescent="0.25">
      <c r="A1013" s="322" t="s">
        <v>2875</v>
      </c>
      <c r="B1013" s="93" t="str">
        <f t="shared" si="229"/>
        <v>YES</v>
      </c>
      <c r="C1013" s="93" t="s">
        <v>5503</v>
      </c>
      <c r="D1013" s="4">
        <v>40352</v>
      </c>
      <c r="E1013" s="2">
        <v>40422</v>
      </c>
      <c r="F1013" s="2">
        <f t="shared" si="223"/>
        <v>44075</v>
      </c>
      <c r="G1013" s="6">
        <v>60</v>
      </c>
      <c r="H1013" s="7" t="s">
        <v>2857</v>
      </c>
      <c r="I1013" s="7" t="s">
        <v>86</v>
      </c>
      <c r="J1013" s="186"/>
      <c r="K1013" s="266">
        <f t="shared" si="230"/>
        <v>2020</v>
      </c>
      <c r="L1013" s="301" t="s">
        <v>5863</v>
      </c>
      <c r="M1013" s="301" t="s">
        <v>7592</v>
      </c>
      <c r="N1013" s="32" t="s">
        <v>2876</v>
      </c>
      <c r="O1013" s="32" t="s">
        <v>2877</v>
      </c>
      <c r="P1013" s="278" t="s">
        <v>4827</v>
      </c>
      <c r="Q1013" s="233"/>
      <c r="R1013" s="75">
        <v>355</v>
      </c>
      <c r="S1013" s="75"/>
      <c r="T1013" s="75">
        <v>355</v>
      </c>
      <c r="U1013" s="200">
        <v>90</v>
      </c>
      <c r="V1013" s="287">
        <f t="shared" ca="1" si="231"/>
        <v>10</v>
      </c>
      <c r="W1013" s="75">
        <f t="shared" ca="1" si="232"/>
        <v>1050</v>
      </c>
      <c r="X1013" s="200">
        <f t="shared" ca="1" si="233"/>
        <v>1315</v>
      </c>
      <c r="Y1013" s="1"/>
      <c r="Z1013" s="31">
        <v>0.1</v>
      </c>
      <c r="AA1013" s="223">
        <v>0.09</v>
      </c>
      <c r="AB1013" s="302" t="s">
        <v>6868</v>
      </c>
      <c r="AC1013" s="302"/>
      <c r="AD1013" s="302"/>
      <c r="AE1013" s="302"/>
      <c r="AF1013">
        <f t="shared" si="222"/>
        <v>0</v>
      </c>
    </row>
    <row r="1014" spans="1:32" ht="26.25" hidden="1" x14ac:dyDescent="0.25">
      <c r="A1014" s="322" t="s">
        <v>2878</v>
      </c>
      <c r="B1014" s="93" t="str">
        <f t="shared" si="229"/>
        <v>YES</v>
      </c>
      <c r="C1014" s="93" t="s">
        <v>5503</v>
      </c>
      <c r="D1014" s="4">
        <v>40352</v>
      </c>
      <c r="E1014" s="2">
        <v>40422</v>
      </c>
      <c r="F1014" s="2">
        <f t="shared" si="223"/>
        <v>44075</v>
      </c>
      <c r="G1014" s="6">
        <v>80</v>
      </c>
      <c r="H1014" s="7" t="s">
        <v>2758</v>
      </c>
      <c r="I1014" s="7" t="s">
        <v>86</v>
      </c>
      <c r="J1014" s="186"/>
      <c r="K1014" s="266">
        <f t="shared" si="230"/>
        <v>2020</v>
      </c>
      <c r="L1014" s="301" t="s">
        <v>5863</v>
      </c>
      <c r="M1014" s="301" t="s">
        <v>7592</v>
      </c>
      <c r="N1014" s="32" t="s">
        <v>2876</v>
      </c>
      <c r="O1014" s="32" t="s">
        <v>2879</v>
      </c>
      <c r="P1014" s="278"/>
      <c r="Q1014" s="233"/>
      <c r="R1014" s="75">
        <v>425</v>
      </c>
      <c r="S1014" s="75"/>
      <c r="T1014" s="75">
        <v>425</v>
      </c>
      <c r="U1014" s="200">
        <v>120</v>
      </c>
      <c r="V1014" s="287">
        <f t="shared" ca="1" si="231"/>
        <v>10</v>
      </c>
      <c r="W1014" s="75">
        <f t="shared" ca="1" si="232"/>
        <v>1400</v>
      </c>
      <c r="X1014" s="200">
        <f t="shared" ca="1" si="233"/>
        <v>1705</v>
      </c>
      <c r="Y1014" s="1"/>
      <c r="Z1014" s="31">
        <v>0.1</v>
      </c>
      <c r="AA1014" s="223">
        <v>0.09</v>
      </c>
      <c r="AB1014" s="302" t="s">
        <v>6869</v>
      </c>
      <c r="AC1014" s="302"/>
      <c r="AD1014" s="302"/>
      <c r="AE1014" s="302"/>
      <c r="AF1014">
        <f t="shared" si="222"/>
        <v>0</v>
      </c>
    </row>
    <row r="1015" spans="1:32" ht="26.25" hidden="1" x14ac:dyDescent="0.25">
      <c r="A1015" s="322" t="s">
        <v>2880</v>
      </c>
      <c r="B1015" s="93" t="str">
        <f t="shared" si="229"/>
        <v>YES</v>
      </c>
      <c r="C1015" s="93" t="s">
        <v>5503</v>
      </c>
      <c r="D1015" s="4">
        <v>40352</v>
      </c>
      <c r="E1015" s="2">
        <v>40422</v>
      </c>
      <c r="F1015" s="2">
        <f t="shared" si="223"/>
        <v>44075</v>
      </c>
      <c r="G1015" s="6">
        <v>40</v>
      </c>
      <c r="H1015" s="7" t="s">
        <v>2857</v>
      </c>
      <c r="I1015" s="7" t="s">
        <v>86</v>
      </c>
      <c r="J1015" s="186"/>
      <c r="K1015" s="266">
        <f t="shared" si="230"/>
        <v>2020</v>
      </c>
      <c r="L1015" s="301" t="s">
        <v>5875</v>
      </c>
      <c r="M1015" s="301" t="s">
        <v>5556</v>
      </c>
      <c r="N1015" s="32" t="s">
        <v>2881</v>
      </c>
      <c r="O1015" s="32" t="s">
        <v>2882</v>
      </c>
      <c r="P1015" s="278"/>
      <c r="Q1015" s="233"/>
      <c r="R1015" s="75">
        <v>285</v>
      </c>
      <c r="S1015" s="75"/>
      <c r="T1015" s="75">
        <v>285</v>
      </c>
      <c r="U1015" s="200">
        <v>60</v>
      </c>
      <c r="V1015" s="287">
        <f t="shared" ca="1" si="231"/>
        <v>10</v>
      </c>
      <c r="W1015" s="75">
        <f t="shared" ca="1" si="232"/>
        <v>700</v>
      </c>
      <c r="X1015" s="200">
        <f t="shared" ca="1" si="233"/>
        <v>925</v>
      </c>
      <c r="Y1015" s="1"/>
      <c r="Z1015" s="31">
        <v>0.1</v>
      </c>
      <c r="AA1015" s="223">
        <v>0.09</v>
      </c>
      <c r="AB1015" s="302" t="s">
        <v>6870</v>
      </c>
      <c r="AC1015" s="302"/>
      <c r="AD1015" s="302"/>
      <c r="AE1015" s="302"/>
      <c r="AF1015">
        <f t="shared" si="222"/>
        <v>0</v>
      </c>
    </row>
    <row r="1016" spans="1:32" ht="26.25" hidden="1" x14ac:dyDescent="0.25">
      <c r="A1016" s="322" t="s">
        <v>2883</v>
      </c>
      <c r="B1016" s="93" t="str">
        <f t="shared" si="229"/>
        <v>YES</v>
      </c>
      <c r="C1016" s="93" t="s">
        <v>5503</v>
      </c>
      <c r="D1016" s="4">
        <v>40352</v>
      </c>
      <c r="E1016" s="2">
        <v>40422</v>
      </c>
      <c r="F1016" s="2">
        <f t="shared" si="223"/>
        <v>44075</v>
      </c>
      <c r="G1016" s="6">
        <v>160</v>
      </c>
      <c r="H1016" s="7" t="s">
        <v>2857</v>
      </c>
      <c r="I1016" s="7" t="s">
        <v>86</v>
      </c>
      <c r="J1016" s="186"/>
      <c r="K1016" s="266">
        <f t="shared" si="230"/>
        <v>2020</v>
      </c>
      <c r="L1016" s="301" t="s">
        <v>5875</v>
      </c>
      <c r="M1016" s="301" t="s">
        <v>5556</v>
      </c>
      <c r="N1016" s="32" t="s">
        <v>2881</v>
      </c>
      <c r="O1016" s="32" t="s">
        <v>2884</v>
      </c>
      <c r="P1016" s="278"/>
      <c r="Q1016" s="233"/>
      <c r="R1016" s="75">
        <v>705</v>
      </c>
      <c r="S1016" s="75"/>
      <c r="T1016" s="75">
        <v>705</v>
      </c>
      <c r="U1016" s="200">
        <v>240</v>
      </c>
      <c r="V1016" s="287">
        <f t="shared" ca="1" si="231"/>
        <v>10</v>
      </c>
      <c r="W1016" s="75">
        <f t="shared" ca="1" si="232"/>
        <v>2800</v>
      </c>
      <c r="X1016" s="200">
        <f t="shared" ca="1" si="233"/>
        <v>3265</v>
      </c>
      <c r="Y1016" s="1"/>
      <c r="Z1016" s="31">
        <v>0.1</v>
      </c>
      <c r="AA1016" s="223">
        <v>0.09</v>
      </c>
      <c r="AB1016" s="302" t="s">
        <v>6871</v>
      </c>
      <c r="AC1016" s="302"/>
      <c r="AD1016" s="302"/>
      <c r="AE1016" s="302"/>
      <c r="AF1016">
        <f t="shared" si="222"/>
        <v>0</v>
      </c>
    </row>
    <row r="1017" spans="1:32" ht="26.25" hidden="1" x14ac:dyDescent="0.25">
      <c r="A1017" s="322" t="s">
        <v>2885</v>
      </c>
      <c r="B1017" s="93" t="str">
        <f t="shared" si="229"/>
        <v>YES</v>
      </c>
      <c r="C1017" s="93" t="s">
        <v>5503</v>
      </c>
      <c r="D1017" s="4">
        <v>40352</v>
      </c>
      <c r="E1017" s="2">
        <v>40422</v>
      </c>
      <c r="F1017" s="2">
        <f t="shared" si="223"/>
        <v>44075</v>
      </c>
      <c r="G1017" s="6">
        <v>40</v>
      </c>
      <c r="H1017" s="7" t="s">
        <v>2857</v>
      </c>
      <c r="I1017" s="7" t="s">
        <v>86</v>
      </c>
      <c r="J1017" s="186"/>
      <c r="K1017" s="266">
        <f t="shared" si="230"/>
        <v>2020</v>
      </c>
      <c r="L1017" s="301" t="s">
        <v>5875</v>
      </c>
      <c r="M1017" s="301" t="s">
        <v>7592</v>
      </c>
      <c r="N1017" s="32" t="s">
        <v>2886</v>
      </c>
      <c r="O1017" s="32" t="s">
        <v>2887</v>
      </c>
      <c r="P1017" s="278"/>
      <c r="Q1017" s="233"/>
      <c r="R1017" s="75">
        <v>285</v>
      </c>
      <c r="S1017" s="75"/>
      <c r="T1017" s="75">
        <v>285</v>
      </c>
      <c r="U1017" s="200">
        <v>60</v>
      </c>
      <c r="V1017" s="287">
        <f t="shared" ca="1" si="231"/>
        <v>10</v>
      </c>
      <c r="W1017" s="75">
        <f t="shared" ca="1" si="232"/>
        <v>700</v>
      </c>
      <c r="X1017" s="200">
        <f t="shared" ca="1" si="233"/>
        <v>925</v>
      </c>
      <c r="Y1017" s="1"/>
      <c r="Z1017" s="31">
        <v>0.1</v>
      </c>
      <c r="AA1017" s="223">
        <v>0.09</v>
      </c>
      <c r="AB1017" s="302" t="s">
        <v>6872</v>
      </c>
      <c r="AC1017" s="302"/>
      <c r="AD1017" s="302"/>
      <c r="AE1017" s="302"/>
      <c r="AF1017">
        <f t="shared" si="222"/>
        <v>0</v>
      </c>
    </row>
    <row r="1018" spans="1:32" ht="26.25" hidden="1" x14ac:dyDescent="0.25">
      <c r="A1018" s="322" t="s">
        <v>2888</v>
      </c>
      <c r="B1018" s="93" t="str">
        <f t="shared" si="229"/>
        <v>YES</v>
      </c>
      <c r="C1018" s="93" t="s">
        <v>5503</v>
      </c>
      <c r="D1018" s="4">
        <v>40352</v>
      </c>
      <c r="E1018" s="2">
        <v>40422</v>
      </c>
      <c r="F1018" s="2">
        <f t="shared" si="223"/>
        <v>44075</v>
      </c>
      <c r="G1018" s="6">
        <v>80</v>
      </c>
      <c r="H1018" s="7" t="s">
        <v>2889</v>
      </c>
      <c r="I1018" s="7" t="s">
        <v>86</v>
      </c>
      <c r="J1018" s="186"/>
      <c r="K1018" s="266">
        <f t="shared" si="230"/>
        <v>2020</v>
      </c>
      <c r="L1018" s="301" t="s">
        <v>5507</v>
      </c>
      <c r="M1018" s="301" t="s">
        <v>7588</v>
      </c>
      <c r="N1018" s="32" t="s">
        <v>2890</v>
      </c>
      <c r="O1018" s="32" t="s">
        <v>2891</v>
      </c>
      <c r="P1018" s="278"/>
      <c r="Q1018" s="233"/>
      <c r="R1018" s="75">
        <v>425</v>
      </c>
      <c r="S1018" s="75"/>
      <c r="T1018" s="75">
        <v>425</v>
      </c>
      <c r="U1018" s="200">
        <v>120</v>
      </c>
      <c r="V1018" s="287">
        <f t="shared" ca="1" si="231"/>
        <v>10</v>
      </c>
      <c r="W1018" s="75">
        <f t="shared" ca="1" si="232"/>
        <v>1400</v>
      </c>
      <c r="X1018" s="200">
        <f t="shared" ca="1" si="233"/>
        <v>1705</v>
      </c>
      <c r="Y1018" s="1"/>
      <c r="Z1018" s="31">
        <v>0.1</v>
      </c>
      <c r="AA1018" s="223">
        <v>0.09</v>
      </c>
      <c r="AB1018" s="302" t="s">
        <v>6873</v>
      </c>
      <c r="AC1018" s="302"/>
      <c r="AD1018" s="302"/>
      <c r="AE1018" s="302"/>
      <c r="AF1018">
        <f t="shared" si="222"/>
        <v>0</v>
      </c>
    </row>
    <row r="1019" spans="1:32" ht="26.25" hidden="1" x14ac:dyDescent="0.25">
      <c r="A1019" s="322" t="s">
        <v>2892</v>
      </c>
      <c r="B1019" s="93" t="str">
        <f t="shared" si="229"/>
        <v>YES</v>
      </c>
      <c r="C1019" s="93" t="s">
        <v>5503</v>
      </c>
      <c r="D1019" s="4">
        <v>40352</v>
      </c>
      <c r="E1019" s="2">
        <v>40422</v>
      </c>
      <c r="F1019" s="2">
        <f t="shared" si="223"/>
        <v>44075</v>
      </c>
      <c r="G1019" s="6">
        <v>80</v>
      </c>
      <c r="H1019" s="7" t="s">
        <v>2857</v>
      </c>
      <c r="I1019" s="7" t="s">
        <v>86</v>
      </c>
      <c r="J1019" s="186"/>
      <c r="K1019" s="266">
        <f t="shared" si="230"/>
        <v>2020</v>
      </c>
      <c r="L1019" s="301" t="s">
        <v>5863</v>
      </c>
      <c r="M1019" s="301" t="s">
        <v>5573</v>
      </c>
      <c r="N1019" s="32" t="s">
        <v>2871</v>
      </c>
      <c r="O1019" s="32" t="s">
        <v>2893</v>
      </c>
      <c r="P1019" s="278"/>
      <c r="Q1019" s="233"/>
      <c r="R1019" s="81">
        <v>425</v>
      </c>
      <c r="S1019" s="81"/>
      <c r="T1019" s="81">
        <v>425</v>
      </c>
      <c r="U1019" s="200">
        <v>120</v>
      </c>
      <c r="V1019" s="287">
        <f t="shared" ca="1" si="231"/>
        <v>10</v>
      </c>
      <c r="W1019" s="75">
        <f t="shared" ca="1" si="232"/>
        <v>1400</v>
      </c>
      <c r="X1019" s="200">
        <f t="shared" ca="1" si="233"/>
        <v>1705</v>
      </c>
      <c r="Y1019" s="1"/>
      <c r="Z1019" s="31">
        <v>0.1</v>
      </c>
      <c r="AA1019" s="223">
        <v>0.09</v>
      </c>
      <c r="AB1019" s="302" t="s">
        <v>6874</v>
      </c>
      <c r="AC1019" s="302"/>
      <c r="AD1019" s="302"/>
      <c r="AE1019" s="302"/>
      <c r="AF1019">
        <f t="shared" si="222"/>
        <v>0</v>
      </c>
    </row>
    <row r="1020" spans="1:32" ht="15.75" hidden="1" thickBot="1" x14ac:dyDescent="0.3">
      <c r="A1020" s="322"/>
      <c r="D1020" s="4"/>
      <c r="E1020" s="8"/>
      <c r="F1020" s="2"/>
      <c r="G1020" s="6"/>
      <c r="H1020" s="7"/>
      <c r="I1020" s="7"/>
      <c r="J1020" s="186"/>
      <c r="K1020" s="186"/>
      <c r="L1020" s="386"/>
      <c r="M1020" s="386"/>
      <c r="N1020" s="32"/>
      <c r="O1020" s="32"/>
      <c r="P1020" s="278"/>
      <c r="Q1020" s="233"/>
      <c r="R1020" s="82">
        <v>37083</v>
      </c>
      <c r="S1020" s="82">
        <v>0</v>
      </c>
      <c r="T1020" s="82">
        <v>37083</v>
      </c>
      <c r="U1020" s="200"/>
      <c r="V1020" s="75"/>
      <c r="W1020" s="75"/>
      <c r="X1020" s="200"/>
      <c r="Y1020" s="1"/>
      <c r="Z1020" s="31"/>
      <c r="AA1020" s="223"/>
      <c r="AB1020" s="302"/>
      <c r="AC1020" s="302"/>
      <c r="AD1020" s="302"/>
      <c r="AE1020" s="302"/>
      <c r="AF1020">
        <f t="shared" si="222"/>
        <v>0</v>
      </c>
    </row>
    <row r="1021" spans="1:32" hidden="1" x14ac:dyDescent="0.25">
      <c r="A1021" s="322"/>
      <c r="D1021" s="4"/>
      <c r="E1021" s="8"/>
      <c r="F1021" s="2"/>
      <c r="G1021" s="6"/>
      <c r="H1021" s="7"/>
      <c r="I1021" s="7"/>
      <c r="J1021" s="186"/>
      <c r="K1021" s="186"/>
      <c r="L1021" s="386"/>
      <c r="M1021" s="386"/>
      <c r="N1021" s="32"/>
      <c r="O1021" s="32"/>
      <c r="P1021" s="278"/>
      <c r="Q1021" s="233"/>
      <c r="R1021" s="75"/>
      <c r="S1021" s="75"/>
      <c r="T1021" s="75"/>
      <c r="U1021" s="200"/>
      <c r="V1021" s="75"/>
      <c r="W1021" s="75"/>
      <c r="X1021" s="200"/>
      <c r="Y1021" s="1"/>
      <c r="Z1021" s="31"/>
      <c r="AA1021" s="223"/>
      <c r="AB1021" s="302"/>
      <c r="AC1021" s="302"/>
      <c r="AD1021" s="302"/>
      <c r="AE1021" s="302"/>
      <c r="AF1021">
        <f t="shared" si="222"/>
        <v>0</v>
      </c>
    </row>
    <row r="1022" spans="1:32" hidden="1" x14ac:dyDescent="0.25">
      <c r="A1022" s="322" t="s">
        <v>2894</v>
      </c>
      <c r="B1022" s="93" t="str">
        <f t="shared" ref="B1022:B1053" si="234">IF(COUNTIF(GIS,A1022),"YES","NO")</f>
        <v>YES</v>
      </c>
      <c r="C1022" s="93" t="s">
        <v>5503</v>
      </c>
      <c r="D1022" s="4">
        <v>40380</v>
      </c>
      <c r="E1022" s="2">
        <v>40452</v>
      </c>
      <c r="F1022" s="2">
        <f t="shared" si="223"/>
        <v>44105</v>
      </c>
      <c r="G1022" s="6">
        <v>160</v>
      </c>
      <c r="H1022" s="7" t="s">
        <v>892</v>
      </c>
      <c r="I1022" s="7" t="s">
        <v>512</v>
      </c>
      <c r="J1022" s="186"/>
      <c r="K1022" s="266">
        <f t="shared" ref="K1022:K1053" si="235">YEAR(F1022)</f>
        <v>2020</v>
      </c>
      <c r="L1022" s="390" t="s">
        <v>7530</v>
      </c>
      <c r="M1022" s="390" t="s">
        <v>7532</v>
      </c>
      <c r="N1022" s="32" t="s">
        <v>2896</v>
      </c>
      <c r="O1022" s="32" t="s">
        <v>2897</v>
      </c>
      <c r="P1022" s="278"/>
      <c r="Q1022" s="233" t="s">
        <v>2895</v>
      </c>
      <c r="R1022" s="75">
        <v>705</v>
      </c>
      <c r="S1022" s="75">
        <v>1280</v>
      </c>
      <c r="T1022" s="75">
        <v>1985</v>
      </c>
      <c r="U1022" s="200">
        <v>240</v>
      </c>
      <c r="V1022" s="287">
        <f t="shared" ref="V1022:V1053" ca="1" si="236">IF(YEAR($W$3)-YEAR(E1022)&gt;9,10,IF(MONTH($W$3)&lt;MONTH(E1022),YEAR($W$3)-YEAR(E1022),YEAR($W$3)-YEAR(E1022)+1))</f>
        <v>10</v>
      </c>
      <c r="W1022" s="75">
        <f t="shared" ref="W1022:W1053" ca="1" si="237">IF(V1022&lt;6, ROUNDUP(G1022,0)*$W$6*V1022, ROUNDUP(G1022,0)*($W$6*5 + (V1022-5)*$W$7))</f>
        <v>2800</v>
      </c>
      <c r="X1022" s="200">
        <f t="shared" ref="X1022:X1085" ca="1" si="238">IF(V1022=0,T1022,((T1022-ROUNDUP(G1022,0)*1.5)+W1022))</f>
        <v>4545</v>
      </c>
      <c r="Y1022" s="1"/>
      <c r="Z1022" s="31">
        <v>0.1</v>
      </c>
      <c r="AA1022" s="223">
        <v>0.09</v>
      </c>
      <c r="AB1022" s="302" t="s">
        <v>6875</v>
      </c>
      <c r="AC1022" s="302"/>
      <c r="AD1022" s="302"/>
      <c r="AE1022" s="302"/>
      <c r="AF1022">
        <f t="shared" si="222"/>
        <v>0</v>
      </c>
    </row>
    <row r="1023" spans="1:32" hidden="1" x14ac:dyDescent="0.25">
      <c r="A1023" s="322" t="s">
        <v>2898</v>
      </c>
      <c r="B1023" s="93" t="str">
        <f t="shared" si="234"/>
        <v>YES</v>
      </c>
      <c r="C1023" s="93" t="s">
        <v>5503</v>
      </c>
      <c r="D1023" s="4">
        <v>40380</v>
      </c>
      <c r="E1023" s="2">
        <v>40452</v>
      </c>
      <c r="F1023" s="2">
        <f t="shared" si="223"/>
        <v>44105</v>
      </c>
      <c r="G1023" s="6">
        <v>320</v>
      </c>
      <c r="H1023" s="7" t="s">
        <v>892</v>
      </c>
      <c r="I1023" s="7" t="s">
        <v>512</v>
      </c>
      <c r="J1023" s="186"/>
      <c r="K1023" s="266">
        <f t="shared" si="235"/>
        <v>2020</v>
      </c>
      <c r="L1023" s="390" t="s">
        <v>7530</v>
      </c>
      <c r="M1023" s="390" t="s">
        <v>7532</v>
      </c>
      <c r="N1023" s="32" t="s">
        <v>2896</v>
      </c>
      <c r="O1023" s="32" t="s">
        <v>2900</v>
      </c>
      <c r="P1023" s="278"/>
      <c r="Q1023" s="233" t="s">
        <v>2899</v>
      </c>
      <c r="R1023" s="75">
        <v>1265</v>
      </c>
      <c r="S1023" s="75">
        <v>2560</v>
      </c>
      <c r="T1023" s="75">
        <v>3825</v>
      </c>
      <c r="U1023" s="200">
        <v>480</v>
      </c>
      <c r="V1023" s="287">
        <f t="shared" ca="1" si="236"/>
        <v>10</v>
      </c>
      <c r="W1023" s="75">
        <f t="shared" ca="1" si="237"/>
        <v>5600</v>
      </c>
      <c r="X1023" s="200">
        <f t="shared" ca="1" si="238"/>
        <v>8945</v>
      </c>
      <c r="Y1023" s="1"/>
      <c r="Z1023" s="31">
        <v>0.1</v>
      </c>
      <c r="AA1023" s="223">
        <v>0.09</v>
      </c>
      <c r="AB1023" s="302" t="s">
        <v>6876</v>
      </c>
      <c r="AC1023" s="302"/>
      <c r="AD1023" s="302"/>
      <c r="AE1023" s="302"/>
      <c r="AF1023">
        <f t="shared" si="222"/>
        <v>0</v>
      </c>
    </row>
    <row r="1024" spans="1:32" ht="26.25" x14ac:dyDescent="0.25">
      <c r="A1024" s="322" t="s">
        <v>2901</v>
      </c>
      <c r="B1024" s="93" t="str">
        <f t="shared" si="234"/>
        <v>YES</v>
      </c>
      <c r="C1024" s="93" t="s">
        <v>5503</v>
      </c>
      <c r="D1024" s="4">
        <v>40380</v>
      </c>
      <c r="E1024" s="2">
        <v>40452</v>
      </c>
      <c r="F1024" s="2">
        <f t="shared" si="223"/>
        <v>44105</v>
      </c>
      <c r="G1024" s="6">
        <v>41.04</v>
      </c>
      <c r="H1024" s="7" t="s">
        <v>2024</v>
      </c>
      <c r="I1024" s="7" t="s">
        <v>512</v>
      </c>
      <c r="J1024" s="105" t="s">
        <v>5188</v>
      </c>
      <c r="K1024" s="266">
        <f t="shared" si="235"/>
        <v>2020</v>
      </c>
      <c r="L1024" s="386"/>
      <c r="M1024" s="386"/>
      <c r="N1024" s="32" t="s">
        <v>2902</v>
      </c>
      <c r="O1024" s="32" t="s">
        <v>2903</v>
      </c>
      <c r="P1024" s="278"/>
      <c r="Q1024" s="233" t="s">
        <v>2899</v>
      </c>
      <c r="R1024" s="75">
        <v>292</v>
      </c>
      <c r="S1024" s="75">
        <v>756</v>
      </c>
      <c r="T1024" s="75">
        <v>1048</v>
      </c>
      <c r="U1024" s="200">
        <v>63</v>
      </c>
      <c r="V1024" s="287">
        <f t="shared" ca="1" si="236"/>
        <v>10</v>
      </c>
      <c r="W1024" s="75">
        <f t="shared" ca="1" si="237"/>
        <v>735</v>
      </c>
      <c r="X1024" s="200">
        <f t="shared" ca="1" si="238"/>
        <v>1720</v>
      </c>
      <c r="Y1024" s="1"/>
      <c r="Z1024" s="31">
        <v>0.1</v>
      </c>
      <c r="AA1024" s="223">
        <v>0.09</v>
      </c>
      <c r="AB1024" s="302" t="s">
        <v>6877</v>
      </c>
      <c r="AC1024" s="302"/>
      <c r="AD1024" s="302"/>
      <c r="AE1024" s="302"/>
      <c r="AF1024">
        <f t="shared" si="222"/>
        <v>1</v>
      </c>
    </row>
    <row r="1025" spans="1:32" ht="26.25" x14ac:dyDescent="0.25">
      <c r="A1025" s="322" t="s">
        <v>2904</v>
      </c>
      <c r="B1025" s="93" t="str">
        <f t="shared" si="234"/>
        <v>YES</v>
      </c>
      <c r="C1025" s="93" t="s">
        <v>5503</v>
      </c>
      <c r="D1025" s="4">
        <v>40380</v>
      </c>
      <c r="E1025" s="2">
        <v>40452</v>
      </c>
      <c r="F1025" s="2">
        <f t="shared" si="223"/>
        <v>44105</v>
      </c>
      <c r="G1025" s="6">
        <v>40</v>
      </c>
      <c r="H1025" s="7" t="s">
        <v>2024</v>
      </c>
      <c r="I1025" s="7" t="s">
        <v>512</v>
      </c>
      <c r="J1025" s="105" t="s">
        <v>5188</v>
      </c>
      <c r="K1025" s="266">
        <f t="shared" si="235"/>
        <v>2020</v>
      </c>
      <c r="L1025" s="386"/>
      <c r="M1025" s="386"/>
      <c r="N1025" s="32" t="s">
        <v>2906</v>
      </c>
      <c r="O1025" s="32" t="s">
        <v>2907</v>
      </c>
      <c r="P1025" s="278"/>
      <c r="Q1025" s="233" t="s">
        <v>2905</v>
      </c>
      <c r="R1025" s="75">
        <v>285</v>
      </c>
      <c r="S1025" s="75">
        <v>480</v>
      </c>
      <c r="T1025" s="75">
        <v>765</v>
      </c>
      <c r="U1025" s="200">
        <v>60</v>
      </c>
      <c r="V1025" s="287">
        <f t="shared" ca="1" si="236"/>
        <v>10</v>
      </c>
      <c r="W1025" s="75">
        <f t="shared" ca="1" si="237"/>
        <v>700</v>
      </c>
      <c r="X1025" s="200">
        <f t="shared" ca="1" si="238"/>
        <v>1405</v>
      </c>
      <c r="Y1025" s="1"/>
      <c r="Z1025" s="31">
        <v>0.1</v>
      </c>
      <c r="AA1025" s="223">
        <v>0.09</v>
      </c>
      <c r="AB1025" s="302" t="s">
        <v>6878</v>
      </c>
      <c r="AC1025" s="302"/>
      <c r="AD1025" s="302"/>
      <c r="AE1025" s="302"/>
      <c r="AF1025">
        <f t="shared" si="222"/>
        <v>1</v>
      </c>
    </row>
    <row r="1026" spans="1:32" ht="26.25" x14ac:dyDescent="0.25">
      <c r="A1026" s="322" t="s">
        <v>2908</v>
      </c>
      <c r="B1026" s="93" t="str">
        <f t="shared" si="234"/>
        <v>YES</v>
      </c>
      <c r="C1026" s="93" t="s">
        <v>5503</v>
      </c>
      <c r="D1026" s="4">
        <v>40380</v>
      </c>
      <c r="E1026" s="2">
        <v>40452</v>
      </c>
      <c r="F1026" s="2">
        <f t="shared" si="223"/>
        <v>44105</v>
      </c>
      <c r="G1026" s="6">
        <v>40</v>
      </c>
      <c r="H1026" s="7" t="s">
        <v>2024</v>
      </c>
      <c r="I1026" s="7" t="s">
        <v>512</v>
      </c>
      <c r="J1026" s="105" t="s">
        <v>5188</v>
      </c>
      <c r="K1026" s="266">
        <f t="shared" si="235"/>
        <v>2020</v>
      </c>
      <c r="L1026" s="386"/>
      <c r="M1026" s="386"/>
      <c r="N1026" s="32" t="s">
        <v>2906</v>
      </c>
      <c r="O1026" s="32" t="s">
        <v>2910</v>
      </c>
      <c r="P1026" s="278"/>
      <c r="Q1026" s="233" t="s">
        <v>2909</v>
      </c>
      <c r="R1026" s="75">
        <v>285</v>
      </c>
      <c r="S1026" s="75">
        <v>720</v>
      </c>
      <c r="T1026" s="75">
        <v>1005</v>
      </c>
      <c r="U1026" s="200">
        <v>60</v>
      </c>
      <c r="V1026" s="287">
        <f t="shared" ca="1" si="236"/>
        <v>10</v>
      </c>
      <c r="W1026" s="75">
        <f t="shared" ca="1" si="237"/>
        <v>700</v>
      </c>
      <c r="X1026" s="200">
        <f t="shared" ca="1" si="238"/>
        <v>1645</v>
      </c>
      <c r="Y1026" s="1"/>
      <c r="Z1026" s="31">
        <v>0.1</v>
      </c>
      <c r="AA1026" s="223">
        <v>0.09</v>
      </c>
      <c r="AB1026" s="302" t="s">
        <v>6879</v>
      </c>
      <c r="AC1026" s="302"/>
      <c r="AD1026" s="302"/>
      <c r="AE1026" s="302"/>
      <c r="AF1026">
        <f t="shared" si="222"/>
        <v>1</v>
      </c>
    </row>
    <row r="1027" spans="1:32" ht="26.25" x14ac:dyDescent="0.25">
      <c r="A1027" s="322" t="s">
        <v>2911</v>
      </c>
      <c r="B1027" s="93" t="str">
        <f t="shared" si="234"/>
        <v>YES</v>
      </c>
      <c r="C1027" s="93" t="s">
        <v>5503</v>
      </c>
      <c r="D1027" s="4">
        <v>40380</v>
      </c>
      <c r="E1027" s="2">
        <v>40452</v>
      </c>
      <c r="F1027" s="2">
        <f t="shared" si="223"/>
        <v>44105</v>
      </c>
      <c r="G1027" s="6">
        <v>40</v>
      </c>
      <c r="H1027" s="7" t="s">
        <v>2024</v>
      </c>
      <c r="I1027" s="7" t="s">
        <v>512</v>
      </c>
      <c r="J1027" s="105" t="s">
        <v>5188</v>
      </c>
      <c r="K1027" s="266">
        <f t="shared" si="235"/>
        <v>2020</v>
      </c>
      <c r="L1027" s="386"/>
      <c r="M1027" s="386"/>
      <c r="N1027" s="32" t="s">
        <v>2906</v>
      </c>
      <c r="O1027" s="32" t="s">
        <v>2913</v>
      </c>
      <c r="P1027" s="278"/>
      <c r="Q1027" s="233" t="s">
        <v>2912</v>
      </c>
      <c r="R1027" s="75">
        <v>285</v>
      </c>
      <c r="S1027" s="75">
        <v>720</v>
      </c>
      <c r="T1027" s="75">
        <v>1005</v>
      </c>
      <c r="U1027" s="200">
        <v>60</v>
      </c>
      <c r="V1027" s="287">
        <f t="shared" ca="1" si="236"/>
        <v>10</v>
      </c>
      <c r="W1027" s="75">
        <f t="shared" ca="1" si="237"/>
        <v>700</v>
      </c>
      <c r="X1027" s="200">
        <f t="shared" ca="1" si="238"/>
        <v>1645</v>
      </c>
      <c r="Y1027" s="1"/>
      <c r="Z1027" s="31">
        <v>0.1</v>
      </c>
      <c r="AA1027" s="223">
        <v>0.09</v>
      </c>
      <c r="AB1027" s="302" t="s">
        <v>6880</v>
      </c>
      <c r="AC1027" s="302"/>
      <c r="AD1027" s="302"/>
      <c r="AE1027" s="302"/>
      <c r="AF1027">
        <f t="shared" si="222"/>
        <v>1</v>
      </c>
    </row>
    <row r="1028" spans="1:32" ht="26.25" x14ac:dyDescent="0.25">
      <c r="A1028" s="322" t="s">
        <v>2914</v>
      </c>
      <c r="B1028" s="93" t="str">
        <f t="shared" si="234"/>
        <v>YES</v>
      </c>
      <c r="C1028" s="93" t="s">
        <v>5503</v>
      </c>
      <c r="D1028" s="4">
        <v>40380</v>
      </c>
      <c r="E1028" s="2">
        <v>40452</v>
      </c>
      <c r="F1028" s="2">
        <f t="shared" si="223"/>
        <v>44105</v>
      </c>
      <c r="G1028" s="6">
        <v>440</v>
      </c>
      <c r="H1028" s="7" t="s">
        <v>2024</v>
      </c>
      <c r="I1028" s="7" t="s">
        <v>512</v>
      </c>
      <c r="J1028" s="105" t="s">
        <v>5188</v>
      </c>
      <c r="K1028" s="266">
        <f t="shared" si="235"/>
        <v>2020</v>
      </c>
      <c r="L1028" s="386"/>
      <c r="M1028" s="386"/>
      <c r="N1028" s="32" t="s">
        <v>2906</v>
      </c>
      <c r="O1028" s="32" t="s">
        <v>2916</v>
      </c>
      <c r="P1028" s="278"/>
      <c r="Q1028" s="233" t="s">
        <v>2915</v>
      </c>
      <c r="R1028" s="75">
        <v>1685</v>
      </c>
      <c r="S1028" s="75">
        <v>4400</v>
      </c>
      <c r="T1028" s="75">
        <v>6085</v>
      </c>
      <c r="U1028" s="200">
        <v>660</v>
      </c>
      <c r="V1028" s="287">
        <f t="shared" ca="1" si="236"/>
        <v>10</v>
      </c>
      <c r="W1028" s="75">
        <f t="shared" ca="1" si="237"/>
        <v>7700</v>
      </c>
      <c r="X1028" s="200">
        <f t="shared" ca="1" si="238"/>
        <v>13125</v>
      </c>
      <c r="Y1028" s="1"/>
      <c r="Z1028" s="31">
        <v>0.1</v>
      </c>
      <c r="AA1028" s="223">
        <v>0.09</v>
      </c>
      <c r="AB1028" s="302" t="s">
        <v>6881</v>
      </c>
      <c r="AC1028" s="302"/>
      <c r="AD1028" s="302"/>
      <c r="AE1028" s="302"/>
      <c r="AF1028">
        <f t="shared" si="222"/>
        <v>1</v>
      </c>
    </row>
    <row r="1029" spans="1:32" ht="26.25" x14ac:dyDescent="0.25">
      <c r="A1029" s="322" t="s">
        <v>2917</v>
      </c>
      <c r="B1029" s="93" t="str">
        <f t="shared" si="234"/>
        <v>YES</v>
      </c>
      <c r="C1029" s="93" t="s">
        <v>5503</v>
      </c>
      <c r="D1029" s="4">
        <v>40380</v>
      </c>
      <c r="E1029" s="2">
        <v>40452</v>
      </c>
      <c r="F1029" s="2">
        <f t="shared" si="223"/>
        <v>44105</v>
      </c>
      <c r="G1029" s="6">
        <v>40</v>
      </c>
      <c r="H1029" s="7" t="s">
        <v>2024</v>
      </c>
      <c r="I1029" s="7" t="s">
        <v>512</v>
      </c>
      <c r="J1029" s="105" t="s">
        <v>5188</v>
      </c>
      <c r="K1029" s="266">
        <f t="shared" si="235"/>
        <v>2020</v>
      </c>
      <c r="L1029" s="386"/>
      <c r="M1029" s="386"/>
      <c r="N1029" s="32" t="s">
        <v>2906</v>
      </c>
      <c r="O1029" s="32" t="s">
        <v>2919</v>
      </c>
      <c r="P1029" s="278"/>
      <c r="Q1029" s="233" t="s">
        <v>2918</v>
      </c>
      <c r="R1029" s="75">
        <v>285</v>
      </c>
      <c r="S1029" s="75">
        <v>1120</v>
      </c>
      <c r="T1029" s="75">
        <v>1405</v>
      </c>
      <c r="U1029" s="200">
        <v>60</v>
      </c>
      <c r="V1029" s="287">
        <f t="shared" ca="1" si="236"/>
        <v>10</v>
      </c>
      <c r="W1029" s="75">
        <f t="shared" ca="1" si="237"/>
        <v>700</v>
      </c>
      <c r="X1029" s="200">
        <f t="shared" ca="1" si="238"/>
        <v>2045</v>
      </c>
      <c r="Y1029" s="1"/>
      <c r="Z1029" s="31">
        <v>0.1</v>
      </c>
      <c r="AA1029" s="223">
        <v>0.09</v>
      </c>
      <c r="AB1029" s="302" t="s">
        <v>6882</v>
      </c>
      <c r="AC1029" s="302"/>
      <c r="AD1029" s="302"/>
      <c r="AE1029" s="302"/>
      <c r="AF1029">
        <f t="shared" si="222"/>
        <v>1</v>
      </c>
    </row>
    <row r="1030" spans="1:32" ht="26.25" x14ac:dyDescent="0.25">
      <c r="A1030" s="322" t="s">
        <v>2920</v>
      </c>
      <c r="B1030" s="93" t="str">
        <f t="shared" si="234"/>
        <v>YES</v>
      </c>
      <c r="C1030" s="93" t="s">
        <v>5503</v>
      </c>
      <c r="D1030" s="4">
        <v>40380</v>
      </c>
      <c r="E1030" s="2">
        <v>40452</v>
      </c>
      <c r="F1030" s="2">
        <f t="shared" si="223"/>
        <v>44105</v>
      </c>
      <c r="G1030" s="6">
        <v>240</v>
      </c>
      <c r="H1030" s="7" t="s">
        <v>2024</v>
      </c>
      <c r="I1030" s="7" t="s">
        <v>512</v>
      </c>
      <c r="J1030" s="105" t="s">
        <v>5188</v>
      </c>
      <c r="K1030" s="266">
        <f t="shared" si="235"/>
        <v>2020</v>
      </c>
      <c r="L1030" s="386"/>
      <c r="M1030" s="386"/>
      <c r="N1030" s="32" t="s">
        <v>2922</v>
      </c>
      <c r="O1030" s="32" t="s">
        <v>2923</v>
      </c>
      <c r="P1030" s="278"/>
      <c r="Q1030" s="233" t="s">
        <v>2921</v>
      </c>
      <c r="R1030" s="75">
        <v>985</v>
      </c>
      <c r="S1030" s="75">
        <v>2400</v>
      </c>
      <c r="T1030" s="75">
        <v>3385</v>
      </c>
      <c r="U1030" s="200">
        <v>360</v>
      </c>
      <c r="V1030" s="287">
        <f t="shared" ca="1" si="236"/>
        <v>10</v>
      </c>
      <c r="W1030" s="75">
        <f t="shared" ca="1" si="237"/>
        <v>4200</v>
      </c>
      <c r="X1030" s="200">
        <f t="shared" ca="1" si="238"/>
        <v>7225</v>
      </c>
      <c r="Y1030" s="1"/>
      <c r="Z1030" s="31">
        <v>0.1</v>
      </c>
      <c r="AA1030" s="223">
        <v>0.09</v>
      </c>
      <c r="AB1030" s="302" t="s">
        <v>6883</v>
      </c>
      <c r="AC1030" s="302"/>
      <c r="AD1030" s="302"/>
      <c r="AE1030" s="302"/>
      <c r="AF1030">
        <f t="shared" si="222"/>
        <v>1</v>
      </c>
    </row>
    <row r="1031" spans="1:32" ht="26.25" x14ac:dyDescent="0.25">
      <c r="A1031" s="322" t="s">
        <v>2924</v>
      </c>
      <c r="B1031" s="93" t="str">
        <f t="shared" si="234"/>
        <v>YES</v>
      </c>
      <c r="C1031" s="93" t="s">
        <v>5503</v>
      </c>
      <c r="D1031" s="4">
        <v>40380</v>
      </c>
      <c r="E1031" s="2">
        <v>40452</v>
      </c>
      <c r="F1031" s="2">
        <f t="shared" si="223"/>
        <v>44105</v>
      </c>
      <c r="G1031" s="6">
        <v>120</v>
      </c>
      <c r="H1031" s="7" t="s">
        <v>2024</v>
      </c>
      <c r="I1031" s="7" t="s">
        <v>512</v>
      </c>
      <c r="J1031" s="105" t="s">
        <v>5188</v>
      </c>
      <c r="K1031" s="266">
        <f t="shared" si="235"/>
        <v>2020</v>
      </c>
      <c r="L1031" s="386"/>
      <c r="M1031" s="386"/>
      <c r="N1031" s="32" t="s">
        <v>2922</v>
      </c>
      <c r="O1031" s="32" t="s">
        <v>2926</v>
      </c>
      <c r="P1031" s="278"/>
      <c r="Q1031" s="233" t="s">
        <v>2925</v>
      </c>
      <c r="R1031" s="75">
        <v>565</v>
      </c>
      <c r="S1031" s="75">
        <v>3360</v>
      </c>
      <c r="T1031" s="75">
        <v>3925</v>
      </c>
      <c r="U1031" s="200">
        <v>180</v>
      </c>
      <c r="V1031" s="287">
        <f t="shared" ca="1" si="236"/>
        <v>10</v>
      </c>
      <c r="W1031" s="75">
        <f t="shared" ca="1" si="237"/>
        <v>2100</v>
      </c>
      <c r="X1031" s="200">
        <f t="shared" ca="1" si="238"/>
        <v>5845</v>
      </c>
      <c r="Y1031" s="1"/>
      <c r="Z1031" s="31">
        <v>0.1</v>
      </c>
      <c r="AA1031" s="223">
        <v>0.09</v>
      </c>
      <c r="AB1031" s="302" t="s">
        <v>6884</v>
      </c>
      <c r="AC1031" s="302"/>
      <c r="AD1031" s="302"/>
      <c r="AE1031" s="302"/>
      <c r="AF1031">
        <f t="shared" si="222"/>
        <v>1</v>
      </c>
    </row>
    <row r="1032" spans="1:32" ht="26.25" x14ac:dyDescent="0.25">
      <c r="A1032" s="322" t="s">
        <v>2927</v>
      </c>
      <c r="B1032" s="93" t="str">
        <f t="shared" si="234"/>
        <v>YES</v>
      </c>
      <c r="C1032" s="93" t="s">
        <v>5503</v>
      </c>
      <c r="D1032" s="4">
        <v>40380</v>
      </c>
      <c r="E1032" s="2">
        <v>40452</v>
      </c>
      <c r="F1032" s="2">
        <f t="shared" si="223"/>
        <v>44105</v>
      </c>
      <c r="G1032" s="6">
        <v>40</v>
      </c>
      <c r="H1032" s="7" t="s">
        <v>2024</v>
      </c>
      <c r="I1032" s="7" t="s">
        <v>512</v>
      </c>
      <c r="J1032" s="105" t="s">
        <v>5188</v>
      </c>
      <c r="K1032" s="266">
        <f t="shared" si="235"/>
        <v>2020</v>
      </c>
      <c r="L1032" s="386"/>
      <c r="M1032" s="386"/>
      <c r="N1032" s="32" t="s">
        <v>2929</v>
      </c>
      <c r="O1032" s="32" t="s">
        <v>2930</v>
      </c>
      <c r="P1032" s="278"/>
      <c r="Q1032" s="233" t="s">
        <v>2928</v>
      </c>
      <c r="R1032" s="75">
        <v>285</v>
      </c>
      <c r="S1032" s="75">
        <v>640</v>
      </c>
      <c r="T1032" s="75">
        <v>925</v>
      </c>
      <c r="U1032" s="200">
        <v>60</v>
      </c>
      <c r="V1032" s="287">
        <f t="shared" ca="1" si="236"/>
        <v>10</v>
      </c>
      <c r="W1032" s="75">
        <f t="shared" ca="1" si="237"/>
        <v>700</v>
      </c>
      <c r="X1032" s="200">
        <f t="shared" ca="1" si="238"/>
        <v>1565</v>
      </c>
      <c r="Y1032" s="1"/>
      <c r="Z1032" s="31">
        <v>0.1</v>
      </c>
      <c r="AA1032" s="223">
        <v>0.09</v>
      </c>
      <c r="AB1032" s="302" t="s">
        <v>6885</v>
      </c>
      <c r="AC1032" s="302"/>
      <c r="AD1032" s="302"/>
      <c r="AE1032" s="302"/>
      <c r="AF1032">
        <f t="shared" si="222"/>
        <v>1</v>
      </c>
    </row>
    <row r="1033" spans="1:32" ht="26.25" x14ac:dyDescent="0.25">
      <c r="A1033" s="322" t="s">
        <v>2931</v>
      </c>
      <c r="B1033" s="93" t="str">
        <f t="shared" si="234"/>
        <v>YES</v>
      </c>
      <c r="C1033" s="93" t="s">
        <v>5503</v>
      </c>
      <c r="D1033" s="4">
        <v>40380</v>
      </c>
      <c r="E1033" s="2">
        <v>40452</v>
      </c>
      <c r="F1033" s="2">
        <f t="shared" si="223"/>
        <v>44105</v>
      </c>
      <c r="G1033" s="6">
        <v>40</v>
      </c>
      <c r="H1033" s="7" t="s">
        <v>2024</v>
      </c>
      <c r="I1033" s="7" t="s">
        <v>512</v>
      </c>
      <c r="J1033" s="105" t="s">
        <v>5188</v>
      </c>
      <c r="K1033" s="266">
        <f t="shared" si="235"/>
        <v>2020</v>
      </c>
      <c r="L1033" s="386"/>
      <c r="M1033" s="386"/>
      <c r="N1033" s="32" t="s">
        <v>2929</v>
      </c>
      <c r="O1033" s="32" t="s">
        <v>2933</v>
      </c>
      <c r="P1033" s="278"/>
      <c r="Q1033" s="233" t="s">
        <v>2932</v>
      </c>
      <c r="R1033" s="75">
        <v>285</v>
      </c>
      <c r="S1033" s="75">
        <v>720</v>
      </c>
      <c r="T1033" s="75">
        <v>1005</v>
      </c>
      <c r="U1033" s="200">
        <v>60</v>
      </c>
      <c r="V1033" s="287">
        <f t="shared" ca="1" si="236"/>
        <v>10</v>
      </c>
      <c r="W1033" s="75">
        <f t="shared" ca="1" si="237"/>
        <v>700</v>
      </c>
      <c r="X1033" s="200">
        <f t="shared" ca="1" si="238"/>
        <v>1645</v>
      </c>
      <c r="Y1033" s="1"/>
      <c r="Z1033" s="31">
        <v>0.1</v>
      </c>
      <c r="AA1033" s="223">
        <v>0.09</v>
      </c>
      <c r="AB1033" s="302" t="s">
        <v>6886</v>
      </c>
      <c r="AC1033" s="302"/>
      <c r="AD1033" s="302"/>
      <c r="AE1033" s="302"/>
      <c r="AF1033">
        <f t="shared" si="222"/>
        <v>1</v>
      </c>
    </row>
    <row r="1034" spans="1:32" ht="26.25" x14ac:dyDescent="0.25">
      <c r="A1034" s="322" t="s">
        <v>2934</v>
      </c>
      <c r="B1034" s="93" t="str">
        <f t="shared" si="234"/>
        <v>YES</v>
      </c>
      <c r="C1034" s="93" t="s">
        <v>5503</v>
      </c>
      <c r="D1034" s="4">
        <v>40380</v>
      </c>
      <c r="E1034" s="2">
        <v>40452</v>
      </c>
      <c r="F1034" s="2">
        <f t="shared" si="223"/>
        <v>44105</v>
      </c>
      <c r="G1034" s="6">
        <v>40</v>
      </c>
      <c r="H1034" s="7" t="s">
        <v>2024</v>
      </c>
      <c r="I1034" s="7" t="s">
        <v>512</v>
      </c>
      <c r="J1034" s="105" t="s">
        <v>5188</v>
      </c>
      <c r="K1034" s="266">
        <f t="shared" si="235"/>
        <v>2020</v>
      </c>
      <c r="L1034" s="386"/>
      <c r="M1034" s="386"/>
      <c r="N1034" s="32" t="s">
        <v>2929</v>
      </c>
      <c r="O1034" s="32" t="s">
        <v>2935</v>
      </c>
      <c r="P1034" s="278"/>
      <c r="Q1034" s="233">
        <v>201007</v>
      </c>
      <c r="R1034" s="75">
        <v>285</v>
      </c>
      <c r="S1034" s="75">
        <v>800</v>
      </c>
      <c r="T1034" s="75">
        <v>1085</v>
      </c>
      <c r="U1034" s="200">
        <v>60</v>
      </c>
      <c r="V1034" s="287">
        <f t="shared" ca="1" si="236"/>
        <v>10</v>
      </c>
      <c r="W1034" s="75">
        <f t="shared" ca="1" si="237"/>
        <v>700</v>
      </c>
      <c r="X1034" s="200">
        <f t="shared" ca="1" si="238"/>
        <v>1725</v>
      </c>
      <c r="Y1034" s="1"/>
      <c r="Z1034" s="31">
        <v>0.1</v>
      </c>
      <c r="AA1034" s="223">
        <v>0.09</v>
      </c>
      <c r="AB1034" s="302" t="s">
        <v>6887</v>
      </c>
      <c r="AC1034" s="302"/>
      <c r="AD1034" s="302"/>
      <c r="AE1034" s="302"/>
      <c r="AF1034">
        <f t="shared" si="222"/>
        <v>1</v>
      </c>
    </row>
    <row r="1035" spans="1:32" ht="26.25" x14ac:dyDescent="0.25">
      <c r="A1035" s="322" t="s">
        <v>2936</v>
      </c>
      <c r="B1035" s="93" t="str">
        <f t="shared" si="234"/>
        <v>YES</v>
      </c>
      <c r="C1035" s="93" t="s">
        <v>5503</v>
      </c>
      <c r="D1035" s="4">
        <v>40380</v>
      </c>
      <c r="E1035" s="2">
        <v>40452</v>
      </c>
      <c r="F1035" s="2">
        <f t="shared" si="223"/>
        <v>44105</v>
      </c>
      <c r="G1035" s="6">
        <v>520</v>
      </c>
      <c r="H1035" s="7" t="s">
        <v>2024</v>
      </c>
      <c r="I1035" s="7" t="s">
        <v>512</v>
      </c>
      <c r="J1035" s="105" t="s">
        <v>5188</v>
      </c>
      <c r="K1035" s="266">
        <f t="shared" si="235"/>
        <v>2020</v>
      </c>
      <c r="L1035" s="386"/>
      <c r="M1035" s="386"/>
      <c r="N1035" s="32" t="s">
        <v>2929</v>
      </c>
      <c r="O1035" s="32" t="s">
        <v>2937</v>
      </c>
      <c r="P1035" s="278" t="s">
        <v>2938</v>
      </c>
      <c r="Q1035" s="233">
        <v>201007</v>
      </c>
      <c r="R1035" s="75">
        <v>1965</v>
      </c>
      <c r="S1035" s="75">
        <v>10400</v>
      </c>
      <c r="T1035" s="75">
        <v>12365</v>
      </c>
      <c r="U1035" s="200">
        <v>780</v>
      </c>
      <c r="V1035" s="287">
        <f t="shared" ca="1" si="236"/>
        <v>10</v>
      </c>
      <c r="W1035" s="75">
        <f t="shared" ca="1" si="237"/>
        <v>9100</v>
      </c>
      <c r="X1035" s="200">
        <f t="shared" ca="1" si="238"/>
        <v>20685</v>
      </c>
      <c r="Y1035" s="1"/>
      <c r="Z1035" s="31">
        <v>0.1</v>
      </c>
      <c r="AA1035" s="223">
        <v>0.09</v>
      </c>
      <c r="AB1035" s="302" t="s">
        <v>6888</v>
      </c>
      <c r="AC1035" s="302"/>
      <c r="AD1035" s="302"/>
      <c r="AE1035" s="302"/>
      <c r="AF1035">
        <f t="shared" ref="AF1035:AF1098" si="239">COUNTIF(FilterList,A1035)</f>
        <v>1</v>
      </c>
    </row>
    <row r="1036" spans="1:32" ht="26.25" x14ac:dyDescent="0.25">
      <c r="A1036" s="322" t="s">
        <v>2939</v>
      </c>
      <c r="B1036" s="93" t="str">
        <f t="shared" si="234"/>
        <v>YES</v>
      </c>
      <c r="C1036" s="93" t="s">
        <v>5503</v>
      </c>
      <c r="D1036" s="4">
        <v>40380</v>
      </c>
      <c r="E1036" s="2">
        <v>40452</v>
      </c>
      <c r="F1036" s="2">
        <f t="shared" ref="F1036:F1094" si="240">DATE(YEAR(E1036)+10,MONTH(E1036),DAY(E1036))</f>
        <v>44105</v>
      </c>
      <c r="G1036" s="6">
        <v>400</v>
      </c>
      <c r="H1036" s="7" t="s">
        <v>2024</v>
      </c>
      <c r="I1036" s="7" t="s">
        <v>512</v>
      </c>
      <c r="J1036" s="105" t="s">
        <v>5188</v>
      </c>
      <c r="K1036" s="266">
        <f t="shared" si="235"/>
        <v>2020</v>
      </c>
      <c r="L1036" s="386"/>
      <c r="M1036" s="386"/>
      <c r="N1036" s="32" t="s">
        <v>2929</v>
      </c>
      <c r="O1036" s="32" t="s">
        <v>2940</v>
      </c>
      <c r="P1036" s="278"/>
      <c r="Q1036" s="233">
        <v>201007</v>
      </c>
      <c r="R1036" s="75">
        <v>1545</v>
      </c>
      <c r="S1036" s="75">
        <v>2400</v>
      </c>
      <c r="T1036" s="75">
        <v>3945</v>
      </c>
      <c r="U1036" s="200">
        <v>600</v>
      </c>
      <c r="V1036" s="287">
        <f t="shared" ca="1" si="236"/>
        <v>10</v>
      </c>
      <c r="W1036" s="75">
        <f t="shared" ca="1" si="237"/>
        <v>7000</v>
      </c>
      <c r="X1036" s="200">
        <f t="shared" ca="1" si="238"/>
        <v>10345</v>
      </c>
      <c r="Y1036" s="1"/>
      <c r="Z1036" s="31">
        <v>0.1</v>
      </c>
      <c r="AA1036" s="223">
        <v>0.09</v>
      </c>
      <c r="AB1036" s="302" t="s">
        <v>6889</v>
      </c>
      <c r="AC1036" s="302"/>
      <c r="AD1036" s="302"/>
      <c r="AE1036" s="302"/>
      <c r="AF1036">
        <f t="shared" si="239"/>
        <v>1</v>
      </c>
    </row>
    <row r="1037" spans="1:32" ht="26.25" x14ac:dyDescent="0.25">
      <c r="A1037" s="322" t="s">
        <v>2941</v>
      </c>
      <c r="B1037" s="93" t="str">
        <f t="shared" si="234"/>
        <v>YES</v>
      </c>
      <c r="C1037" s="93" t="s">
        <v>5503</v>
      </c>
      <c r="D1037" s="4">
        <v>40380</v>
      </c>
      <c r="E1037" s="2">
        <v>40452</v>
      </c>
      <c r="F1037" s="2">
        <f t="shared" si="240"/>
        <v>44105</v>
      </c>
      <c r="G1037" s="6">
        <v>40</v>
      </c>
      <c r="H1037" s="7" t="s">
        <v>2024</v>
      </c>
      <c r="I1037" s="7" t="s">
        <v>512</v>
      </c>
      <c r="J1037" s="105" t="s">
        <v>5188</v>
      </c>
      <c r="K1037" s="266">
        <f t="shared" si="235"/>
        <v>2020</v>
      </c>
      <c r="L1037" s="386"/>
      <c r="M1037" s="386"/>
      <c r="N1037" s="32" t="s">
        <v>2929</v>
      </c>
      <c r="O1037" s="32" t="s">
        <v>2942</v>
      </c>
      <c r="P1037" s="278"/>
      <c r="Q1037" s="233">
        <v>201007</v>
      </c>
      <c r="R1037" s="75">
        <v>285</v>
      </c>
      <c r="S1037" s="75">
        <v>0</v>
      </c>
      <c r="T1037" s="75">
        <v>285</v>
      </c>
      <c r="U1037" s="200">
        <v>60</v>
      </c>
      <c r="V1037" s="287">
        <f t="shared" ca="1" si="236"/>
        <v>10</v>
      </c>
      <c r="W1037" s="75">
        <f t="shared" ca="1" si="237"/>
        <v>700</v>
      </c>
      <c r="X1037" s="200">
        <f t="shared" ca="1" si="238"/>
        <v>925</v>
      </c>
      <c r="Y1037" s="1"/>
      <c r="Z1037" s="31">
        <v>0.1</v>
      </c>
      <c r="AA1037" s="223">
        <v>0.09</v>
      </c>
      <c r="AB1037" s="302" t="s">
        <v>6890</v>
      </c>
      <c r="AC1037" s="302"/>
      <c r="AD1037" s="302"/>
      <c r="AE1037" s="302"/>
      <c r="AF1037">
        <f t="shared" si="239"/>
        <v>1</v>
      </c>
    </row>
    <row r="1038" spans="1:32" ht="39" x14ac:dyDescent="0.25">
      <c r="A1038" s="322" t="s">
        <v>2943</v>
      </c>
      <c r="B1038" s="93" t="str">
        <f t="shared" si="234"/>
        <v>YES</v>
      </c>
      <c r="C1038" s="93" t="s">
        <v>5503</v>
      </c>
      <c r="D1038" s="4">
        <v>40380</v>
      </c>
      <c r="E1038" s="2">
        <v>40452</v>
      </c>
      <c r="F1038" s="2">
        <f t="shared" si="240"/>
        <v>44105</v>
      </c>
      <c r="G1038" s="6">
        <v>600</v>
      </c>
      <c r="H1038" s="7" t="s">
        <v>2024</v>
      </c>
      <c r="I1038" s="7" t="s">
        <v>512</v>
      </c>
      <c r="J1038" s="105" t="s">
        <v>5188</v>
      </c>
      <c r="K1038" s="266">
        <f t="shared" si="235"/>
        <v>2020</v>
      </c>
      <c r="L1038" s="386"/>
      <c r="M1038" s="386"/>
      <c r="N1038" s="32" t="s">
        <v>2929</v>
      </c>
      <c r="O1038" s="32" t="s">
        <v>2944</v>
      </c>
      <c r="P1038" s="278" t="s">
        <v>2945</v>
      </c>
      <c r="Q1038" s="233">
        <v>201007</v>
      </c>
      <c r="R1038" s="75">
        <v>2245</v>
      </c>
      <c r="S1038" s="75">
        <v>14400</v>
      </c>
      <c r="T1038" s="75">
        <v>16645</v>
      </c>
      <c r="U1038" s="200">
        <v>900</v>
      </c>
      <c r="V1038" s="287">
        <f t="shared" ca="1" si="236"/>
        <v>10</v>
      </c>
      <c r="W1038" s="75">
        <f t="shared" ca="1" si="237"/>
        <v>10500</v>
      </c>
      <c r="X1038" s="200">
        <f t="shared" ca="1" si="238"/>
        <v>26245</v>
      </c>
      <c r="Y1038" s="1"/>
      <c r="Z1038" s="31">
        <v>0.1</v>
      </c>
      <c r="AA1038" s="223">
        <v>0.09</v>
      </c>
      <c r="AB1038" s="302" t="s">
        <v>6891</v>
      </c>
      <c r="AC1038" s="302"/>
      <c r="AD1038" s="302"/>
      <c r="AE1038" s="302"/>
      <c r="AF1038">
        <f t="shared" si="239"/>
        <v>1</v>
      </c>
    </row>
    <row r="1039" spans="1:32" ht="26.25" x14ac:dyDescent="0.25">
      <c r="A1039" s="322" t="s">
        <v>2946</v>
      </c>
      <c r="B1039" s="93" t="str">
        <f t="shared" si="234"/>
        <v>YES</v>
      </c>
      <c r="C1039" s="93" t="s">
        <v>5503</v>
      </c>
      <c r="D1039" s="4">
        <v>40380</v>
      </c>
      <c r="E1039" s="2">
        <v>40452</v>
      </c>
      <c r="F1039" s="2">
        <f t="shared" si="240"/>
        <v>44105</v>
      </c>
      <c r="G1039" s="6">
        <v>40</v>
      </c>
      <c r="H1039" s="7" t="s">
        <v>2024</v>
      </c>
      <c r="I1039" s="7" t="s">
        <v>512</v>
      </c>
      <c r="J1039" s="105" t="s">
        <v>5188</v>
      </c>
      <c r="K1039" s="266">
        <f t="shared" si="235"/>
        <v>2020</v>
      </c>
      <c r="L1039" s="386"/>
      <c r="M1039" s="386"/>
      <c r="N1039" s="32" t="s">
        <v>2929</v>
      </c>
      <c r="O1039" s="32" t="s">
        <v>2947</v>
      </c>
      <c r="P1039" s="278"/>
      <c r="Q1039" s="233">
        <v>201007</v>
      </c>
      <c r="R1039" s="75">
        <v>285</v>
      </c>
      <c r="S1039" s="75">
        <v>640</v>
      </c>
      <c r="T1039" s="75">
        <v>925</v>
      </c>
      <c r="U1039" s="200">
        <v>60</v>
      </c>
      <c r="V1039" s="287">
        <f t="shared" ca="1" si="236"/>
        <v>10</v>
      </c>
      <c r="W1039" s="75">
        <f t="shared" ca="1" si="237"/>
        <v>700</v>
      </c>
      <c r="X1039" s="200">
        <f t="shared" ca="1" si="238"/>
        <v>1565</v>
      </c>
      <c r="Y1039" s="1"/>
      <c r="Z1039" s="31">
        <v>0.1</v>
      </c>
      <c r="AA1039" s="223">
        <v>0.09</v>
      </c>
      <c r="AB1039" s="302" t="s">
        <v>6892</v>
      </c>
      <c r="AC1039" s="302"/>
      <c r="AD1039" s="302"/>
      <c r="AE1039" s="302"/>
      <c r="AF1039">
        <f t="shared" si="239"/>
        <v>1</v>
      </c>
    </row>
    <row r="1040" spans="1:32" ht="26.25" x14ac:dyDescent="0.25">
      <c r="A1040" s="322" t="s">
        <v>2948</v>
      </c>
      <c r="B1040" s="93" t="str">
        <f t="shared" si="234"/>
        <v>YES</v>
      </c>
      <c r="C1040" s="93" t="s">
        <v>5503</v>
      </c>
      <c r="D1040" s="4">
        <v>40380</v>
      </c>
      <c r="E1040" s="2">
        <v>40452</v>
      </c>
      <c r="F1040" s="2">
        <f t="shared" si="240"/>
        <v>44105</v>
      </c>
      <c r="G1040" s="6">
        <v>120</v>
      </c>
      <c r="H1040" s="7" t="s">
        <v>2024</v>
      </c>
      <c r="I1040" s="7" t="s">
        <v>512</v>
      </c>
      <c r="J1040" s="105" t="s">
        <v>5188</v>
      </c>
      <c r="K1040" s="266">
        <f t="shared" si="235"/>
        <v>2020</v>
      </c>
      <c r="L1040" s="386"/>
      <c r="M1040" s="386"/>
      <c r="N1040" s="32" t="s">
        <v>2929</v>
      </c>
      <c r="O1040" s="32" t="s">
        <v>2949</v>
      </c>
      <c r="P1040" s="278"/>
      <c r="Q1040" s="233">
        <v>201007</v>
      </c>
      <c r="R1040" s="75">
        <v>565</v>
      </c>
      <c r="S1040" s="75">
        <v>1200</v>
      </c>
      <c r="T1040" s="75">
        <v>1765</v>
      </c>
      <c r="U1040" s="200">
        <v>180</v>
      </c>
      <c r="V1040" s="287">
        <f t="shared" ca="1" si="236"/>
        <v>10</v>
      </c>
      <c r="W1040" s="75">
        <f t="shared" ca="1" si="237"/>
        <v>2100</v>
      </c>
      <c r="X1040" s="200">
        <f t="shared" ca="1" si="238"/>
        <v>3685</v>
      </c>
      <c r="Y1040" s="1"/>
      <c r="Z1040" s="31">
        <v>0.1</v>
      </c>
      <c r="AA1040" s="223">
        <v>0.09</v>
      </c>
      <c r="AB1040" s="302" t="s">
        <v>6893</v>
      </c>
      <c r="AC1040" s="302"/>
      <c r="AD1040" s="302"/>
      <c r="AE1040" s="302"/>
      <c r="AF1040">
        <f t="shared" si="239"/>
        <v>1</v>
      </c>
    </row>
    <row r="1041" spans="1:32" ht="26.25" x14ac:dyDescent="0.25">
      <c r="A1041" s="322" t="s">
        <v>2950</v>
      </c>
      <c r="B1041" s="93" t="str">
        <f t="shared" si="234"/>
        <v>YES</v>
      </c>
      <c r="C1041" s="93" t="s">
        <v>5503</v>
      </c>
      <c r="D1041" s="4">
        <v>40380</v>
      </c>
      <c r="E1041" s="2">
        <v>40452</v>
      </c>
      <c r="F1041" s="2">
        <f t="shared" si="240"/>
        <v>44105</v>
      </c>
      <c r="G1041" s="6">
        <v>280</v>
      </c>
      <c r="H1041" s="7" t="s">
        <v>2024</v>
      </c>
      <c r="I1041" s="7" t="s">
        <v>512</v>
      </c>
      <c r="J1041" s="105" t="s">
        <v>5188</v>
      </c>
      <c r="K1041" s="266">
        <f t="shared" si="235"/>
        <v>2020</v>
      </c>
      <c r="L1041" s="386"/>
      <c r="M1041" s="386"/>
      <c r="N1041" s="32" t="s">
        <v>2929</v>
      </c>
      <c r="O1041" s="32" t="s">
        <v>2951</v>
      </c>
      <c r="P1041" s="278" t="s">
        <v>2952</v>
      </c>
      <c r="Q1041" s="233">
        <v>201007</v>
      </c>
      <c r="R1041" s="75">
        <v>1125</v>
      </c>
      <c r="S1041" s="75">
        <v>5600</v>
      </c>
      <c r="T1041" s="75">
        <v>6725</v>
      </c>
      <c r="U1041" s="200">
        <v>420</v>
      </c>
      <c r="V1041" s="287">
        <f t="shared" ca="1" si="236"/>
        <v>10</v>
      </c>
      <c r="W1041" s="75">
        <f t="shared" ca="1" si="237"/>
        <v>4900</v>
      </c>
      <c r="X1041" s="200">
        <f t="shared" ca="1" si="238"/>
        <v>11205</v>
      </c>
      <c r="Y1041" s="1"/>
      <c r="Z1041" s="31">
        <v>0.1</v>
      </c>
      <c r="AA1041" s="223">
        <v>0.09</v>
      </c>
      <c r="AB1041" s="302" t="s">
        <v>6894</v>
      </c>
      <c r="AC1041" s="302"/>
      <c r="AD1041" s="302"/>
      <c r="AE1041" s="302"/>
      <c r="AF1041">
        <f t="shared" si="239"/>
        <v>1</v>
      </c>
    </row>
    <row r="1042" spans="1:32" ht="26.25" x14ac:dyDescent="0.25">
      <c r="A1042" s="322" t="s">
        <v>2953</v>
      </c>
      <c r="B1042" s="93" t="str">
        <f t="shared" si="234"/>
        <v>YES</v>
      </c>
      <c r="C1042" s="93" t="s">
        <v>5503</v>
      </c>
      <c r="D1042" s="4">
        <v>40380</v>
      </c>
      <c r="E1042" s="2">
        <v>40452</v>
      </c>
      <c r="F1042" s="2">
        <f t="shared" si="240"/>
        <v>44105</v>
      </c>
      <c r="G1042" s="6">
        <v>40.29</v>
      </c>
      <c r="H1042" s="7" t="s">
        <v>2024</v>
      </c>
      <c r="I1042" s="7" t="s">
        <v>512</v>
      </c>
      <c r="J1042" s="105" t="s">
        <v>5188</v>
      </c>
      <c r="K1042" s="266">
        <f t="shared" si="235"/>
        <v>2020</v>
      </c>
      <c r="L1042" s="386"/>
      <c r="M1042" s="386"/>
      <c r="N1042" s="32" t="s">
        <v>2929</v>
      </c>
      <c r="O1042" s="32" t="s">
        <v>2954</v>
      </c>
      <c r="P1042" s="278"/>
      <c r="Q1042" s="233">
        <v>201007</v>
      </c>
      <c r="R1042" s="75">
        <v>288.5</v>
      </c>
      <c r="S1042" s="75">
        <v>574</v>
      </c>
      <c r="T1042" s="75">
        <v>862.5</v>
      </c>
      <c r="U1042" s="200">
        <v>61.5</v>
      </c>
      <c r="V1042" s="287">
        <f t="shared" ca="1" si="236"/>
        <v>10</v>
      </c>
      <c r="W1042" s="75">
        <f t="shared" ca="1" si="237"/>
        <v>717.5</v>
      </c>
      <c r="X1042" s="200">
        <f t="shared" ca="1" si="238"/>
        <v>1518.5</v>
      </c>
      <c r="Y1042" s="1"/>
      <c r="Z1042" s="31">
        <v>0.1</v>
      </c>
      <c r="AA1042" s="223">
        <v>0.09</v>
      </c>
      <c r="AB1042" s="302" t="s">
        <v>6895</v>
      </c>
      <c r="AC1042" s="302"/>
      <c r="AD1042" s="302"/>
      <c r="AE1042" s="302"/>
      <c r="AF1042">
        <f t="shared" si="239"/>
        <v>1</v>
      </c>
    </row>
    <row r="1043" spans="1:32" ht="26.25" x14ac:dyDescent="0.25">
      <c r="A1043" s="322" t="s">
        <v>2955</v>
      </c>
      <c r="B1043" s="93" t="str">
        <f t="shared" si="234"/>
        <v>YES</v>
      </c>
      <c r="C1043" s="93" t="s">
        <v>5503</v>
      </c>
      <c r="D1043" s="4">
        <v>40380</v>
      </c>
      <c r="E1043" s="2">
        <v>40452</v>
      </c>
      <c r="F1043" s="2">
        <f t="shared" si="240"/>
        <v>44105</v>
      </c>
      <c r="G1043" s="6">
        <v>40</v>
      </c>
      <c r="H1043" s="7" t="s">
        <v>2024</v>
      </c>
      <c r="I1043" s="7" t="s">
        <v>512</v>
      </c>
      <c r="J1043" s="105" t="s">
        <v>5188</v>
      </c>
      <c r="K1043" s="266">
        <f t="shared" si="235"/>
        <v>2020</v>
      </c>
      <c r="L1043" s="386"/>
      <c r="M1043" s="386"/>
      <c r="N1043" s="32" t="s">
        <v>2929</v>
      </c>
      <c r="O1043" s="32" t="s">
        <v>2956</v>
      </c>
      <c r="P1043" s="278"/>
      <c r="Q1043" s="233">
        <v>201007</v>
      </c>
      <c r="R1043" s="75">
        <v>285</v>
      </c>
      <c r="S1043" s="75">
        <v>960</v>
      </c>
      <c r="T1043" s="75">
        <v>1245</v>
      </c>
      <c r="U1043" s="200">
        <v>60</v>
      </c>
      <c r="V1043" s="287">
        <f t="shared" ca="1" si="236"/>
        <v>10</v>
      </c>
      <c r="W1043" s="75">
        <f t="shared" ca="1" si="237"/>
        <v>700</v>
      </c>
      <c r="X1043" s="200">
        <f t="shared" ca="1" si="238"/>
        <v>1885</v>
      </c>
      <c r="Y1043" s="1"/>
      <c r="Z1043" s="31">
        <v>0.1</v>
      </c>
      <c r="AA1043" s="223">
        <v>0.09</v>
      </c>
      <c r="AB1043" s="302" t="s">
        <v>6896</v>
      </c>
      <c r="AC1043" s="302"/>
      <c r="AD1043" s="302"/>
      <c r="AE1043" s="302"/>
      <c r="AF1043">
        <f t="shared" si="239"/>
        <v>1</v>
      </c>
    </row>
    <row r="1044" spans="1:32" ht="26.25" x14ac:dyDescent="0.25">
      <c r="A1044" s="322" t="s">
        <v>2957</v>
      </c>
      <c r="B1044" s="93" t="str">
        <f t="shared" si="234"/>
        <v>YES</v>
      </c>
      <c r="C1044" s="93" t="s">
        <v>5503</v>
      </c>
      <c r="D1044" s="4">
        <v>40380</v>
      </c>
      <c r="E1044" s="2">
        <v>40452</v>
      </c>
      <c r="F1044" s="2">
        <f t="shared" si="240"/>
        <v>44105</v>
      </c>
      <c r="G1044" s="6">
        <v>40</v>
      </c>
      <c r="H1044" s="7" t="s">
        <v>2024</v>
      </c>
      <c r="I1044" s="7" t="s">
        <v>512</v>
      </c>
      <c r="J1044" s="105" t="s">
        <v>5188</v>
      </c>
      <c r="K1044" s="266">
        <f t="shared" si="235"/>
        <v>2020</v>
      </c>
      <c r="L1044" s="386"/>
      <c r="M1044" s="386"/>
      <c r="N1044" s="32" t="s">
        <v>2958</v>
      </c>
      <c r="O1044" s="32" t="s">
        <v>2959</v>
      </c>
      <c r="P1044" s="278"/>
      <c r="Q1044" s="233">
        <v>201007</v>
      </c>
      <c r="R1044" s="75">
        <v>285</v>
      </c>
      <c r="S1044" s="75">
        <v>640</v>
      </c>
      <c r="T1044" s="75">
        <v>925</v>
      </c>
      <c r="U1044" s="200">
        <v>60</v>
      </c>
      <c r="V1044" s="287">
        <f t="shared" ca="1" si="236"/>
        <v>10</v>
      </c>
      <c r="W1044" s="75">
        <f t="shared" ca="1" si="237"/>
        <v>700</v>
      </c>
      <c r="X1044" s="200">
        <f t="shared" ca="1" si="238"/>
        <v>1565</v>
      </c>
      <c r="Y1044" s="1"/>
      <c r="Z1044" s="31">
        <v>0.1</v>
      </c>
      <c r="AA1044" s="223">
        <v>0.09</v>
      </c>
      <c r="AB1044" s="302" t="s">
        <v>6897</v>
      </c>
      <c r="AC1044" s="302"/>
      <c r="AD1044" s="302"/>
      <c r="AE1044" s="302"/>
      <c r="AF1044">
        <f t="shared" si="239"/>
        <v>1</v>
      </c>
    </row>
    <row r="1045" spans="1:32" ht="26.25" x14ac:dyDescent="0.25">
      <c r="A1045" s="322" t="s">
        <v>2960</v>
      </c>
      <c r="B1045" s="93" t="str">
        <f t="shared" si="234"/>
        <v>YES</v>
      </c>
      <c r="C1045" s="93" t="s">
        <v>5503</v>
      </c>
      <c r="D1045" s="4">
        <v>40380</v>
      </c>
      <c r="E1045" s="2">
        <v>40452</v>
      </c>
      <c r="F1045" s="2">
        <f t="shared" si="240"/>
        <v>44105</v>
      </c>
      <c r="G1045" s="6">
        <v>40</v>
      </c>
      <c r="H1045" s="7" t="s">
        <v>2024</v>
      </c>
      <c r="I1045" s="7" t="s">
        <v>512</v>
      </c>
      <c r="J1045" s="105" t="s">
        <v>5188</v>
      </c>
      <c r="K1045" s="266">
        <f t="shared" si="235"/>
        <v>2020</v>
      </c>
      <c r="L1045" s="386"/>
      <c r="M1045" s="386"/>
      <c r="N1045" s="32" t="s">
        <v>2958</v>
      </c>
      <c r="O1045" s="32" t="s">
        <v>2961</v>
      </c>
      <c r="P1045" s="278"/>
      <c r="Q1045" s="233">
        <v>201007</v>
      </c>
      <c r="R1045" s="75">
        <v>285</v>
      </c>
      <c r="S1045" s="75">
        <v>600</v>
      </c>
      <c r="T1045" s="75">
        <v>885</v>
      </c>
      <c r="U1045" s="200">
        <v>60</v>
      </c>
      <c r="V1045" s="287">
        <f t="shared" ca="1" si="236"/>
        <v>10</v>
      </c>
      <c r="W1045" s="75">
        <f t="shared" ca="1" si="237"/>
        <v>700</v>
      </c>
      <c r="X1045" s="200">
        <f t="shared" ca="1" si="238"/>
        <v>1525</v>
      </c>
      <c r="Y1045" s="1"/>
      <c r="Z1045" s="31">
        <v>0.1</v>
      </c>
      <c r="AA1045" s="223">
        <v>0.09</v>
      </c>
      <c r="AB1045" s="302" t="s">
        <v>6898</v>
      </c>
      <c r="AC1045" s="302"/>
      <c r="AD1045" s="302"/>
      <c r="AE1045" s="302"/>
      <c r="AF1045">
        <f t="shared" si="239"/>
        <v>1</v>
      </c>
    </row>
    <row r="1046" spans="1:32" ht="26.25" x14ac:dyDescent="0.25">
      <c r="A1046" s="322" t="s">
        <v>2962</v>
      </c>
      <c r="B1046" s="93" t="str">
        <f t="shared" si="234"/>
        <v>YES</v>
      </c>
      <c r="C1046" s="93" t="s">
        <v>5503</v>
      </c>
      <c r="D1046" s="4">
        <v>40380</v>
      </c>
      <c r="E1046" s="2">
        <v>40452</v>
      </c>
      <c r="F1046" s="2">
        <f t="shared" si="240"/>
        <v>44105</v>
      </c>
      <c r="G1046" s="6">
        <v>40</v>
      </c>
      <c r="H1046" s="7" t="s">
        <v>2024</v>
      </c>
      <c r="I1046" s="7" t="s">
        <v>512</v>
      </c>
      <c r="J1046" s="105" t="s">
        <v>5188</v>
      </c>
      <c r="K1046" s="266">
        <f t="shared" si="235"/>
        <v>2020</v>
      </c>
      <c r="L1046" s="386"/>
      <c r="M1046" s="386"/>
      <c r="N1046" s="32" t="s">
        <v>2958</v>
      </c>
      <c r="O1046" s="32" t="s">
        <v>2963</v>
      </c>
      <c r="P1046" s="278"/>
      <c r="Q1046" s="233">
        <v>201007</v>
      </c>
      <c r="R1046" s="75">
        <v>285</v>
      </c>
      <c r="S1046" s="75">
        <v>680</v>
      </c>
      <c r="T1046" s="75">
        <v>965</v>
      </c>
      <c r="U1046" s="200">
        <v>60</v>
      </c>
      <c r="V1046" s="287">
        <f t="shared" ca="1" si="236"/>
        <v>10</v>
      </c>
      <c r="W1046" s="75">
        <f t="shared" ca="1" si="237"/>
        <v>700</v>
      </c>
      <c r="X1046" s="200">
        <f t="shared" ca="1" si="238"/>
        <v>1605</v>
      </c>
      <c r="Y1046" s="1"/>
      <c r="Z1046" s="31">
        <v>0.1</v>
      </c>
      <c r="AA1046" s="223">
        <v>0.09</v>
      </c>
      <c r="AB1046" s="302" t="s">
        <v>6899</v>
      </c>
      <c r="AC1046" s="302"/>
      <c r="AD1046" s="302"/>
      <c r="AE1046" s="302"/>
      <c r="AF1046">
        <f t="shared" si="239"/>
        <v>1</v>
      </c>
    </row>
    <row r="1047" spans="1:32" ht="26.25" x14ac:dyDescent="0.25">
      <c r="A1047" s="322" t="s">
        <v>2964</v>
      </c>
      <c r="B1047" s="93" t="str">
        <f t="shared" si="234"/>
        <v>YES</v>
      </c>
      <c r="C1047" s="93" t="s">
        <v>5503</v>
      </c>
      <c r="D1047" s="4">
        <v>40380</v>
      </c>
      <c r="E1047" s="2">
        <v>40452</v>
      </c>
      <c r="F1047" s="2">
        <f t="shared" si="240"/>
        <v>44105</v>
      </c>
      <c r="G1047" s="6">
        <v>40</v>
      </c>
      <c r="H1047" s="7" t="s">
        <v>2024</v>
      </c>
      <c r="I1047" s="7" t="s">
        <v>512</v>
      </c>
      <c r="J1047" s="105" t="s">
        <v>5188</v>
      </c>
      <c r="K1047" s="266">
        <f t="shared" si="235"/>
        <v>2020</v>
      </c>
      <c r="L1047" s="386"/>
      <c r="M1047" s="386"/>
      <c r="N1047" s="32" t="s">
        <v>2958</v>
      </c>
      <c r="O1047" s="32" t="s">
        <v>2965</v>
      </c>
      <c r="P1047" s="278"/>
      <c r="Q1047" s="233">
        <v>201007</v>
      </c>
      <c r="R1047" s="75">
        <v>285</v>
      </c>
      <c r="S1047" s="75">
        <v>720</v>
      </c>
      <c r="T1047" s="75">
        <v>1005</v>
      </c>
      <c r="U1047" s="200">
        <v>60</v>
      </c>
      <c r="V1047" s="287">
        <f t="shared" ca="1" si="236"/>
        <v>10</v>
      </c>
      <c r="W1047" s="75">
        <f t="shared" ca="1" si="237"/>
        <v>700</v>
      </c>
      <c r="X1047" s="200">
        <f t="shared" ca="1" si="238"/>
        <v>1645</v>
      </c>
      <c r="Y1047" s="1"/>
      <c r="Z1047" s="31">
        <v>0.1</v>
      </c>
      <c r="AA1047" s="223">
        <v>0.09</v>
      </c>
      <c r="AB1047" s="302" t="s">
        <v>6900</v>
      </c>
      <c r="AC1047" s="302"/>
      <c r="AD1047" s="302"/>
      <c r="AE1047" s="302"/>
      <c r="AF1047">
        <f t="shared" si="239"/>
        <v>1</v>
      </c>
    </row>
    <row r="1048" spans="1:32" ht="26.25" x14ac:dyDescent="0.25">
      <c r="A1048" s="322" t="s">
        <v>2966</v>
      </c>
      <c r="B1048" s="93" t="str">
        <f t="shared" si="234"/>
        <v>YES</v>
      </c>
      <c r="C1048" s="93" t="s">
        <v>5503</v>
      </c>
      <c r="D1048" s="4">
        <v>40380</v>
      </c>
      <c r="E1048" s="2">
        <v>40452</v>
      </c>
      <c r="F1048" s="2">
        <f t="shared" si="240"/>
        <v>44105</v>
      </c>
      <c r="G1048" s="6">
        <v>40</v>
      </c>
      <c r="H1048" s="7" t="s">
        <v>2024</v>
      </c>
      <c r="I1048" s="7" t="s">
        <v>512</v>
      </c>
      <c r="J1048" s="105" t="s">
        <v>5188</v>
      </c>
      <c r="K1048" s="266">
        <f t="shared" si="235"/>
        <v>2020</v>
      </c>
      <c r="L1048" s="386"/>
      <c r="M1048" s="386"/>
      <c r="N1048" s="32" t="s">
        <v>2958</v>
      </c>
      <c r="O1048" s="32" t="s">
        <v>2967</v>
      </c>
      <c r="P1048" s="278"/>
      <c r="Q1048" s="233">
        <v>201007</v>
      </c>
      <c r="R1048" s="75">
        <v>285</v>
      </c>
      <c r="S1048" s="75">
        <v>800</v>
      </c>
      <c r="T1048" s="75">
        <v>1085</v>
      </c>
      <c r="U1048" s="200">
        <v>60</v>
      </c>
      <c r="V1048" s="287">
        <f t="shared" ca="1" si="236"/>
        <v>10</v>
      </c>
      <c r="W1048" s="75">
        <f t="shared" ca="1" si="237"/>
        <v>700</v>
      </c>
      <c r="X1048" s="200">
        <f t="shared" ca="1" si="238"/>
        <v>1725</v>
      </c>
      <c r="Y1048" s="1"/>
      <c r="Z1048" s="31">
        <v>0.1</v>
      </c>
      <c r="AA1048" s="223">
        <v>0.09</v>
      </c>
      <c r="AB1048" s="302" t="s">
        <v>6901</v>
      </c>
      <c r="AC1048" s="302"/>
      <c r="AD1048" s="302"/>
      <c r="AE1048" s="302"/>
      <c r="AF1048">
        <f t="shared" si="239"/>
        <v>1</v>
      </c>
    </row>
    <row r="1049" spans="1:32" ht="26.25" x14ac:dyDescent="0.25">
      <c r="A1049" s="322" t="s">
        <v>2968</v>
      </c>
      <c r="B1049" s="93" t="str">
        <f t="shared" si="234"/>
        <v>YES</v>
      </c>
      <c r="C1049" s="93" t="s">
        <v>5503</v>
      </c>
      <c r="D1049" s="4">
        <v>40380</v>
      </c>
      <c r="E1049" s="2">
        <v>40452</v>
      </c>
      <c r="F1049" s="2">
        <f t="shared" si="240"/>
        <v>44105</v>
      </c>
      <c r="G1049" s="6">
        <v>760</v>
      </c>
      <c r="H1049" s="7" t="s">
        <v>2024</v>
      </c>
      <c r="I1049" s="7" t="s">
        <v>512</v>
      </c>
      <c r="J1049" s="105" t="s">
        <v>5188</v>
      </c>
      <c r="K1049" s="266">
        <f t="shared" si="235"/>
        <v>2020</v>
      </c>
      <c r="L1049" s="386"/>
      <c r="M1049" s="386"/>
      <c r="N1049" s="32" t="s">
        <v>2958</v>
      </c>
      <c r="O1049" s="32" t="s">
        <v>2969</v>
      </c>
      <c r="P1049" s="278" t="s">
        <v>2970</v>
      </c>
      <c r="Q1049" s="233">
        <v>201007</v>
      </c>
      <c r="R1049" s="75">
        <v>2805</v>
      </c>
      <c r="S1049" s="75">
        <v>9120</v>
      </c>
      <c r="T1049" s="75">
        <v>11925</v>
      </c>
      <c r="U1049" s="200">
        <v>1140</v>
      </c>
      <c r="V1049" s="287">
        <f t="shared" ca="1" si="236"/>
        <v>10</v>
      </c>
      <c r="W1049" s="75">
        <f t="shared" ca="1" si="237"/>
        <v>13300</v>
      </c>
      <c r="X1049" s="200">
        <f t="shared" ca="1" si="238"/>
        <v>24085</v>
      </c>
      <c r="Y1049" s="1"/>
      <c r="Z1049" s="31">
        <v>0.1</v>
      </c>
      <c r="AA1049" s="223">
        <v>0.09</v>
      </c>
      <c r="AB1049" s="302" t="s">
        <v>6902</v>
      </c>
      <c r="AC1049" s="302"/>
      <c r="AD1049" s="302"/>
      <c r="AE1049" s="302"/>
      <c r="AF1049">
        <f t="shared" si="239"/>
        <v>1</v>
      </c>
    </row>
    <row r="1050" spans="1:32" ht="26.25" x14ac:dyDescent="0.25">
      <c r="A1050" s="322" t="s">
        <v>2971</v>
      </c>
      <c r="B1050" s="93" t="str">
        <f t="shared" si="234"/>
        <v>YES</v>
      </c>
      <c r="C1050" s="93" t="s">
        <v>5503</v>
      </c>
      <c r="D1050" s="4">
        <v>40380</v>
      </c>
      <c r="E1050" s="2">
        <v>40452</v>
      </c>
      <c r="F1050" s="2">
        <f t="shared" si="240"/>
        <v>44105</v>
      </c>
      <c r="G1050" s="6">
        <v>600</v>
      </c>
      <c r="H1050" s="7" t="s">
        <v>2024</v>
      </c>
      <c r="I1050" s="7" t="s">
        <v>512</v>
      </c>
      <c r="J1050" s="105" t="s">
        <v>5188</v>
      </c>
      <c r="K1050" s="266">
        <f t="shared" si="235"/>
        <v>2020</v>
      </c>
      <c r="L1050" s="386"/>
      <c r="M1050" s="386"/>
      <c r="N1050" s="32" t="s">
        <v>2958</v>
      </c>
      <c r="O1050" s="32" t="s">
        <v>2972</v>
      </c>
      <c r="P1050" s="278"/>
      <c r="Q1050" s="233">
        <v>201007</v>
      </c>
      <c r="R1050" s="75">
        <v>2245</v>
      </c>
      <c r="S1050" s="75">
        <v>3600</v>
      </c>
      <c r="T1050" s="75">
        <v>5845</v>
      </c>
      <c r="U1050" s="200">
        <v>900</v>
      </c>
      <c r="V1050" s="287">
        <f t="shared" ca="1" si="236"/>
        <v>10</v>
      </c>
      <c r="W1050" s="75">
        <f t="shared" ca="1" si="237"/>
        <v>10500</v>
      </c>
      <c r="X1050" s="200">
        <f t="shared" ca="1" si="238"/>
        <v>15445</v>
      </c>
      <c r="Y1050" s="1"/>
      <c r="Z1050" s="31">
        <v>0.1</v>
      </c>
      <c r="AA1050" s="223">
        <v>0.09</v>
      </c>
      <c r="AB1050" s="302" t="s">
        <v>6903</v>
      </c>
      <c r="AC1050" s="302"/>
      <c r="AD1050" s="302"/>
      <c r="AE1050" s="302"/>
      <c r="AF1050">
        <f t="shared" si="239"/>
        <v>1</v>
      </c>
    </row>
    <row r="1051" spans="1:32" ht="26.25" x14ac:dyDescent="0.25">
      <c r="A1051" s="322" t="s">
        <v>2973</v>
      </c>
      <c r="B1051" s="93" t="str">
        <f t="shared" si="234"/>
        <v>YES</v>
      </c>
      <c r="C1051" s="93" t="s">
        <v>5503</v>
      </c>
      <c r="D1051" s="4">
        <v>40380</v>
      </c>
      <c r="E1051" s="2">
        <v>40452</v>
      </c>
      <c r="F1051" s="2">
        <f t="shared" si="240"/>
        <v>44105</v>
      </c>
      <c r="G1051" s="6">
        <v>678.4</v>
      </c>
      <c r="H1051" s="7" t="s">
        <v>2024</v>
      </c>
      <c r="I1051" s="7" t="s">
        <v>512</v>
      </c>
      <c r="J1051" s="105" t="s">
        <v>5188</v>
      </c>
      <c r="K1051" s="266">
        <f t="shared" si="235"/>
        <v>2020</v>
      </c>
      <c r="L1051" s="386"/>
      <c r="M1051" s="386"/>
      <c r="N1051" s="32" t="s">
        <v>2958</v>
      </c>
      <c r="O1051" s="32" t="s">
        <v>2974</v>
      </c>
      <c r="P1051" s="278" t="s">
        <v>2975</v>
      </c>
      <c r="Q1051" s="233">
        <v>201007</v>
      </c>
      <c r="R1051" s="75">
        <v>2521.5</v>
      </c>
      <c r="S1051" s="75">
        <v>4074</v>
      </c>
      <c r="T1051" s="75">
        <v>6595.5</v>
      </c>
      <c r="U1051" s="200">
        <v>1018.5</v>
      </c>
      <c r="V1051" s="287">
        <f t="shared" ca="1" si="236"/>
        <v>10</v>
      </c>
      <c r="W1051" s="75">
        <f t="shared" ca="1" si="237"/>
        <v>11882.5</v>
      </c>
      <c r="X1051" s="200">
        <f t="shared" ca="1" si="238"/>
        <v>17459.5</v>
      </c>
      <c r="Y1051" s="1"/>
      <c r="Z1051" s="31">
        <v>0.1</v>
      </c>
      <c r="AA1051" s="223">
        <v>0.09</v>
      </c>
      <c r="AB1051" s="302" t="s">
        <v>6904</v>
      </c>
      <c r="AC1051" s="302"/>
      <c r="AD1051" s="302"/>
      <c r="AE1051" s="302"/>
      <c r="AF1051">
        <f t="shared" si="239"/>
        <v>1</v>
      </c>
    </row>
    <row r="1052" spans="1:32" ht="26.25" x14ac:dyDescent="0.25">
      <c r="A1052" s="322" t="s">
        <v>2976</v>
      </c>
      <c r="B1052" s="93" t="str">
        <f t="shared" si="234"/>
        <v>YES</v>
      </c>
      <c r="C1052" s="93" t="s">
        <v>5503</v>
      </c>
      <c r="D1052" s="4">
        <v>40380</v>
      </c>
      <c r="E1052" s="2">
        <v>40452</v>
      </c>
      <c r="F1052" s="2">
        <f t="shared" si="240"/>
        <v>44105</v>
      </c>
      <c r="G1052" s="6">
        <v>280</v>
      </c>
      <c r="H1052" s="7" t="s">
        <v>2024</v>
      </c>
      <c r="I1052" s="7" t="s">
        <v>512</v>
      </c>
      <c r="J1052" s="105" t="s">
        <v>5188</v>
      </c>
      <c r="K1052" s="266">
        <f t="shared" si="235"/>
        <v>2020</v>
      </c>
      <c r="L1052" s="386"/>
      <c r="M1052" s="386"/>
      <c r="N1052" s="32" t="s">
        <v>2958</v>
      </c>
      <c r="O1052" s="32" t="s">
        <v>2977</v>
      </c>
      <c r="P1052" s="278"/>
      <c r="Q1052" s="233">
        <v>201007</v>
      </c>
      <c r="R1052" s="75">
        <v>1125</v>
      </c>
      <c r="S1052" s="75">
        <v>3360</v>
      </c>
      <c r="T1052" s="75">
        <v>4485</v>
      </c>
      <c r="U1052" s="200">
        <v>420</v>
      </c>
      <c r="V1052" s="287">
        <f t="shared" ca="1" si="236"/>
        <v>10</v>
      </c>
      <c r="W1052" s="75">
        <f t="shared" ca="1" si="237"/>
        <v>4900</v>
      </c>
      <c r="X1052" s="200">
        <f t="shared" ca="1" si="238"/>
        <v>8965</v>
      </c>
      <c r="Y1052" s="1"/>
      <c r="Z1052" s="31">
        <v>0.1</v>
      </c>
      <c r="AA1052" s="223">
        <v>0.09</v>
      </c>
      <c r="AB1052" s="302" t="s">
        <v>6905</v>
      </c>
      <c r="AC1052" s="302"/>
      <c r="AD1052" s="302"/>
      <c r="AE1052" s="302"/>
      <c r="AF1052">
        <f t="shared" si="239"/>
        <v>1</v>
      </c>
    </row>
    <row r="1053" spans="1:32" ht="26.25" x14ac:dyDescent="0.25">
      <c r="A1053" s="322" t="s">
        <v>2978</v>
      </c>
      <c r="B1053" s="93" t="str">
        <f t="shared" si="234"/>
        <v>YES</v>
      </c>
      <c r="C1053" s="93" t="s">
        <v>5503</v>
      </c>
      <c r="D1053" s="4">
        <v>40380</v>
      </c>
      <c r="E1053" s="2">
        <v>40452</v>
      </c>
      <c r="F1053" s="2">
        <f t="shared" si="240"/>
        <v>44105</v>
      </c>
      <c r="G1053" s="6">
        <v>40</v>
      </c>
      <c r="H1053" s="7" t="s">
        <v>2024</v>
      </c>
      <c r="I1053" s="7" t="s">
        <v>512</v>
      </c>
      <c r="J1053" s="105" t="s">
        <v>5188</v>
      </c>
      <c r="K1053" s="266">
        <f t="shared" si="235"/>
        <v>2020</v>
      </c>
      <c r="L1053" s="386"/>
      <c r="M1053" s="386"/>
      <c r="N1053" s="32" t="s">
        <v>2958</v>
      </c>
      <c r="O1053" s="32" t="s">
        <v>2979</v>
      </c>
      <c r="P1053" s="278"/>
      <c r="Q1053" s="233">
        <v>201007</v>
      </c>
      <c r="R1053" s="75">
        <v>285</v>
      </c>
      <c r="S1053" s="75">
        <v>720</v>
      </c>
      <c r="T1053" s="75">
        <v>1005</v>
      </c>
      <c r="U1053" s="200">
        <v>60</v>
      </c>
      <c r="V1053" s="287">
        <f t="shared" ca="1" si="236"/>
        <v>10</v>
      </c>
      <c r="W1053" s="75">
        <f t="shared" ca="1" si="237"/>
        <v>700</v>
      </c>
      <c r="X1053" s="200">
        <f t="shared" ca="1" si="238"/>
        <v>1645</v>
      </c>
      <c r="Y1053" s="1"/>
      <c r="Z1053" s="31">
        <v>0.1</v>
      </c>
      <c r="AA1053" s="223">
        <v>0.09</v>
      </c>
      <c r="AB1053" s="302" t="s">
        <v>6906</v>
      </c>
      <c r="AC1053" s="302"/>
      <c r="AD1053" s="302"/>
      <c r="AE1053" s="302"/>
      <c r="AF1053">
        <f t="shared" si="239"/>
        <v>1</v>
      </c>
    </row>
    <row r="1054" spans="1:32" ht="26.25" x14ac:dyDescent="0.25">
      <c r="A1054" s="322" t="s">
        <v>2980</v>
      </c>
      <c r="B1054" s="93" t="str">
        <f t="shared" ref="B1054:B1085" si="241">IF(COUNTIF(GIS,A1054),"YES","NO")</f>
        <v>YES</v>
      </c>
      <c r="C1054" s="93" t="s">
        <v>5503</v>
      </c>
      <c r="D1054" s="4">
        <v>40380</v>
      </c>
      <c r="E1054" s="2">
        <v>40452</v>
      </c>
      <c r="F1054" s="2">
        <f t="shared" si="240"/>
        <v>44105</v>
      </c>
      <c r="G1054" s="6">
        <v>720</v>
      </c>
      <c r="H1054" s="7" t="s">
        <v>2024</v>
      </c>
      <c r="I1054" s="7" t="s">
        <v>512</v>
      </c>
      <c r="J1054" s="105" t="s">
        <v>5188</v>
      </c>
      <c r="K1054" s="266">
        <f t="shared" ref="K1054:K1085" si="242">YEAR(F1054)</f>
        <v>2020</v>
      </c>
      <c r="L1054" s="386"/>
      <c r="M1054" s="386"/>
      <c r="N1054" s="32" t="s">
        <v>2958</v>
      </c>
      <c r="O1054" s="32" t="s">
        <v>2981</v>
      </c>
      <c r="P1054" s="278" t="s">
        <v>2982</v>
      </c>
      <c r="Q1054" s="233">
        <v>201007</v>
      </c>
      <c r="R1054" s="75">
        <v>2665</v>
      </c>
      <c r="S1054" s="75">
        <v>10080</v>
      </c>
      <c r="T1054" s="75">
        <v>12745</v>
      </c>
      <c r="U1054" s="200">
        <v>1080</v>
      </c>
      <c r="V1054" s="287">
        <f t="shared" ref="V1054:V1085" ca="1" si="243">IF(YEAR($W$3)-YEAR(E1054)&gt;9,10,IF(MONTH($W$3)&lt;MONTH(E1054),YEAR($W$3)-YEAR(E1054),YEAR($W$3)-YEAR(E1054)+1))</f>
        <v>10</v>
      </c>
      <c r="W1054" s="75">
        <f t="shared" ref="W1054:W1085" ca="1" si="244">IF(V1054&lt;6, ROUNDUP(G1054,0)*$W$6*V1054, ROUNDUP(G1054,0)*($W$6*5 + (V1054-5)*$W$7))</f>
        <v>12600</v>
      </c>
      <c r="X1054" s="200">
        <f t="shared" ca="1" si="238"/>
        <v>24265</v>
      </c>
      <c r="Y1054" s="1"/>
      <c r="Z1054" s="31">
        <v>0.1</v>
      </c>
      <c r="AA1054" s="223">
        <v>0.09</v>
      </c>
      <c r="AB1054" s="302" t="s">
        <v>6907</v>
      </c>
      <c r="AC1054" s="302"/>
      <c r="AD1054" s="302"/>
      <c r="AE1054" s="302"/>
      <c r="AF1054">
        <f t="shared" si="239"/>
        <v>1</v>
      </c>
    </row>
    <row r="1055" spans="1:32" ht="26.25" x14ac:dyDescent="0.25">
      <c r="A1055" s="322" t="s">
        <v>2983</v>
      </c>
      <c r="B1055" s="93" t="str">
        <f t="shared" si="241"/>
        <v>YES</v>
      </c>
      <c r="C1055" s="93" t="s">
        <v>5503</v>
      </c>
      <c r="D1055" s="4">
        <v>40380</v>
      </c>
      <c r="E1055" s="2">
        <v>40452</v>
      </c>
      <c r="F1055" s="2">
        <f t="shared" si="240"/>
        <v>44105</v>
      </c>
      <c r="G1055" s="6">
        <v>517.16</v>
      </c>
      <c r="H1055" s="7" t="s">
        <v>2024</v>
      </c>
      <c r="I1055" s="7" t="s">
        <v>512</v>
      </c>
      <c r="J1055" s="105" t="s">
        <v>5188</v>
      </c>
      <c r="K1055" s="266">
        <f t="shared" si="242"/>
        <v>2020</v>
      </c>
      <c r="L1055" s="386"/>
      <c r="M1055" s="386"/>
      <c r="N1055" s="32" t="s">
        <v>2958</v>
      </c>
      <c r="O1055" s="32" t="s">
        <v>2984</v>
      </c>
      <c r="P1055" s="278" t="s">
        <v>2985</v>
      </c>
      <c r="Q1055" s="233">
        <v>201007</v>
      </c>
      <c r="R1055" s="75">
        <v>1958</v>
      </c>
      <c r="S1055" s="75">
        <v>4144</v>
      </c>
      <c r="T1055" s="75">
        <v>6102</v>
      </c>
      <c r="U1055" s="200">
        <v>777</v>
      </c>
      <c r="V1055" s="287">
        <f t="shared" ca="1" si="243"/>
        <v>10</v>
      </c>
      <c r="W1055" s="75">
        <f t="shared" ca="1" si="244"/>
        <v>9065</v>
      </c>
      <c r="X1055" s="200">
        <f t="shared" ca="1" si="238"/>
        <v>14390</v>
      </c>
      <c r="Y1055" s="1"/>
      <c r="Z1055" s="31">
        <v>0.1</v>
      </c>
      <c r="AA1055" s="223">
        <v>0.09</v>
      </c>
      <c r="AB1055" s="302" t="s">
        <v>6908</v>
      </c>
      <c r="AC1055" s="302"/>
      <c r="AD1055" s="302"/>
      <c r="AE1055" s="302"/>
      <c r="AF1055">
        <f t="shared" si="239"/>
        <v>1</v>
      </c>
    </row>
    <row r="1056" spans="1:32" ht="26.25" x14ac:dyDescent="0.25">
      <c r="A1056" s="322" t="s">
        <v>2986</v>
      </c>
      <c r="B1056" s="93" t="str">
        <f t="shared" si="241"/>
        <v>YES</v>
      </c>
      <c r="C1056" s="93" t="s">
        <v>5503</v>
      </c>
      <c r="D1056" s="4">
        <v>40380</v>
      </c>
      <c r="E1056" s="2">
        <v>40452</v>
      </c>
      <c r="F1056" s="2">
        <f t="shared" si="240"/>
        <v>44105</v>
      </c>
      <c r="G1056" s="6">
        <v>679.92</v>
      </c>
      <c r="H1056" s="7" t="s">
        <v>2024</v>
      </c>
      <c r="I1056" s="7" t="s">
        <v>512</v>
      </c>
      <c r="J1056" s="105" t="s">
        <v>5188</v>
      </c>
      <c r="K1056" s="266">
        <f t="shared" si="242"/>
        <v>2020</v>
      </c>
      <c r="L1056" s="386"/>
      <c r="M1056" s="386"/>
      <c r="N1056" s="32" t="s">
        <v>2958</v>
      </c>
      <c r="O1056" s="32" t="s">
        <v>2987</v>
      </c>
      <c r="P1056" s="278" t="s">
        <v>2988</v>
      </c>
      <c r="Q1056" s="233">
        <v>201007</v>
      </c>
      <c r="R1056" s="75">
        <v>2525</v>
      </c>
      <c r="S1056" s="75">
        <v>4080</v>
      </c>
      <c r="T1056" s="75">
        <v>6605</v>
      </c>
      <c r="U1056" s="200">
        <v>1020</v>
      </c>
      <c r="V1056" s="287">
        <f t="shared" ca="1" si="243"/>
        <v>10</v>
      </c>
      <c r="W1056" s="75">
        <f t="shared" ca="1" si="244"/>
        <v>11900</v>
      </c>
      <c r="X1056" s="200">
        <f t="shared" ca="1" si="238"/>
        <v>17485</v>
      </c>
      <c r="Y1056" s="1"/>
      <c r="Z1056" s="31">
        <v>0.1</v>
      </c>
      <c r="AA1056" s="223">
        <v>0.09</v>
      </c>
      <c r="AB1056" s="302" t="s">
        <v>6909</v>
      </c>
      <c r="AC1056" s="302"/>
      <c r="AD1056" s="302"/>
      <c r="AE1056" s="302"/>
      <c r="AF1056">
        <f t="shared" si="239"/>
        <v>1</v>
      </c>
    </row>
    <row r="1057" spans="1:32" ht="26.25" x14ac:dyDescent="0.25">
      <c r="A1057" s="322" t="s">
        <v>2989</v>
      </c>
      <c r="B1057" s="93" t="str">
        <f t="shared" si="241"/>
        <v>YES</v>
      </c>
      <c r="C1057" s="93" t="s">
        <v>5503</v>
      </c>
      <c r="D1057" s="4">
        <v>40380</v>
      </c>
      <c r="E1057" s="2">
        <v>40452</v>
      </c>
      <c r="F1057" s="2">
        <f t="shared" si="240"/>
        <v>44105</v>
      </c>
      <c r="G1057" s="6">
        <v>40</v>
      </c>
      <c r="H1057" s="7" t="s">
        <v>2024</v>
      </c>
      <c r="I1057" s="7" t="s">
        <v>512</v>
      </c>
      <c r="J1057" s="105" t="s">
        <v>5188</v>
      </c>
      <c r="K1057" s="266">
        <f t="shared" si="242"/>
        <v>2020</v>
      </c>
      <c r="L1057" s="386"/>
      <c r="M1057" s="386"/>
      <c r="N1057" s="32" t="s">
        <v>2958</v>
      </c>
      <c r="O1057" s="32" t="s">
        <v>2990</v>
      </c>
      <c r="P1057" s="278"/>
      <c r="Q1057" s="233">
        <v>201007</v>
      </c>
      <c r="R1057" s="75">
        <v>285</v>
      </c>
      <c r="S1057" s="75">
        <v>880</v>
      </c>
      <c r="T1057" s="75">
        <v>1165</v>
      </c>
      <c r="U1057" s="200">
        <v>60</v>
      </c>
      <c r="V1057" s="287">
        <f t="shared" ca="1" si="243"/>
        <v>10</v>
      </c>
      <c r="W1057" s="75">
        <f t="shared" ca="1" si="244"/>
        <v>700</v>
      </c>
      <c r="X1057" s="200">
        <f t="shared" ca="1" si="238"/>
        <v>1805</v>
      </c>
      <c r="Y1057" s="1"/>
      <c r="Z1057" s="31">
        <v>0.1</v>
      </c>
      <c r="AA1057" s="223">
        <v>0.09</v>
      </c>
      <c r="AB1057" s="302" t="s">
        <v>6910</v>
      </c>
      <c r="AC1057" s="302"/>
      <c r="AD1057" s="302"/>
      <c r="AE1057" s="302"/>
      <c r="AF1057">
        <f t="shared" si="239"/>
        <v>1</v>
      </c>
    </row>
    <row r="1058" spans="1:32" ht="26.25" x14ac:dyDescent="0.25">
      <c r="A1058" s="322" t="s">
        <v>2991</v>
      </c>
      <c r="B1058" s="93" t="str">
        <f t="shared" si="241"/>
        <v>YES</v>
      </c>
      <c r="C1058" s="93" t="s">
        <v>5503</v>
      </c>
      <c r="D1058" s="4">
        <v>40380</v>
      </c>
      <c r="E1058" s="2">
        <v>40452</v>
      </c>
      <c r="F1058" s="2">
        <f t="shared" si="240"/>
        <v>44105</v>
      </c>
      <c r="G1058" s="6">
        <v>40</v>
      </c>
      <c r="H1058" s="7" t="s">
        <v>2024</v>
      </c>
      <c r="I1058" s="7" t="s">
        <v>512</v>
      </c>
      <c r="J1058" s="105" t="s">
        <v>5188</v>
      </c>
      <c r="K1058" s="266">
        <f t="shared" si="242"/>
        <v>2020</v>
      </c>
      <c r="L1058" s="386"/>
      <c r="M1058" s="386"/>
      <c r="N1058" s="32" t="s">
        <v>2958</v>
      </c>
      <c r="O1058" s="32" t="s">
        <v>2992</v>
      </c>
      <c r="P1058" s="278"/>
      <c r="Q1058" s="233">
        <v>201007</v>
      </c>
      <c r="R1058" s="75">
        <v>285</v>
      </c>
      <c r="S1058" s="75">
        <v>880</v>
      </c>
      <c r="T1058" s="75">
        <v>1165</v>
      </c>
      <c r="U1058" s="200">
        <v>60</v>
      </c>
      <c r="V1058" s="287">
        <f t="shared" ca="1" si="243"/>
        <v>10</v>
      </c>
      <c r="W1058" s="75">
        <f t="shared" ca="1" si="244"/>
        <v>700</v>
      </c>
      <c r="X1058" s="200">
        <f t="shared" ca="1" si="238"/>
        <v>1805</v>
      </c>
      <c r="Y1058" s="1"/>
      <c r="Z1058" s="31">
        <v>0.1</v>
      </c>
      <c r="AA1058" s="223">
        <v>0.09</v>
      </c>
      <c r="AB1058" s="302" t="s">
        <v>6911</v>
      </c>
      <c r="AC1058" s="302"/>
      <c r="AD1058" s="302"/>
      <c r="AE1058" s="302"/>
      <c r="AF1058">
        <f t="shared" si="239"/>
        <v>1</v>
      </c>
    </row>
    <row r="1059" spans="1:32" ht="26.25" x14ac:dyDescent="0.25">
      <c r="A1059" s="322" t="s">
        <v>2993</v>
      </c>
      <c r="B1059" s="93" t="str">
        <f t="shared" si="241"/>
        <v>YES</v>
      </c>
      <c r="C1059" s="93" t="s">
        <v>5503</v>
      </c>
      <c r="D1059" s="4">
        <v>40380</v>
      </c>
      <c r="E1059" s="2">
        <v>40452</v>
      </c>
      <c r="F1059" s="2">
        <f t="shared" si="240"/>
        <v>44105</v>
      </c>
      <c r="G1059" s="6">
        <v>1360.1</v>
      </c>
      <c r="H1059" s="7" t="s">
        <v>2024</v>
      </c>
      <c r="I1059" s="7" t="s">
        <v>512</v>
      </c>
      <c r="J1059" s="105" t="s">
        <v>5188</v>
      </c>
      <c r="K1059" s="266">
        <f t="shared" si="242"/>
        <v>2020</v>
      </c>
      <c r="L1059" s="386"/>
      <c r="M1059" s="386"/>
      <c r="N1059" s="32" t="s">
        <v>2958</v>
      </c>
      <c r="O1059" s="32" t="s">
        <v>2994</v>
      </c>
      <c r="P1059" s="278" t="s">
        <v>2995</v>
      </c>
      <c r="Q1059" s="233">
        <v>201007</v>
      </c>
      <c r="R1059" s="75">
        <v>4908.5</v>
      </c>
      <c r="S1059" s="75">
        <v>8166</v>
      </c>
      <c r="T1059" s="75">
        <v>13074.5</v>
      </c>
      <c r="U1059" s="200">
        <v>2041.5</v>
      </c>
      <c r="V1059" s="287">
        <f t="shared" ca="1" si="243"/>
        <v>10</v>
      </c>
      <c r="W1059" s="75">
        <f t="shared" ca="1" si="244"/>
        <v>23817.5</v>
      </c>
      <c r="X1059" s="200">
        <f t="shared" ca="1" si="238"/>
        <v>34850.5</v>
      </c>
      <c r="Y1059" s="1"/>
      <c r="Z1059" s="31">
        <v>0.1</v>
      </c>
      <c r="AA1059" s="223">
        <v>0.09</v>
      </c>
      <c r="AB1059" s="302" t="s">
        <v>6912</v>
      </c>
      <c r="AC1059" s="302"/>
      <c r="AD1059" s="302"/>
      <c r="AE1059" s="302"/>
      <c r="AF1059">
        <f t="shared" si="239"/>
        <v>1</v>
      </c>
    </row>
    <row r="1060" spans="1:32" ht="26.25" x14ac:dyDescent="0.25">
      <c r="A1060" s="322" t="s">
        <v>2996</v>
      </c>
      <c r="B1060" s="93" t="str">
        <f t="shared" si="241"/>
        <v>YES</v>
      </c>
      <c r="C1060" s="93" t="s">
        <v>5503</v>
      </c>
      <c r="D1060" s="4">
        <v>40380</v>
      </c>
      <c r="E1060" s="2">
        <v>40452</v>
      </c>
      <c r="F1060" s="2">
        <f t="shared" si="240"/>
        <v>44105</v>
      </c>
      <c r="G1060" s="6">
        <v>40</v>
      </c>
      <c r="H1060" s="7" t="s">
        <v>2024</v>
      </c>
      <c r="I1060" s="7" t="s">
        <v>512</v>
      </c>
      <c r="J1060" s="105" t="s">
        <v>5188</v>
      </c>
      <c r="K1060" s="266">
        <f t="shared" si="242"/>
        <v>2020</v>
      </c>
      <c r="L1060" s="386"/>
      <c r="M1060" s="386"/>
      <c r="N1060" s="32" t="s">
        <v>2958</v>
      </c>
      <c r="O1060" s="32" t="s">
        <v>2997</v>
      </c>
      <c r="P1060" s="278"/>
      <c r="Q1060" s="233">
        <v>201007</v>
      </c>
      <c r="R1060" s="75">
        <v>285</v>
      </c>
      <c r="S1060" s="75">
        <v>760</v>
      </c>
      <c r="T1060" s="75">
        <v>1045</v>
      </c>
      <c r="U1060" s="200">
        <v>60</v>
      </c>
      <c r="V1060" s="287">
        <f t="shared" ca="1" si="243"/>
        <v>10</v>
      </c>
      <c r="W1060" s="75">
        <f t="shared" ca="1" si="244"/>
        <v>700</v>
      </c>
      <c r="X1060" s="200">
        <f t="shared" ca="1" si="238"/>
        <v>1685</v>
      </c>
      <c r="Y1060" s="1"/>
      <c r="Z1060" s="31">
        <v>0.1</v>
      </c>
      <c r="AA1060" s="223">
        <v>0.09</v>
      </c>
      <c r="AB1060" s="302" t="s">
        <v>6913</v>
      </c>
      <c r="AC1060" s="302"/>
      <c r="AD1060" s="302"/>
      <c r="AE1060" s="302"/>
      <c r="AF1060">
        <f t="shared" si="239"/>
        <v>1</v>
      </c>
    </row>
    <row r="1061" spans="1:32" ht="26.25" x14ac:dyDescent="0.25">
      <c r="A1061" s="322" t="s">
        <v>2998</v>
      </c>
      <c r="B1061" s="93" t="str">
        <f t="shared" si="241"/>
        <v>YES</v>
      </c>
      <c r="C1061" s="93" t="s">
        <v>5503</v>
      </c>
      <c r="D1061" s="4">
        <v>40380</v>
      </c>
      <c r="E1061" s="2">
        <v>40452</v>
      </c>
      <c r="F1061" s="2">
        <f t="shared" si="240"/>
        <v>44105</v>
      </c>
      <c r="G1061" s="6">
        <v>40</v>
      </c>
      <c r="H1061" s="7" t="s">
        <v>2024</v>
      </c>
      <c r="I1061" s="7" t="s">
        <v>512</v>
      </c>
      <c r="J1061" s="105" t="s">
        <v>5188</v>
      </c>
      <c r="K1061" s="266">
        <f t="shared" si="242"/>
        <v>2020</v>
      </c>
      <c r="L1061" s="386"/>
      <c r="M1061" s="386"/>
      <c r="N1061" s="32" t="s">
        <v>2958</v>
      </c>
      <c r="O1061" s="32" t="s">
        <v>2999</v>
      </c>
      <c r="P1061" s="278"/>
      <c r="Q1061" s="233">
        <v>201007</v>
      </c>
      <c r="R1061" s="75">
        <v>285</v>
      </c>
      <c r="S1061" s="75">
        <v>800</v>
      </c>
      <c r="T1061" s="75">
        <v>1085</v>
      </c>
      <c r="U1061" s="200">
        <v>60</v>
      </c>
      <c r="V1061" s="287">
        <f t="shared" ca="1" si="243"/>
        <v>10</v>
      </c>
      <c r="W1061" s="75">
        <f t="shared" ca="1" si="244"/>
        <v>700</v>
      </c>
      <c r="X1061" s="200">
        <f t="shared" ca="1" si="238"/>
        <v>1725</v>
      </c>
      <c r="Y1061" s="1"/>
      <c r="Z1061" s="31">
        <v>0.1</v>
      </c>
      <c r="AA1061" s="223">
        <v>0.09</v>
      </c>
      <c r="AB1061" s="302" t="s">
        <v>6914</v>
      </c>
      <c r="AC1061" s="302"/>
      <c r="AD1061" s="302"/>
      <c r="AE1061" s="302"/>
      <c r="AF1061">
        <f t="shared" si="239"/>
        <v>1</v>
      </c>
    </row>
    <row r="1062" spans="1:32" ht="26.25" x14ac:dyDescent="0.25">
      <c r="A1062" s="322" t="s">
        <v>3000</v>
      </c>
      <c r="B1062" s="93" t="str">
        <f t="shared" si="241"/>
        <v>YES</v>
      </c>
      <c r="C1062" s="93" t="s">
        <v>5503</v>
      </c>
      <c r="D1062" s="4">
        <v>40380</v>
      </c>
      <c r="E1062" s="2">
        <v>40452</v>
      </c>
      <c r="F1062" s="2">
        <f t="shared" si="240"/>
        <v>44105</v>
      </c>
      <c r="G1062" s="6">
        <v>40</v>
      </c>
      <c r="H1062" s="7" t="s">
        <v>2024</v>
      </c>
      <c r="I1062" s="7" t="s">
        <v>512</v>
      </c>
      <c r="J1062" s="105" t="s">
        <v>5188</v>
      </c>
      <c r="K1062" s="266">
        <f t="shared" si="242"/>
        <v>2020</v>
      </c>
      <c r="L1062" s="386"/>
      <c r="M1062" s="386"/>
      <c r="N1062" s="32" t="s">
        <v>3001</v>
      </c>
      <c r="O1062" s="32" t="s">
        <v>3002</v>
      </c>
      <c r="P1062" s="278"/>
      <c r="Q1062" s="233">
        <v>201007</v>
      </c>
      <c r="R1062" s="75">
        <v>285</v>
      </c>
      <c r="S1062" s="75">
        <v>840</v>
      </c>
      <c r="T1062" s="75">
        <v>1125</v>
      </c>
      <c r="U1062" s="200">
        <v>60</v>
      </c>
      <c r="V1062" s="287">
        <f t="shared" ca="1" si="243"/>
        <v>10</v>
      </c>
      <c r="W1062" s="75">
        <f t="shared" ca="1" si="244"/>
        <v>700</v>
      </c>
      <c r="X1062" s="200">
        <f t="shared" ca="1" si="238"/>
        <v>1765</v>
      </c>
      <c r="Y1062" s="1"/>
      <c r="Z1062" s="31">
        <v>0.1</v>
      </c>
      <c r="AA1062" s="223">
        <v>0.09</v>
      </c>
      <c r="AB1062" s="302" t="s">
        <v>6915</v>
      </c>
      <c r="AC1062" s="302"/>
      <c r="AD1062" s="302"/>
      <c r="AE1062" s="302"/>
      <c r="AF1062">
        <f t="shared" si="239"/>
        <v>1</v>
      </c>
    </row>
    <row r="1063" spans="1:32" ht="26.25" x14ac:dyDescent="0.25">
      <c r="A1063" s="322" t="s">
        <v>3003</v>
      </c>
      <c r="B1063" s="93" t="str">
        <f t="shared" si="241"/>
        <v>YES</v>
      </c>
      <c r="C1063" s="93" t="s">
        <v>5503</v>
      </c>
      <c r="D1063" s="4">
        <v>40380</v>
      </c>
      <c r="E1063" s="2">
        <v>40452</v>
      </c>
      <c r="F1063" s="2">
        <f t="shared" si="240"/>
        <v>44105</v>
      </c>
      <c r="G1063" s="6">
        <v>840</v>
      </c>
      <c r="H1063" s="7" t="s">
        <v>2024</v>
      </c>
      <c r="I1063" s="7" t="s">
        <v>512</v>
      </c>
      <c r="J1063" s="105" t="s">
        <v>5188</v>
      </c>
      <c r="K1063" s="266">
        <f t="shared" si="242"/>
        <v>2020</v>
      </c>
      <c r="L1063" s="386"/>
      <c r="M1063" s="386"/>
      <c r="N1063" s="32" t="s">
        <v>3001</v>
      </c>
      <c r="O1063" s="32" t="s">
        <v>3004</v>
      </c>
      <c r="P1063" s="278" t="s">
        <v>3005</v>
      </c>
      <c r="Q1063" s="233">
        <v>201007</v>
      </c>
      <c r="R1063" s="75">
        <v>3085</v>
      </c>
      <c r="S1063" s="75">
        <v>10080</v>
      </c>
      <c r="T1063" s="75">
        <v>13165</v>
      </c>
      <c r="U1063" s="200">
        <v>1260</v>
      </c>
      <c r="V1063" s="287">
        <f t="shared" ca="1" si="243"/>
        <v>10</v>
      </c>
      <c r="W1063" s="75">
        <f t="shared" ca="1" si="244"/>
        <v>14700</v>
      </c>
      <c r="X1063" s="200">
        <f t="shared" ca="1" si="238"/>
        <v>26605</v>
      </c>
      <c r="Y1063" s="1"/>
      <c r="Z1063" s="31">
        <v>0.1</v>
      </c>
      <c r="AA1063" s="223">
        <v>0.09</v>
      </c>
      <c r="AB1063" s="302" t="s">
        <v>6916</v>
      </c>
      <c r="AC1063" s="302"/>
      <c r="AD1063" s="302"/>
      <c r="AE1063" s="302"/>
      <c r="AF1063">
        <f t="shared" si="239"/>
        <v>1</v>
      </c>
    </row>
    <row r="1064" spans="1:32" ht="26.25" x14ac:dyDescent="0.25">
      <c r="A1064" s="322" t="s">
        <v>3006</v>
      </c>
      <c r="B1064" s="93" t="str">
        <f t="shared" si="241"/>
        <v>YES</v>
      </c>
      <c r="C1064" s="93" t="s">
        <v>5503</v>
      </c>
      <c r="D1064" s="4">
        <v>40380</v>
      </c>
      <c r="E1064" s="2">
        <v>40452</v>
      </c>
      <c r="F1064" s="2">
        <f t="shared" si="240"/>
        <v>44105</v>
      </c>
      <c r="G1064" s="6">
        <v>593</v>
      </c>
      <c r="H1064" s="7" t="s">
        <v>2024</v>
      </c>
      <c r="I1064" s="7" t="s">
        <v>512</v>
      </c>
      <c r="J1064" s="105" t="s">
        <v>5188</v>
      </c>
      <c r="K1064" s="266">
        <f t="shared" si="242"/>
        <v>2020</v>
      </c>
      <c r="L1064" s="386"/>
      <c r="M1064" s="386"/>
      <c r="N1064" s="32" t="s">
        <v>3001</v>
      </c>
      <c r="O1064" s="32" t="s">
        <v>3007</v>
      </c>
      <c r="P1064" s="278" t="s">
        <v>3008</v>
      </c>
      <c r="Q1064" s="233">
        <v>201007</v>
      </c>
      <c r="R1064" s="75">
        <v>2220.5</v>
      </c>
      <c r="S1064" s="75">
        <v>3558</v>
      </c>
      <c r="T1064" s="75">
        <v>5778.5</v>
      </c>
      <c r="U1064" s="200">
        <v>899.5</v>
      </c>
      <c r="V1064" s="287">
        <f t="shared" ca="1" si="243"/>
        <v>10</v>
      </c>
      <c r="W1064" s="75">
        <f t="shared" ca="1" si="244"/>
        <v>10377.5</v>
      </c>
      <c r="X1064" s="200">
        <f t="shared" ca="1" si="238"/>
        <v>15266.5</v>
      </c>
      <c r="Y1064" s="1"/>
      <c r="Z1064" s="31">
        <v>0.1</v>
      </c>
      <c r="AA1064" s="223">
        <v>0.09</v>
      </c>
      <c r="AB1064" s="302" t="s">
        <v>6917</v>
      </c>
      <c r="AC1064" s="302"/>
      <c r="AD1064" s="302"/>
      <c r="AE1064" s="302"/>
      <c r="AF1064">
        <f t="shared" si="239"/>
        <v>1</v>
      </c>
    </row>
    <row r="1065" spans="1:32" ht="26.25" x14ac:dyDescent="0.25">
      <c r="A1065" s="322" t="s">
        <v>3009</v>
      </c>
      <c r="B1065" s="93" t="str">
        <f t="shared" si="241"/>
        <v>YES</v>
      </c>
      <c r="C1065" s="93" t="s">
        <v>5503</v>
      </c>
      <c r="D1065" s="4">
        <v>40380</v>
      </c>
      <c r="E1065" s="2">
        <v>40452</v>
      </c>
      <c r="F1065" s="2">
        <f t="shared" si="240"/>
        <v>44105</v>
      </c>
      <c r="G1065" s="6">
        <v>77.08</v>
      </c>
      <c r="H1065" s="7" t="s">
        <v>2024</v>
      </c>
      <c r="I1065" s="7" t="s">
        <v>512</v>
      </c>
      <c r="J1065" s="105" t="s">
        <v>5188</v>
      </c>
      <c r="K1065" s="266">
        <f t="shared" si="242"/>
        <v>2020</v>
      </c>
      <c r="L1065" s="386"/>
      <c r="M1065" s="386"/>
      <c r="N1065" s="32" t="s">
        <v>3010</v>
      </c>
      <c r="O1065" s="32" t="s">
        <v>3011</v>
      </c>
      <c r="P1065" s="278"/>
      <c r="Q1065" s="233">
        <v>201007</v>
      </c>
      <c r="R1065" s="75">
        <v>418</v>
      </c>
      <c r="S1065" s="75">
        <v>1794</v>
      </c>
      <c r="T1065" s="75">
        <v>2212</v>
      </c>
      <c r="U1065" s="200">
        <v>117</v>
      </c>
      <c r="V1065" s="287">
        <f t="shared" ca="1" si="243"/>
        <v>10</v>
      </c>
      <c r="W1065" s="75">
        <f t="shared" ca="1" si="244"/>
        <v>1365</v>
      </c>
      <c r="X1065" s="200">
        <f t="shared" ca="1" si="238"/>
        <v>3460</v>
      </c>
      <c r="Y1065" s="1"/>
      <c r="Z1065" s="31">
        <v>0.1</v>
      </c>
      <c r="AA1065" s="223">
        <v>0.09</v>
      </c>
      <c r="AB1065" s="302" t="s">
        <v>6918</v>
      </c>
      <c r="AC1065" s="302"/>
      <c r="AD1065" s="302"/>
      <c r="AE1065" s="302"/>
      <c r="AF1065">
        <f t="shared" si="239"/>
        <v>1</v>
      </c>
    </row>
    <row r="1066" spans="1:32" ht="26.25" x14ac:dyDescent="0.25">
      <c r="A1066" s="322" t="s">
        <v>3012</v>
      </c>
      <c r="B1066" s="93" t="str">
        <f t="shared" si="241"/>
        <v>YES</v>
      </c>
      <c r="C1066" s="93" t="s">
        <v>5503</v>
      </c>
      <c r="D1066" s="4">
        <v>40380</v>
      </c>
      <c r="E1066" s="2">
        <v>40452</v>
      </c>
      <c r="F1066" s="2">
        <f t="shared" si="240"/>
        <v>44105</v>
      </c>
      <c r="G1066" s="6">
        <v>240</v>
      </c>
      <c r="H1066" s="7" t="s">
        <v>2024</v>
      </c>
      <c r="I1066" s="7" t="s">
        <v>512</v>
      </c>
      <c r="J1066" s="105" t="s">
        <v>5188</v>
      </c>
      <c r="K1066" s="266">
        <f t="shared" si="242"/>
        <v>2020</v>
      </c>
      <c r="L1066" s="386"/>
      <c r="M1066" s="386"/>
      <c r="N1066" s="32" t="s">
        <v>3010</v>
      </c>
      <c r="O1066" s="32" t="s">
        <v>3013</v>
      </c>
      <c r="P1066" s="278"/>
      <c r="Q1066" s="233">
        <v>201007</v>
      </c>
      <c r="R1066" s="75">
        <v>985</v>
      </c>
      <c r="S1066" s="75">
        <v>6000</v>
      </c>
      <c r="T1066" s="75">
        <v>6985</v>
      </c>
      <c r="U1066" s="200">
        <v>360</v>
      </c>
      <c r="V1066" s="287">
        <f t="shared" ca="1" si="243"/>
        <v>10</v>
      </c>
      <c r="W1066" s="75">
        <f t="shared" ca="1" si="244"/>
        <v>4200</v>
      </c>
      <c r="X1066" s="200">
        <f t="shared" ca="1" si="238"/>
        <v>10825</v>
      </c>
      <c r="Y1066" s="1"/>
      <c r="Z1066" s="31">
        <v>0.1</v>
      </c>
      <c r="AA1066" s="223">
        <v>0.09</v>
      </c>
      <c r="AB1066" s="302" t="s">
        <v>6919</v>
      </c>
      <c r="AC1066" s="302"/>
      <c r="AD1066" s="302"/>
      <c r="AE1066" s="302"/>
      <c r="AF1066">
        <f t="shared" si="239"/>
        <v>1</v>
      </c>
    </row>
    <row r="1067" spans="1:32" ht="26.25" x14ac:dyDescent="0.25">
      <c r="A1067" s="322" t="s">
        <v>3014</v>
      </c>
      <c r="B1067" s="93" t="str">
        <f t="shared" si="241"/>
        <v>YES</v>
      </c>
      <c r="C1067" s="93" t="s">
        <v>5503</v>
      </c>
      <c r="D1067" s="4">
        <v>40380</v>
      </c>
      <c r="E1067" s="2">
        <v>40452</v>
      </c>
      <c r="F1067" s="2">
        <f t="shared" si="240"/>
        <v>44105</v>
      </c>
      <c r="G1067" s="6">
        <v>115.69</v>
      </c>
      <c r="H1067" s="7" t="s">
        <v>2024</v>
      </c>
      <c r="I1067" s="7" t="s">
        <v>512</v>
      </c>
      <c r="J1067" s="105" t="s">
        <v>5188</v>
      </c>
      <c r="K1067" s="266">
        <f t="shared" si="242"/>
        <v>2020</v>
      </c>
      <c r="L1067" s="386"/>
      <c r="M1067" s="386"/>
      <c r="N1067" s="32" t="s">
        <v>3010</v>
      </c>
      <c r="O1067" s="32" t="s">
        <v>3015</v>
      </c>
      <c r="P1067" s="278"/>
      <c r="Q1067" s="233">
        <v>201007</v>
      </c>
      <c r="R1067" s="75">
        <v>551</v>
      </c>
      <c r="S1067" s="75">
        <v>1160</v>
      </c>
      <c r="T1067" s="75">
        <v>1711</v>
      </c>
      <c r="U1067" s="200">
        <v>174</v>
      </c>
      <c r="V1067" s="287">
        <f t="shared" ca="1" si="243"/>
        <v>10</v>
      </c>
      <c r="W1067" s="75">
        <f t="shared" ca="1" si="244"/>
        <v>2030</v>
      </c>
      <c r="X1067" s="200">
        <f t="shared" ca="1" si="238"/>
        <v>3567</v>
      </c>
      <c r="Y1067" s="1"/>
      <c r="Z1067" s="31">
        <v>0.1</v>
      </c>
      <c r="AA1067" s="223">
        <v>0.09</v>
      </c>
      <c r="AB1067" s="302" t="s">
        <v>6920</v>
      </c>
      <c r="AC1067" s="302"/>
      <c r="AD1067" s="302"/>
      <c r="AE1067" s="302"/>
      <c r="AF1067">
        <f t="shared" si="239"/>
        <v>1</v>
      </c>
    </row>
    <row r="1068" spans="1:32" ht="26.25" x14ac:dyDescent="0.25">
      <c r="A1068" s="322" t="s">
        <v>3016</v>
      </c>
      <c r="B1068" s="93" t="str">
        <f t="shared" si="241"/>
        <v>YES</v>
      </c>
      <c r="C1068" s="93" t="s">
        <v>5503</v>
      </c>
      <c r="D1068" s="4">
        <v>40380</v>
      </c>
      <c r="E1068" s="2">
        <v>40452</v>
      </c>
      <c r="F1068" s="2">
        <f t="shared" si="240"/>
        <v>44105</v>
      </c>
      <c r="G1068" s="6">
        <v>40</v>
      </c>
      <c r="H1068" s="7" t="s">
        <v>2024</v>
      </c>
      <c r="I1068" s="7" t="s">
        <v>512</v>
      </c>
      <c r="J1068" s="105" t="s">
        <v>5188</v>
      </c>
      <c r="K1068" s="266">
        <f t="shared" si="242"/>
        <v>2020</v>
      </c>
      <c r="L1068" s="386"/>
      <c r="M1068" s="386"/>
      <c r="N1068" s="32" t="s">
        <v>3010</v>
      </c>
      <c r="O1068" s="32" t="s">
        <v>3017</v>
      </c>
      <c r="P1068" s="278"/>
      <c r="Q1068" s="233">
        <v>201007</v>
      </c>
      <c r="R1068" s="75">
        <v>285</v>
      </c>
      <c r="S1068" s="75">
        <v>800</v>
      </c>
      <c r="T1068" s="75">
        <v>1085</v>
      </c>
      <c r="U1068" s="200">
        <v>60</v>
      </c>
      <c r="V1068" s="287">
        <f t="shared" ca="1" si="243"/>
        <v>10</v>
      </c>
      <c r="W1068" s="75">
        <f t="shared" ca="1" si="244"/>
        <v>700</v>
      </c>
      <c r="X1068" s="200">
        <f t="shared" ca="1" si="238"/>
        <v>1725</v>
      </c>
      <c r="Y1068" s="1"/>
      <c r="Z1068" s="31">
        <v>0.1</v>
      </c>
      <c r="AA1068" s="223">
        <v>0.09</v>
      </c>
      <c r="AB1068" s="302" t="s">
        <v>6921</v>
      </c>
      <c r="AC1068" s="302"/>
      <c r="AD1068" s="302"/>
      <c r="AE1068" s="302"/>
      <c r="AF1068">
        <f t="shared" si="239"/>
        <v>1</v>
      </c>
    </row>
    <row r="1069" spans="1:32" ht="26.25" x14ac:dyDescent="0.25">
      <c r="A1069" s="322" t="s">
        <v>3018</v>
      </c>
      <c r="B1069" s="93" t="str">
        <f t="shared" si="241"/>
        <v>YES</v>
      </c>
      <c r="C1069" s="93" t="s">
        <v>5503</v>
      </c>
      <c r="D1069" s="4">
        <v>40380</v>
      </c>
      <c r="E1069" s="2">
        <v>40452</v>
      </c>
      <c r="F1069" s="2">
        <f t="shared" si="240"/>
        <v>44105</v>
      </c>
      <c r="G1069" s="6">
        <v>120</v>
      </c>
      <c r="H1069" s="7" t="s">
        <v>2024</v>
      </c>
      <c r="I1069" s="7" t="s">
        <v>512</v>
      </c>
      <c r="J1069" s="105" t="s">
        <v>5188</v>
      </c>
      <c r="K1069" s="266">
        <f t="shared" si="242"/>
        <v>2020</v>
      </c>
      <c r="L1069" s="386"/>
      <c r="M1069" s="386"/>
      <c r="N1069" s="32" t="s">
        <v>3010</v>
      </c>
      <c r="O1069" s="32" t="s">
        <v>3019</v>
      </c>
      <c r="P1069" s="278"/>
      <c r="Q1069" s="233">
        <v>201007</v>
      </c>
      <c r="R1069" s="75">
        <v>565</v>
      </c>
      <c r="S1069" s="75">
        <v>1080</v>
      </c>
      <c r="T1069" s="75">
        <v>1645</v>
      </c>
      <c r="U1069" s="200">
        <v>180</v>
      </c>
      <c r="V1069" s="287">
        <f t="shared" ca="1" si="243"/>
        <v>10</v>
      </c>
      <c r="W1069" s="75">
        <f t="shared" ca="1" si="244"/>
        <v>2100</v>
      </c>
      <c r="X1069" s="200">
        <f t="shared" ca="1" si="238"/>
        <v>3565</v>
      </c>
      <c r="Y1069" s="1"/>
      <c r="Z1069" s="31">
        <v>0.1</v>
      </c>
      <c r="AA1069" s="223">
        <v>0.09</v>
      </c>
      <c r="AB1069" s="302" t="s">
        <v>6922</v>
      </c>
      <c r="AC1069" s="302"/>
      <c r="AD1069" s="302"/>
      <c r="AE1069" s="302"/>
      <c r="AF1069">
        <f t="shared" si="239"/>
        <v>1</v>
      </c>
    </row>
    <row r="1070" spans="1:32" ht="26.25" x14ac:dyDescent="0.25">
      <c r="A1070" s="322" t="s">
        <v>3020</v>
      </c>
      <c r="B1070" s="93" t="str">
        <f t="shared" si="241"/>
        <v>YES</v>
      </c>
      <c r="C1070" s="93" t="s">
        <v>5503</v>
      </c>
      <c r="D1070" s="4">
        <v>40380</v>
      </c>
      <c r="E1070" s="2">
        <v>40452</v>
      </c>
      <c r="F1070" s="2">
        <f t="shared" si="240"/>
        <v>44105</v>
      </c>
      <c r="G1070" s="6">
        <v>280</v>
      </c>
      <c r="H1070" s="7" t="s">
        <v>2024</v>
      </c>
      <c r="I1070" s="7" t="s">
        <v>512</v>
      </c>
      <c r="J1070" s="105" t="s">
        <v>5188</v>
      </c>
      <c r="K1070" s="266">
        <f t="shared" si="242"/>
        <v>2020</v>
      </c>
      <c r="L1070" s="386"/>
      <c r="M1070" s="386"/>
      <c r="N1070" s="32" t="s">
        <v>3010</v>
      </c>
      <c r="O1070" s="32" t="s">
        <v>3021</v>
      </c>
      <c r="P1070" s="278" t="s">
        <v>3022</v>
      </c>
      <c r="Q1070" s="233">
        <v>201007</v>
      </c>
      <c r="R1070" s="75">
        <v>1125</v>
      </c>
      <c r="S1070" s="75">
        <v>2240</v>
      </c>
      <c r="T1070" s="75">
        <v>3365</v>
      </c>
      <c r="U1070" s="200">
        <v>420</v>
      </c>
      <c r="V1070" s="287">
        <f t="shared" ca="1" si="243"/>
        <v>10</v>
      </c>
      <c r="W1070" s="75">
        <f t="shared" ca="1" si="244"/>
        <v>4900</v>
      </c>
      <c r="X1070" s="200">
        <f t="shared" ca="1" si="238"/>
        <v>7845</v>
      </c>
      <c r="Y1070" s="1"/>
      <c r="Z1070" s="31">
        <v>0.1</v>
      </c>
      <c r="AA1070" s="223">
        <v>0.09</v>
      </c>
      <c r="AB1070" s="302" t="s">
        <v>6923</v>
      </c>
      <c r="AC1070" s="302"/>
      <c r="AD1070" s="302"/>
      <c r="AE1070" s="302"/>
      <c r="AF1070">
        <f t="shared" si="239"/>
        <v>1</v>
      </c>
    </row>
    <row r="1071" spans="1:32" hidden="1" x14ac:dyDescent="0.25">
      <c r="A1071" s="322" t="s">
        <v>3023</v>
      </c>
      <c r="B1071" s="93" t="str">
        <f t="shared" si="241"/>
        <v>YES</v>
      </c>
      <c r="C1071" s="93" t="s">
        <v>5503</v>
      </c>
      <c r="D1071" s="4">
        <v>40380</v>
      </c>
      <c r="E1071" s="11">
        <v>40513</v>
      </c>
      <c r="F1071" s="2">
        <f t="shared" si="240"/>
        <v>44166</v>
      </c>
      <c r="G1071" s="6">
        <v>80</v>
      </c>
      <c r="H1071" s="7" t="s">
        <v>899</v>
      </c>
      <c r="I1071" s="7" t="s">
        <v>512</v>
      </c>
      <c r="J1071" s="186"/>
      <c r="K1071" s="266">
        <f t="shared" si="242"/>
        <v>2020</v>
      </c>
      <c r="L1071" s="390" t="s">
        <v>7519</v>
      </c>
      <c r="M1071" s="390" t="s">
        <v>7520</v>
      </c>
      <c r="N1071" s="32" t="s">
        <v>3024</v>
      </c>
      <c r="O1071" s="32" t="s">
        <v>3025</v>
      </c>
      <c r="P1071" s="278"/>
      <c r="Q1071" s="233">
        <v>201007</v>
      </c>
      <c r="R1071" s="75">
        <v>425</v>
      </c>
      <c r="S1071" s="75">
        <v>3840</v>
      </c>
      <c r="T1071" s="75">
        <v>4265</v>
      </c>
      <c r="U1071" s="200">
        <v>160</v>
      </c>
      <c r="V1071" s="287">
        <f t="shared" ca="1" si="243"/>
        <v>10</v>
      </c>
      <c r="W1071" s="75">
        <f t="shared" ca="1" si="244"/>
        <v>1400</v>
      </c>
      <c r="X1071" s="200">
        <f t="shared" ca="1" si="238"/>
        <v>5545</v>
      </c>
      <c r="Y1071" s="1"/>
      <c r="Z1071" s="31">
        <v>0.1</v>
      </c>
      <c r="AA1071" s="223">
        <v>0.09</v>
      </c>
      <c r="AB1071" s="302" t="s">
        <v>5393</v>
      </c>
      <c r="AC1071" s="308">
        <v>42829</v>
      </c>
      <c r="AD1071" s="309">
        <v>0.25</v>
      </c>
      <c r="AE1071" s="312" t="s">
        <v>6231</v>
      </c>
      <c r="AF1071">
        <f t="shared" si="239"/>
        <v>0</v>
      </c>
    </row>
    <row r="1072" spans="1:32" hidden="1" x14ac:dyDescent="0.25">
      <c r="A1072" s="322" t="s">
        <v>3026</v>
      </c>
      <c r="B1072" s="93" t="str">
        <f t="shared" si="241"/>
        <v>YES</v>
      </c>
      <c r="C1072" s="93" t="s">
        <v>5503</v>
      </c>
      <c r="D1072" s="4">
        <v>40380</v>
      </c>
      <c r="E1072" s="2">
        <v>40452</v>
      </c>
      <c r="F1072" s="2">
        <f t="shared" si="240"/>
        <v>44105</v>
      </c>
      <c r="G1072" s="6">
        <v>80</v>
      </c>
      <c r="H1072" s="7" t="s">
        <v>899</v>
      </c>
      <c r="I1072" s="7" t="s">
        <v>512</v>
      </c>
      <c r="J1072" s="186"/>
      <c r="K1072" s="266">
        <f t="shared" si="242"/>
        <v>2020</v>
      </c>
      <c r="L1072" s="390" t="s">
        <v>7519</v>
      </c>
      <c r="M1072" s="390" t="s">
        <v>7520</v>
      </c>
      <c r="N1072" s="32" t="s">
        <v>3024</v>
      </c>
      <c r="O1072" s="32" t="s">
        <v>3027</v>
      </c>
      <c r="P1072" s="278"/>
      <c r="Q1072" s="233">
        <v>201007</v>
      </c>
      <c r="R1072" s="75">
        <v>425</v>
      </c>
      <c r="S1072" s="75">
        <v>3840</v>
      </c>
      <c r="T1072" s="75">
        <v>4265</v>
      </c>
      <c r="U1072" s="200">
        <v>120</v>
      </c>
      <c r="V1072" s="287">
        <f t="shared" ca="1" si="243"/>
        <v>10</v>
      </c>
      <c r="W1072" s="75">
        <f t="shared" ca="1" si="244"/>
        <v>1400</v>
      </c>
      <c r="X1072" s="200">
        <f t="shared" ca="1" si="238"/>
        <v>5545</v>
      </c>
      <c r="Y1072" s="1"/>
      <c r="Z1072" s="31">
        <v>0.1</v>
      </c>
      <c r="AA1072" s="223">
        <v>0.09</v>
      </c>
      <c r="AB1072" s="302" t="s">
        <v>5392</v>
      </c>
      <c r="AC1072" s="308">
        <v>42829</v>
      </c>
      <c r="AD1072" s="309">
        <v>0.25</v>
      </c>
      <c r="AE1072" s="312" t="s">
        <v>6231</v>
      </c>
      <c r="AF1072">
        <f t="shared" si="239"/>
        <v>0</v>
      </c>
    </row>
    <row r="1073" spans="1:32" hidden="1" x14ac:dyDescent="0.25">
      <c r="A1073" s="322" t="s">
        <v>3028</v>
      </c>
      <c r="B1073" s="93" t="str">
        <f t="shared" si="241"/>
        <v>YES</v>
      </c>
      <c r="C1073" s="93" t="s">
        <v>5503</v>
      </c>
      <c r="D1073" s="4">
        <v>40380</v>
      </c>
      <c r="E1073" s="2">
        <v>40452</v>
      </c>
      <c r="F1073" s="2">
        <f t="shared" si="240"/>
        <v>44105</v>
      </c>
      <c r="G1073" s="6">
        <v>80</v>
      </c>
      <c r="H1073" s="7" t="s">
        <v>899</v>
      </c>
      <c r="I1073" s="7" t="s">
        <v>512</v>
      </c>
      <c r="J1073" s="186"/>
      <c r="K1073" s="266">
        <f t="shared" si="242"/>
        <v>2020</v>
      </c>
      <c r="L1073" s="390" t="s">
        <v>7519</v>
      </c>
      <c r="M1073" s="390" t="s">
        <v>7520</v>
      </c>
      <c r="N1073" s="32" t="s">
        <v>3024</v>
      </c>
      <c r="O1073" s="32" t="s">
        <v>3029</v>
      </c>
      <c r="P1073" s="278"/>
      <c r="Q1073" s="233">
        <v>201007</v>
      </c>
      <c r="R1073" s="75">
        <v>425</v>
      </c>
      <c r="S1073" s="75">
        <v>3840</v>
      </c>
      <c r="T1073" s="75">
        <v>4265</v>
      </c>
      <c r="U1073" s="200">
        <v>120</v>
      </c>
      <c r="V1073" s="287">
        <f t="shared" ca="1" si="243"/>
        <v>10</v>
      </c>
      <c r="W1073" s="75">
        <f t="shared" ca="1" si="244"/>
        <v>1400</v>
      </c>
      <c r="X1073" s="200">
        <f t="shared" ca="1" si="238"/>
        <v>5545</v>
      </c>
      <c r="Y1073" s="1"/>
      <c r="Z1073" s="31">
        <v>0.1</v>
      </c>
      <c r="AA1073" s="223">
        <v>0.09</v>
      </c>
      <c r="AB1073" s="302" t="s">
        <v>5391</v>
      </c>
      <c r="AC1073" s="308">
        <v>42829</v>
      </c>
      <c r="AD1073" s="309">
        <v>0.25</v>
      </c>
      <c r="AE1073" s="312" t="s">
        <v>6231</v>
      </c>
      <c r="AF1073">
        <f t="shared" si="239"/>
        <v>0</v>
      </c>
    </row>
    <row r="1074" spans="1:32" hidden="1" x14ac:dyDescent="0.25">
      <c r="A1074" s="322" t="s">
        <v>3030</v>
      </c>
      <c r="B1074" s="93" t="str">
        <f t="shared" si="241"/>
        <v>YES</v>
      </c>
      <c r="C1074" s="93" t="s">
        <v>5503</v>
      </c>
      <c r="D1074" s="4">
        <v>40380</v>
      </c>
      <c r="E1074" s="2">
        <v>40452</v>
      </c>
      <c r="F1074" s="2">
        <f t="shared" si="240"/>
        <v>44105</v>
      </c>
      <c r="G1074" s="6">
        <v>120</v>
      </c>
      <c r="H1074" s="7" t="s">
        <v>899</v>
      </c>
      <c r="I1074" s="7" t="s">
        <v>512</v>
      </c>
      <c r="J1074" s="186"/>
      <c r="K1074" s="266">
        <f t="shared" si="242"/>
        <v>2020</v>
      </c>
      <c r="L1074" s="390" t="s">
        <v>7519</v>
      </c>
      <c r="M1074" s="390" t="s">
        <v>7520</v>
      </c>
      <c r="N1074" s="32" t="s">
        <v>3024</v>
      </c>
      <c r="O1074" s="32" t="s">
        <v>3031</v>
      </c>
      <c r="P1074" s="278"/>
      <c r="Q1074" s="233">
        <v>201007</v>
      </c>
      <c r="R1074" s="75">
        <v>565</v>
      </c>
      <c r="S1074" s="75">
        <v>5760</v>
      </c>
      <c r="T1074" s="75">
        <v>6325</v>
      </c>
      <c r="U1074" s="200">
        <v>180</v>
      </c>
      <c r="V1074" s="287">
        <f t="shared" ca="1" si="243"/>
        <v>10</v>
      </c>
      <c r="W1074" s="75">
        <f t="shared" ca="1" si="244"/>
        <v>2100</v>
      </c>
      <c r="X1074" s="200">
        <f t="shared" ca="1" si="238"/>
        <v>8245</v>
      </c>
      <c r="Y1074" s="1"/>
      <c r="Z1074" s="31">
        <v>0.1</v>
      </c>
      <c r="AA1074" s="223">
        <v>0.09</v>
      </c>
      <c r="AB1074" s="302" t="s">
        <v>5390</v>
      </c>
      <c r="AC1074" s="308">
        <v>42829</v>
      </c>
      <c r="AD1074" s="309">
        <v>0.25</v>
      </c>
      <c r="AE1074" s="312" t="s">
        <v>6231</v>
      </c>
      <c r="AF1074">
        <f t="shared" si="239"/>
        <v>0</v>
      </c>
    </row>
    <row r="1075" spans="1:32" ht="26.25" x14ac:dyDescent="0.25">
      <c r="A1075" s="322" t="s">
        <v>3032</v>
      </c>
      <c r="B1075" s="93" t="str">
        <f t="shared" si="241"/>
        <v>YES</v>
      </c>
      <c r="C1075" s="93" t="s">
        <v>5503</v>
      </c>
      <c r="D1075" s="4">
        <v>40380</v>
      </c>
      <c r="E1075" s="2">
        <v>40452</v>
      </c>
      <c r="F1075" s="2">
        <f t="shared" si="240"/>
        <v>44105</v>
      </c>
      <c r="G1075" s="6">
        <v>40</v>
      </c>
      <c r="H1075" s="7" t="s">
        <v>2024</v>
      </c>
      <c r="I1075" s="7" t="s">
        <v>512</v>
      </c>
      <c r="J1075" s="105" t="s">
        <v>5188</v>
      </c>
      <c r="K1075" s="266">
        <f t="shared" si="242"/>
        <v>2020</v>
      </c>
      <c r="L1075" s="386"/>
      <c r="M1075" s="386"/>
      <c r="N1075" s="32" t="s">
        <v>3033</v>
      </c>
      <c r="O1075" s="32" t="s">
        <v>3034</v>
      </c>
      <c r="P1075" s="278"/>
      <c r="Q1075" s="233">
        <v>201007</v>
      </c>
      <c r="R1075" s="75">
        <v>285</v>
      </c>
      <c r="S1075" s="75">
        <v>760</v>
      </c>
      <c r="T1075" s="75">
        <v>1045</v>
      </c>
      <c r="U1075" s="200">
        <v>60</v>
      </c>
      <c r="V1075" s="287">
        <f t="shared" ca="1" si="243"/>
        <v>10</v>
      </c>
      <c r="W1075" s="75">
        <f t="shared" ca="1" si="244"/>
        <v>700</v>
      </c>
      <c r="X1075" s="200">
        <f t="shared" ca="1" si="238"/>
        <v>1685</v>
      </c>
      <c r="Y1075" s="1"/>
      <c r="Z1075" s="31">
        <v>0.1</v>
      </c>
      <c r="AA1075" s="223">
        <v>0.09</v>
      </c>
      <c r="AB1075" s="302" t="s">
        <v>6924</v>
      </c>
      <c r="AC1075" s="302"/>
      <c r="AD1075" s="302"/>
      <c r="AE1075" s="302"/>
      <c r="AF1075">
        <f t="shared" si="239"/>
        <v>1</v>
      </c>
    </row>
    <row r="1076" spans="1:32" ht="26.25" x14ac:dyDescent="0.25">
      <c r="A1076" s="322" t="s">
        <v>3035</v>
      </c>
      <c r="B1076" s="93" t="str">
        <f t="shared" si="241"/>
        <v>YES</v>
      </c>
      <c r="C1076" s="93" t="s">
        <v>5503</v>
      </c>
      <c r="D1076" s="4">
        <v>40380</v>
      </c>
      <c r="E1076" s="2">
        <v>40452</v>
      </c>
      <c r="F1076" s="2">
        <f t="shared" si="240"/>
        <v>44105</v>
      </c>
      <c r="G1076" s="6">
        <v>240</v>
      </c>
      <c r="H1076" s="7" t="s">
        <v>2024</v>
      </c>
      <c r="I1076" s="7" t="s">
        <v>512</v>
      </c>
      <c r="J1076" s="105" t="s">
        <v>5188</v>
      </c>
      <c r="K1076" s="266">
        <f t="shared" si="242"/>
        <v>2020</v>
      </c>
      <c r="L1076" s="386"/>
      <c r="M1076" s="386"/>
      <c r="N1076" s="32" t="s">
        <v>3036</v>
      </c>
      <c r="O1076" s="32" t="s">
        <v>3037</v>
      </c>
      <c r="P1076" s="278"/>
      <c r="Q1076" s="233">
        <v>201007</v>
      </c>
      <c r="R1076" s="75">
        <v>985</v>
      </c>
      <c r="S1076" s="75">
        <v>9600</v>
      </c>
      <c r="T1076" s="75">
        <v>10585</v>
      </c>
      <c r="U1076" s="200">
        <v>360</v>
      </c>
      <c r="V1076" s="287">
        <f t="shared" ca="1" si="243"/>
        <v>10</v>
      </c>
      <c r="W1076" s="75">
        <f t="shared" ca="1" si="244"/>
        <v>4200</v>
      </c>
      <c r="X1076" s="200">
        <f t="shared" ca="1" si="238"/>
        <v>14425</v>
      </c>
      <c r="Y1076" s="1"/>
      <c r="Z1076" s="31">
        <v>0.1</v>
      </c>
      <c r="AA1076" s="223">
        <v>0.09</v>
      </c>
      <c r="AB1076" s="302" t="s">
        <v>6925</v>
      </c>
      <c r="AC1076" s="302"/>
      <c r="AD1076" s="302"/>
      <c r="AE1076" s="302"/>
      <c r="AF1076">
        <f t="shared" si="239"/>
        <v>1</v>
      </c>
    </row>
    <row r="1077" spans="1:32" ht="26.25" x14ac:dyDescent="0.25">
      <c r="A1077" s="322" t="s">
        <v>3038</v>
      </c>
      <c r="B1077" s="93" t="str">
        <f t="shared" si="241"/>
        <v>YES</v>
      </c>
      <c r="C1077" s="93" t="s">
        <v>5503</v>
      </c>
      <c r="D1077" s="4">
        <v>40380</v>
      </c>
      <c r="E1077" s="2">
        <v>40452</v>
      </c>
      <c r="F1077" s="2">
        <f t="shared" si="240"/>
        <v>44105</v>
      </c>
      <c r="G1077" s="6">
        <v>80</v>
      </c>
      <c r="H1077" s="7" t="s">
        <v>2024</v>
      </c>
      <c r="I1077" s="7" t="s">
        <v>512</v>
      </c>
      <c r="J1077" s="105" t="s">
        <v>5188</v>
      </c>
      <c r="K1077" s="266">
        <f t="shared" si="242"/>
        <v>2020</v>
      </c>
      <c r="L1077" s="386"/>
      <c r="M1077" s="386"/>
      <c r="N1077" s="32" t="s">
        <v>3039</v>
      </c>
      <c r="O1077" s="32" t="s">
        <v>3040</v>
      </c>
      <c r="P1077" s="278"/>
      <c r="Q1077" s="233">
        <v>201007</v>
      </c>
      <c r="R1077" s="75">
        <v>425</v>
      </c>
      <c r="S1077" s="75">
        <v>1040</v>
      </c>
      <c r="T1077" s="75">
        <v>1465</v>
      </c>
      <c r="U1077" s="200">
        <v>120</v>
      </c>
      <c r="V1077" s="287">
        <f t="shared" ca="1" si="243"/>
        <v>10</v>
      </c>
      <c r="W1077" s="75">
        <f t="shared" ca="1" si="244"/>
        <v>1400</v>
      </c>
      <c r="X1077" s="200">
        <f t="shared" ca="1" si="238"/>
        <v>2745</v>
      </c>
      <c r="Y1077" s="1"/>
      <c r="Z1077" s="31">
        <v>0.1</v>
      </c>
      <c r="AA1077" s="223">
        <v>0.09</v>
      </c>
      <c r="AB1077" s="302" t="s">
        <v>6926</v>
      </c>
      <c r="AC1077" s="302"/>
      <c r="AD1077" s="302"/>
      <c r="AE1077" s="302"/>
      <c r="AF1077">
        <f t="shared" si="239"/>
        <v>1</v>
      </c>
    </row>
    <row r="1078" spans="1:32" ht="26.25" x14ac:dyDescent="0.25">
      <c r="A1078" s="322" t="s">
        <v>3041</v>
      </c>
      <c r="B1078" s="93" t="str">
        <f t="shared" si="241"/>
        <v>YES</v>
      </c>
      <c r="C1078" s="93" t="s">
        <v>5503</v>
      </c>
      <c r="D1078" s="4">
        <v>40380</v>
      </c>
      <c r="E1078" s="2">
        <v>40452</v>
      </c>
      <c r="F1078" s="2">
        <f t="shared" si="240"/>
        <v>44105</v>
      </c>
      <c r="G1078" s="6">
        <v>160</v>
      </c>
      <c r="H1078" s="7" t="s">
        <v>2024</v>
      </c>
      <c r="I1078" s="7" t="s">
        <v>512</v>
      </c>
      <c r="J1078" s="105" t="s">
        <v>5188</v>
      </c>
      <c r="K1078" s="266">
        <f t="shared" si="242"/>
        <v>2020</v>
      </c>
      <c r="L1078" s="386"/>
      <c r="M1078" s="386"/>
      <c r="N1078" s="32" t="s">
        <v>3039</v>
      </c>
      <c r="O1078" s="32" t="s">
        <v>3042</v>
      </c>
      <c r="P1078" s="278"/>
      <c r="Q1078" s="233">
        <v>201007</v>
      </c>
      <c r="R1078" s="75">
        <v>705</v>
      </c>
      <c r="S1078" s="75">
        <v>2080</v>
      </c>
      <c r="T1078" s="75">
        <v>2785</v>
      </c>
      <c r="U1078" s="200">
        <v>240</v>
      </c>
      <c r="V1078" s="287">
        <f t="shared" ca="1" si="243"/>
        <v>10</v>
      </c>
      <c r="W1078" s="75">
        <f t="shared" ca="1" si="244"/>
        <v>2800</v>
      </c>
      <c r="X1078" s="200">
        <f t="shared" ca="1" si="238"/>
        <v>5345</v>
      </c>
      <c r="Y1078" s="1"/>
      <c r="Z1078" s="31">
        <v>0.1</v>
      </c>
      <c r="AA1078" s="223">
        <v>0.09</v>
      </c>
      <c r="AB1078" s="302" t="s">
        <v>6927</v>
      </c>
      <c r="AC1078" s="302"/>
      <c r="AD1078" s="302"/>
      <c r="AE1078" s="302"/>
      <c r="AF1078">
        <f t="shared" si="239"/>
        <v>1</v>
      </c>
    </row>
    <row r="1079" spans="1:32" ht="26.25" x14ac:dyDescent="0.25">
      <c r="A1079" s="322" t="s">
        <v>3043</v>
      </c>
      <c r="B1079" s="93" t="str">
        <f t="shared" si="241"/>
        <v>YES</v>
      </c>
      <c r="C1079" s="93" t="s">
        <v>5503</v>
      </c>
      <c r="D1079" s="4">
        <v>40380</v>
      </c>
      <c r="E1079" s="2">
        <v>40452</v>
      </c>
      <c r="F1079" s="2">
        <f t="shared" si="240"/>
        <v>44105</v>
      </c>
      <c r="G1079" s="6">
        <v>160</v>
      </c>
      <c r="H1079" s="7" t="s">
        <v>2024</v>
      </c>
      <c r="I1079" s="7" t="s">
        <v>512</v>
      </c>
      <c r="J1079" s="105" t="s">
        <v>5188</v>
      </c>
      <c r="K1079" s="266">
        <f t="shared" si="242"/>
        <v>2020</v>
      </c>
      <c r="L1079" s="386"/>
      <c r="M1079" s="386"/>
      <c r="N1079" s="32" t="s">
        <v>3039</v>
      </c>
      <c r="O1079" s="32" t="s">
        <v>3044</v>
      </c>
      <c r="P1079" s="278"/>
      <c r="Q1079" s="233">
        <v>201007</v>
      </c>
      <c r="R1079" s="75">
        <v>705</v>
      </c>
      <c r="S1079" s="75">
        <v>1600</v>
      </c>
      <c r="T1079" s="75">
        <v>2305</v>
      </c>
      <c r="U1079" s="200">
        <v>240</v>
      </c>
      <c r="V1079" s="287">
        <f t="shared" ca="1" si="243"/>
        <v>10</v>
      </c>
      <c r="W1079" s="75">
        <f t="shared" ca="1" si="244"/>
        <v>2800</v>
      </c>
      <c r="X1079" s="200">
        <f t="shared" ca="1" si="238"/>
        <v>4865</v>
      </c>
      <c r="Y1079" s="1"/>
      <c r="Z1079" s="31">
        <v>0.1</v>
      </c>
      <c r="AA1079" s="223">
        <v>0.09</v>
      </c>
      <c r="AB1079" s="302" t="s">
        <v>6928</v>
      </c>
      <c r="AC1079" s="302"/>
      <c r="AD1079" s="302"/>
      <c r="AE1079" s="302"/>
      <c r="AF1079">
        <f t="shared" si="239"/>
        <v>1</v>
      </c>
    </row>
    <row r="1080" spans="1:32" ht="26.25" x14ac:dyDescent="0.25">
      <c r="A1080" s="322" t="s">
        <v>3045</v>
      </c>
      <c r="B1080" s="93" t="str">
        <f t="shared" si="241"/>
        <v>YES</v>
      </c>
      <c r="C1080" s="93" t="s">
        <v>5503</v>
      </c>
      <c r="D1080" s="4">
        <v>40380</v>
      </c>
      <c r="E1080" s="2">
        <v>40452</v>
      </c>
      <c r="F1080" s="2">
        <f t="shared" si="240"/>
        <v>44105</v>
      </c>
      <c r="G1080" s="6">
        <v>80</v>
      </c>
      <c r="H1080" s="7" t="s">
        <v>2024</v>
      </c>
      <c r="I1080" s="7" t="s">
        <v>512</v>
      </c>
      <c r="J1080" s="105" t="s">
        <v>5188</v>
      </c>
      <c r="K1080" s="266">
        <f t="shared" si="242"/>
        <v>2020</v>
      </c>
      <c r="L1080" s="386"/>
      <c r="M1080" s="386"/>
      <c r="N1080" s="32" t="s">
        <v>3039</v>
      </c>
      <c r="O1080" s="32" t="s">
        <v>3046</v>
      </c>
      <c r="P1080" s="278"/>
      <c r="Q1080" s="233">
        <v>201007</v>
      </c>
      <c r="R1080" s="75">
        <v>425</v>
      </c>
      <c r="S1080" s="75">
        <v>2080</v>
      </c>
      <c r="T1080" s="75">
        <v>2505</v>
      </c>
      <c r="U1080" s="200">
        <v>120</v>
      </c>
      <c r="V1080" s="287">
        <f t="shared" ca="1" si="243"/>
        <v>10</v>
      </c>
      <c r="W1080" s="75">
        <f t="shared" ca="1" si="244"/>
        <v>1400</v>
      </c>
      <c r="X1080" s="200">
        <f t="shared" ca="1" si="238"/>
        <v>3785</v>
      </c>
      <c r="Y1080" s="1"/>
      <c r="Z1080" s="31">
        <v>0.1</v>
      </c>
      <c r="AA1080" s="223">
        <v>0.09</v>
      </c>
      <c r="AB1080" s="302" t="s">
        <v>6929</v>
      </c>
      <c r="AC1080" s="302"/>
      <c r="AD1080" s="302"/>
      <c r="AE1080" s="302"/>
      <c r="AF1080">
        <f t="shared" si="239"/>
        <v>1</v>
      </c>
    </row>
    <row r="1081" spans="1:32" ht="26.25" x14ac:dyDescent="0.25">
      <c r="A1081" s="322" t="s">
        <v>3047</v>
      </c>
      <c r="B1081" s="93" t="str">
        <f t="shared" si="241"/>
        <v>YES</v>
      </c>
      <c r="C1081" s="93" t="s">
        <v>5503</v>
      </c>
      <c r="D1081" s="4">
        <v>40380</v>
      </c>
      <c r="E1081" s="2">
        <v>40452</v>
      </c>
      <c r="F1081" s="2">
        <f t="shared" si="240"/>
        <v>44105</v>
      </c>
      <c r="G1081" s="6">
        <v>156.22999999999999</v>
      </c>
      <c r="H1081" s="7" t="s">
        <v>2024</v>
      </c>
      <c r="I1081" s="7" t="s">
        <v>512</v>
      </c>
      <c r="J1081" s="105" t="s">
        <v>5188</v>
      </c>
      <c r="K1081" s="266">
        <f t="shared" si="242"/>
        <v>2020</v>
      </c>
      <c r="L1081" s="386"/>
      <c r="M1081" s="386"/>
      <c r="N1081" s="32" t="s">
        <v>3039</v>
      </c>
      <c r="O1081" s="32" t="s">
        <v>3048</v>
      </c>
      <c r="P1081" s="278"/>
      <c r="Q1081" s="233">
        <v>201007</v>
      </c>
      <c r="R1081" s="75">
        <v>694.5</v>
      </c>
      <c r="S1081" s="75">
        <v>3454</v>
      </c>
      <c r="T1081" s="75">
        <v>4148.5</v>
      </c>
      <c r="U1081" s="200">
        <v>235.5</v>
      </c>
      <c r="V1081" s="287">
        <f t="shared" ca="1" si="243"/>
        <v>10</v>
      </c>
      <c r="W1081" s="75">
        <f t="shared" ca="1" si="244"/>
        <v>2747.5</v>
      </c>
      <c r="X1081" s="200">
        <f t="shared" ca="1" si="238"/>
        <v>6660.5</v>
      </c>
      <c r="Y1081" s="1"/>
      <c r="Z1081" s="31">
        <v>0.1</v>
      </c>
      <c r="AA1081" s="223">
        <v>0.09</v>
      </c>
      <c r="AB1081" s="302" t="s">
        <v>6930</v>
      </c>
      <c r="AC1081" s="302"/>
      <c r="AD1081" s="302"/>
      <c r="AE1081" s="302"/>
      <c r="AF1081">
        <f t="shared" si="239"/>
        <v>1</v>
      </c>
    </row>
    <row r="1082" spans="1:32" ht="26.25" x14ac:dyDescent="0.25">
      <c r="A1082" s="322" t="s">
        <v>3049</v>
      </c>
      <c r="B1082" s="93" t="str">
        <f t="shared" si="241"/>
        <v>YES</v>
      </c>
      <c r="C1082" s="93" t="s">
        <v>5503</v>
      </c>
      <c r="D1082" s="4">
        <v>40380</v>
      </c>
      <c r="E1082" s="2">
        <v>40452</v>
      </c>
      <c r="F1082" s="2">
        <f t="shared" si="240"/>
        <v>44105</v>
      </c>
      <c r="G1082" s="6">
        <v>80</v>
      </c>
      <c r="H1082" s="7" t="s">
        <v>2024</v>
      </c>
      <c r="I1082" s="7" t="s">
        <v>512</v>
      </c>
      <c r="J1082" s="105" t="s">
        <v>5188</v>
      </c>
      <c r="K1082" s="266">
        <f t="shared" si="242"/>
        <v>2020</v>
      </c>
      <c r="L1082" s="386"/>
      <c r="M1082" s="386"/>
      <c r="N1082" s="32" t="s">
        <v>3039</v>
      </c>
      <c r="O1082" s="32" t="s">
        <v>3050</v>
      </c>
      <c r="P1082" s="278"/>
      <c r="Q1082" s="233">
        <v>201007</v>
      </c>
      <c r="R1082" s="75">
        <v>425</v>
      </c>
      <c r="S1082" s="75">
        <v>2080</v>
      </c>
      <c r="T1082" s="75">
        <v>2505</v>
      </c>
      <c r="U1082" s="200">
        <v>120</v>
      </c>
      <c r="V1082" s="287">
        <f t="shared" ca="1" si="243"/>
        <v>10</v>
      </c>
      <c r="W1082" s="75">
        <f t="shared" ca="1" si="244"/>
        <v>1400</v>
      </c>
      <c r="X1082" s="200">
        <f t="shared" ca="1" si="238"/>
        <v>3785</v>
      </c>
      <c r="Y1082" s="1"/>
      <c r="Z1082" s="31">
        <v>0.1</v>
      </c>
      <c r="AA1082" s="223">
        <v>0.09</v>
      </c>
      <c r="AB1082" s="302" t="s">
        <v>6931</v>
      </c>
      <c r="AC1082" s="302"/>
      <c r="AD1082" s="302"/>
      <c r="AE1082" s="302"/>
      <c r="AF1082">
        <f t="shared" si="239"/>
        <v>1</v>
      </c>
    </row>
    <row r="1083" spans="1:32" ht="26.25" x14ac:dyDescent="0.25">
      <c r="A1083" s="322" t="s">
        <v>3051</v>
      </c>
      <c r="B1083" s="93" t="str">
        <f t="shared" si="241"/>
        <v>YES</v>
      </c>
      <c r="C1083" s="93" t="s">
        <v>5503</v>
      </c>
      <c r="D1083" s="4">
        <v>40380</v>
      </c>
      <c r="E1083" s="2">
        <v>40452</v>
      </c>
      <c r="F1083" s="2">
        <f t="shared" si="240"/>
        <v>44105</v>
      </c>
      <c r="G1083" s="6">
        <v>160</v>
      </c>
      <c r="H1083" s="7" t="s">
        <v>2024</v>
      </c>
      <c r="I1083" s="7" t="s">
        <v>512</v>
      </c>
      <c r="J1083" s="105" t="s">
        <v>5188</v>
      </c>
      <c r="K1083" s="266">
        <f t="shared" si="242"/>
        <v>2020</v>
      </c>
      <c r="L1083" s="386"/>
      <c r="M1083" s="386"/>
      <c r="N1083" s="32" t="s">
        <v>3039</v>
      </c>
      <c r="O1083" s="32" t="s">
        <v>3052</v>
      </c>
      <c r="P1083" s="278"/>
      <c r="Q1083" s="233">
        <v>201007</v>
      </c>
      <c r="R1083" s="75">
        <v>705</v>
      </c>
      <c r="S1083" s="75">
        <v>4160</v>
      </c>
      <c r="T1083" s="75">
        <v>4865</v>
      </c>
      <c r="U1083" s="200">
        <v>240</v>
      </c>
      <c r="V1083" s="287">
        <f t="shared" ca="1" si="243"/>
        <v>10</v>
      </c>
      <c r="W1083" s="75">
        <f t="shared" ca="1" si="244"/>
        <v>2800</v>
      </c>
      <c r="X1083" s="200">
        <f t="shared" ca="1" si="238"/>
        <v>7425</v>
      </c>
      <c r="Y1083" s="1"/>
      <c r="Z1083" s="31">
        <v>0.1</v>
      </c>
      <c r="AA1083" s="223">
        <v>0.09</v>
      </c>
      <c r="AB1083" s="302" t="s">
        <v>6932</v>
      </c>
      <c r="AC1083" s="302"/>
      <c r="AD1083" s="302"/>
      <c r="AE1083" s="302"/>
      <c r="AF1083">
        <f t="shared" si="239"/>
        <v>1</v>
      </c>
    </row>
    <row r="1084" spans="1:32" ht="39" x14ac:dyDescent="0.25">
      <c r="A1084" s="322" t="s">
        <v>3053</v>
      </c>
      <c r="B1084" s="93" t="str">
        <f t="shared" si="241"/>
        <v>YES</v>
      </c>
      <c r="C1084" s="93" t="s">
        <v>5503</v>
      </c>
      <c r="D1084" s="4">
        <v>40380</v>
      </c>
      <c r="E1084" s="2">
        <v>40452</v>
      </c>
      <c r="F1084" s="2">
        <f t="shared" si="240"/>
        <v>44105</v>
      </c>
      <c r="G1084" s="6">
        <v>1580.74</v>
      </c>
      <c r="H1084" s="7" t="s">
        <v>2024</v>
      </c>
      <c r="I1084" s="7" t="s">
        <v>512</v>
      </c>
      <c r="J1084" s="105" t="s">
        <v>5188</v>
      </c>
      <c r="K1084" s="266">
        <f t="shared" si="242"/>
        <v>2020</v>
      </c>
      <c r="L1084" s="386"/>
      <c r="M1084" s="386"/>
      <c r="N1084" s="32" t="s">
        <v>3054</v>
      </c>
      <c r="O1084" s="32" t="s">
        <v>3055</v>
      </c>
      <c r="P1084" s="278" t="s">
        <v>3056</v>
      </c>
      <c r="Q1084" s="233">
        <v>201007</v>
      </c>
      <c r="R1084" s="75">
        <v>5678.5</v>
      </c>
      <c r="S1084" s="75">
        <v>37944</v>
      </c>
      <c r="T1084" s="75">
        <v>43622.5</v>
      </c>
      <c r="U1084" s="200">
        <v>2371.5</v>
      </c>
      <c r="V1084" s="287">
        <f t="shared" ca="1" si="243"/>
        <v>10</v>
      </c>
      <c r="W1084" s="75">
        <f t="shared" ca="1" si="244"/>
        <v>27667.5</v>
      </c>
      <c r="X1084" s="200">
        <f t="shared" ca="1" si="238"/>
        <v>68918.5</v>
      </c>
      <c r="Y1084" s="1"/>
      <c r="Z1084" s="31">
        <v>0.1</v>
      </c>
      <c r="AA1084" s="223">
        <v>0.09</v>
      </c>
      <c r="AB1084" s="302" t="s">
        <v>6933</v>
      </c>
      <c r="AC1084" s="302"/>
      <c r="AD1084" s="302"/>
      <c r="AE1084" s="302"/>
      <c r="AF1084">
        <f t="shared" si="239"/>
        <v>1</v>
      </c>
    </row>
    <row r="1085" spans="1:32" ht="26.25" x14ac:dyDescent="0.25">
      <c r="A1085" s="322" t="s">
        <v>3057</v>
      </c>
      <c r="B1085" s="93" t="str">
        <f t="shared" si="241"/>
        <v>YES</v>
      </c>
      <c r="C1085" s="93" t="s">
        <v>5503</v>
      </c>
      <c r="D1085" s="4">
        <v>40380</v>
      </c>
      <c r="E1085" s="2">
        <v>40452</v>
      </c>
      <c r="F1085" s="2">
        <f t="shared" si="240"/>
        <v>44105</v>
      </c>
      <c r="G1085" s="6">
        <v>674.54</v>
      </c>
      <c r="H1085" s="7" t="s">
        <v>2024</v>
      </c>
      <c r="I1085" s="7" t="s">
        <v>512</v>
      </c>
      <c r="J1085" s="105" t="s">
        <v>5188</v>
      </c>
      <c r="K1085" s="266">
        <f t="shared" si="242"/>
        <v>2020</v>
      </c>
      <c r="L1085" s="386"/>
      <c r="M1085" s="386"/>
      <c r="N1085" s="32" t="s">
        <v>3054</v>
      </c>
      <c r="O1085" s="32" t="s">
        <v>3058</v>
      </c>
      <c r="P1085" s="278" t="s">
        <v>3059</v>
      </c>
      <c r="Q1085" s="233">
        <v>201007</v>
      </c>
      <c r="R1085" s="75">
        <v>2507.5</v>
      </c>
      <c r="S1085" s="75">
        <v>16200</v>
      </c>
      <c r="T1085" s="75">
        <v>18707.5</v>
      </c>
      <c r="U1085" s="200">
        <v>1012.5</v>
      </c>
      <c r="V1085" s="287">
        <f t="shared" ca="1" si="243"/>
        <v>10</v>
      </c>
      <c r="W1085" s="75">
        <f t="shared" ca="1" si="244"/>
        <v>11812.5</v>
      </c>
      <c r="X1085" s="200">
        <f t="shared" ca="1" si="238"/>
        <v>29507.5</v>
      </c>
      <c r="Y1085" s="1"/>
      <c r="Z1085" s="31">
        <v>0.1</v>
      </c>
      <c r="AA1085" s="223">
        <v>0.09</v>
      </c>
      <c r="AB1085" s="302" t="s">
        <v>6934</v>
      </c>
      <c r="AC1085" s="302"/>
      <c r="AD1085" s="302"/>
      <c r="AE1085" s="302"/>
      <c r="AF1085">
        <f t="shared" si="239"/>
        <v>1</v>
      </c>
    </row>
    <row r="1086" spans="1:32" ht="26.25" hidden="1" x14ac:dyDescent="0.25">
      <c r="A1086" s="322" t="s">
        <v>3060</v>
      </c>
      <c r="B1086" s="93" t="str">
        <f t="shared" ref="B1086:B1094" si="245">IF(COUNTIF(GIS,A1086),"YES","NO")</f>
        <v>YES</v>
      </c>
      <c r="C1086" s="93" t="s">
        <v>5503</v>
      </c>
      <c r="D1086" s="4">
        <v>40380</v>
      </c>
      <c r="E1086" s="2">
        <v>40452</v>
      </c>
      <c r="F1086" s="2">
        <f t="shared" si="240"/>
        <v>44105</v>
      </c>
      <c r="G1086" s="6">
        <v>477.98</v>
      </c>
      <c r="H1086" s="7" t="s">
        <v>564</v>
      </c>
      <c r="I1086" s="7" t="s">
        <v>512</v>
      </c>
      <c r="J1086" s="186"/>
      <c r="K1086" s="266">
        <f t="shared" ref="K1086:K1094" si="246">YEAR(F1086)</f>
        <v>2020</v>
      </c>
      <c r="L1086" s="390" t="s">
        <v>7533</v>
      </c>
      <c r="M1086" s="390" t="s">
        <v>7536</v>
      </c>
      <c r="N1086" s="32" t="s">
        <v>3061</v>
      </c>
      <c r="O1086" s="32" t="s">
        <v>3062</v>
      </c>
      <c r="P1086" s="278"/>
      <c r="Q1086" s="233">
        <v>201007</v>
      </c>
      <c r="R1086" s="75">
        <v>1818</v>
      </c>
      <c r="S1086" s="75">
        <v>3824</v>
      </c>
      <c r="T1086" s="75">
        <v>5642</v>
      </c>
      <c r="U1086" s="200">
        <v>717</v>
      </c>
      <c r="V1086" s="287">
        <f t="shared" ref="V1086:V1094" ca="1" si="247">IF(YEAR($W$3)-YEAR(E1086)&gt;9,10,IF(MONTH($W$3)&lt;MONTH(E1086),YEAR($W$3)-YEAR(E1086),YEAR($W$3)-YEAR(E1086)+1))</f>
        <v>10</v>
      </c>
      <c r="W1086" s="75">
        <f t="shared" ref="W1086:W1094" ca="1" si="248">IF(V1086&lt;6, ROUNDUP(G1086,0)*$W$6*V1086, ROUNDUP(G1086,0)*($W$6*5 + (V1086-5)*$W$7))</f>
        <v>8365</v>
      </c>
      <c r="X1086" s="200">
        <f t="shared" ref="X1086:X1094" ca="1" si="249">IF(V1086=0,T1086,((T1086-ROUNDUP(G1086,0)*1.5)+W1086))</f>
        <v>13290</v>
      </c>
      <c r="Y1086" s="1"/>
      <c r="Z1086" s="31">
        <v>0.1</v>
      </c>
      <c r="AA1086" s="223">
        <v>0.09</v>
      </c>
      <c r="AB1086" s="302" t="s">
        <v>6935</v>
      </c>
      <c r="AC1086" s="302"/>
      <c r="AD1086" s="302"/>
      <c r="AE1086" s="302"/>
      <c r="AF1086">
        <f t="shared" si="239"/>
        <v>0</v>
      </c>
    </row>
    <row r="1087" spans="1:32" ht="26.25" hidden="1" x14ac:dyDescent="0.25">
      <c r="A1087" s="322" t="s">
        <v>3063</v>
      </c>
      <c r="B1087" s="93" t="str">
        <f t="shared" si="245"/>
        <v>YES</v>
      </c>
      <c r="C1087" s="93" t="s">
        <v>5503</v>
      </c>
      <c r="D1087" s="4">
        <v>40380</v>
      </c>
      <c r="E1087" s="2">
        <v>40452</v>
      </c>
      <c r="F1087" s="2">
        <f t="shared" si="240"/>
        <v>44105</v>
      </c>
      <c r="G1087" s="6">
        <v>251.82</v>
      </c>
      <c r="H1087" s="7" t="s">
        <v>564</v>
      </c>
      <c r="I1087" s="7" t="s">
        <v>512</v>
      </c>
      <c r="J1087" s="186"/>
      <c r="K1087" s="266">
        <f t="shared" si="246"/>
        <v>2020</v>
      </c>
      <c r="L1087" s="390" t="s">
        <v>7533</v>
      </c>
      <c r="M1087" s="390" t="s">
        <v>7537</v>
      </c>
      <c r="N1087" s="32" t="s">
        <v>3064</v>
      </c>
      <c r="O1087" s="32" t="s">
        <v>3065</v>
      </c>
      <c r="P1087" s="278"/>
      <c r="Q1087" s="233">
        <v>201007</v>
      </c>
      <c r="R1087" s="75">
        <v>1027</v>
      </c>
      <c r="S1087" s="75">
        <v>34776</v>
      </c>
      <c r="T1087" s="75">
        <v>35803</v>
      </c>
      <c r="U1087" s="200">
        <v>378</v>
      </c>
      <c r="V1087" s="287">
        <f t="shared" ca="1" si="247"/>
        <v>10</v>
      </c>
      <c r="W1087" s="75">
        <f t="shared" ca="1" si="248"/>
        <v>4410</v>
      </c>
      <c r="X1087" s="200">
        <f t="shared" ca="1" si="249"/>
        <v>39835</v>
      </c>
      <c r="Y1087" s="1"/>
      <c r="Z1087" s="31">
        <v>0.1</v>
      </c>
      <c r="AA1087" s="223">
        <v>0.09</v>
      </c>
      <c r="AB1087" s="302" t="s">
        <v>6936</v>
      </c>
      <c r="AC1087" s="302"/>
      <c r="AD1087" s="302"/>
      <c r="AE1087" s="302"/>
      <c r="AF1087">
        <f t="shared" si="239"/>
        <v>0</v>
      </c>
    </row>
    <row r="1088" spans="1:32" ht="26.25" hidden="1" x14ac:dyDescent="0.25">
      <c r="A1088" s="322" t="s">
        <v>3066</v>
      </c>
      <c r="B1088" s="93" t="str">
        <f t="shared" si="245"/>
        <v>YES</v>
      </c>
      <c r="C1088" s="93" t="s">
        <v>5503</v>
      </c>
      <c r="D1088" s="4">
        <v>40380</v>
      </c>
      <c r="E1088" s="11">
        <v>40513</v>
      </c>
      <c r="F1088" s="2">
        <f t="shared" si="240"/>
        <v>44166</v>
      </c>
      <c r="G1088" s="6">
        <v>40</v>
      </c>
      <c r="H1088" s="7" t="s">
        <v>564</v>
      </c>
      <c r="I1088" s="7" t="s">
        <v>512</v>
      </c>
      <c r="J1088" s="186"/>
      <c r="K1088" s="266">
        <f t="shared" si="246"/>
        <v>2020</v>
      </c>
      <c r="L1088" s="390" t="s">
        <v>7533</v>
      </c>
      <c r="M1088" s="390" t="s">
        <v>7537</v>
      </c>
      <c r="N1088" s="32" t="s">
        <v>3064</v>
      </c>
      <c r="O1088" s="136" t="s">
        <v>3067</v>
      </c>
      <c r="P1088" s="278"/>
      <c r="Q1088" s="233">
        <v>201007</v>
      </c>
      <c r="R1088" s="75">
        <v>285</v>
      </c>
      <c r="S1088" s="75">
        <v>0</v>
      </c>
      <c r="T1088" s="75">
        <v>285</v>
      </c>
      <c r="U1088" s="200">
        <v>80</v>
      </c>
      <c r="V1088" s="287">
        <f t="shared" ca="1" si="247"/>
        <v>10</v>
      </c>
      <c r="W1088" s="75">
        <f t="shared" ca="1" si="248"/>
        <v>700</v>
      </c>
      <c r="X1088" s="200">
        <f t="shared" ca="1" si="249"/>
        <v>925</v>
      </c>
      <c r="Y1088" s="1"/>
      <c r="Z1088" s="31">
        <v>0.1</v>
      </c>
      <c r="AA1088" s="223">
        <v>0.09</v>
      </c>
      <c r="AB1088" s="302" t="s">
        <v>6937</v>
      </c>
      <c r="AC1088" s="302"/>
      <c r="AD1088" s="302"/>
      <c r="AE1088" s="302"/>
      <c r="AF1088">
        <f t="shared" si="239"/>
        <v>0</v>
      </c>
    </row>
    <row r="1089" spans="1:32" ht="26.25" x14ac:dyDescent="0.25">
      <c r="A1089" s="322" t="s">
        <v>3068</v>
      </c>
      <c r="B1089" s="93" t="str">
        <f t="shared" si="245"/>
        <v>YES</v>
      </c>
      <c r="C1089" s="93" t="s">
        <v>5503</v>
      </c>
      <c r="D1089" s="4">
        <v>40380</v>
      </c>
      <c r="E1089" s="2">
        <v>40452</v>
      </c>
      <c r="F1089" s="2">
        <f t="shared" si="240"/>
        <v>44105</v>
      </c>
      <c r="G1089" s="6">
        <v>680</v>
      </c>
      <c r="H1089" s="7" t="s">
        <v>2024</v>
      </c>
      <c r="I1089" s="7" t="s">
        <v>512</v>
      </c>
      <c r="J1089" s="105" t="s">
        <v>5188</v>
      </c>
      <c r="K1089" s="266">
        <f t="shared" si="246"/>
        <v>2020</v>
      </c>
      <c r="L1089" s="386"/>
      <c r="M1089" s="386"/>
      <c r="N1089" s="32" t="s">
        <v>2958</v>
      </c>
      <c r="O1089" s="32" t="s">
        <v>3069</v>
      </c>
      <c r="P1089" s="278" t="s">
        <v>3070</v>
      </c>
      <c r="Q1089" s="233">
        <v>201007</v>
      </c>
      <c r="R1089" s="75">
        <v>2525</v>
      </c>
      <c r="S1089" s="75">
        <v>14960</v>
      </c>
      <c r="T1089" s="75">
        <v>17485</v>
      </c>
      <c r="U1089" s="200">
        <v>1020</v>
      </c>
      <c r="V1089" s="287">
        <f t="shared" ca="1" si="247"/>
        <v>10</v>
      </c>
      <c r="W1089" s="75">
        <f t="shared" ca="1" si="248"/>
        <v>11900</v>
      </c>
      <c r="X1089" s="200">
        <f t="shared" ca="1" si="249"/>
        <v>28365</v>
      </c>
      <c r="Y1089" s="1"/>
      <c r="Z1089" s="31">
        <v>0.1</v>
      </c>
      <c r="AA1089" s="223">
        <v>0.09</v>
      </c>
      <c r="AB1089" s="302" t="s">
        <v>6938</v>
      </c>
      <c r="AC1089" s="302"/>
      <c r="AD1089" s="302"/>
      <c r="AE1089" s="302"/>
      <c r="AF1089">
        <f t="shared" si="239"/>
        <v>1</v>
      </c>
    </row>
    <row r="1090" spans="1:32" ht="26.25" x14ac:dyDescent="0.25">
      <c r="A1090" s="322" t="s">
        <v>3071</v>
      </c>
      <c r="B1090" s="93" t="str">
        <f t="shared" si="245"/>
        <v>YES</v>
      </c>
      <c r="C1090" s="93" t="s">
        <v>5503</v>
      </c>
      <c r="D1090" s="4">
        <v>40380</v>
      </c>
      <c r="E1090" s="2">
        <v>40452</v>
      </c>
      <c r="F1090" s="2">
        <f t="shared" si="240"/>
        <v>44105</v>
      </c>
      <c r="G1090" s="6">
        <v>200</v>
      </c>
      <c r="H1090" s="7" t="s">
        <v>2024</v>
      </c>
      <c r="I1090" s="7" t="s">
        <v>512</v>
      </c>
      <c r="J1090" s="105" t="s">
        <v>5188</v>
      </c>
      <c r="K1090" s="266">
        <f t="shared" si="246"/>
        <v>2020</v>
      </c>
      <c r="L1090" s="386"/>
      <c r="M1090" s="386"/>
      <c r="N1090" s="32" t="s">
        <v>2958</v>
      </c>
      <c r="O1090" s="32" t="s">
        <v>3072</v>
      </c>
      <c r="P1090" s="278"/>
      <c r="Q1090" s="233">
        <v>201007</v>
      </c>
      <c r="R1090" s="75">
        <v>845</v>
      </c>
      <c r="S1090" s="75">
        <v>3600</v>
      </c>
      <c r="T1090" s="75">
        <v>4445</v>
      </c>
      <c r="U1090" s="200">
        <v>300</v>
      </c>
      <c r="V1090" s="287">
        <f t="shared" ca="1" si="247"/>
        <v>10</v>
      </c>
      <c r="W1090" s="75">
        <f t="shared" ca="1" si="248"/>
        <v>3500</v>
      </c>
      <c r="X1090" s="200">
        <f t="shared" ca="1" si="249"/>
        <v>7645</v>
      </c>
      <c r="Y1090" s="1"/>
      <c r="Z1090" s="31">
        <v>0.1</v>
      </c>
      <c r="AA1090" s="223">
        <v>0.09</v>
      </c>
      <c r="AB1090" s="302" t="s">
        <v>6939</v>
      </c>
      <c r="AC1090" s="302"/>
      <c r="AD1090" s="302"/>
      <c r="AE1090" s="302"/>
      <c r="AF1090">
        <f t="shared" si="239"/>
        <v>1</v>
      </c>
    </row>
    <row r="1091" spans="1:32" ht="30" hidden="1" x14ac:dyDescent="0.25">
      <c r="A1091" s="322" t="s">
        <v>3073</v>
      </c>
      <c r="B1091" s="93" t="str">
        <f t="shared" si="245"/>
        <v>YES</v>
      </c>
      <c r="C1091" s="93" t="s">
        <v>5503</v>
      </c>
      <c r="D1091" s="4">
        <v>40380</v>
      </c>
      <c r="E1091" s="2">
        <v>40452</v>
      </c>
      <c r="F1091" s="2">
        <f t="shared" si="240"/>
        <v>44105</v>
      </c>
      <c r="G1091" s="6">
        <v>618.58000000000004</v>
      </c>
      <c r="H1091" s="7" t="s">
        <v>3074</v>
      </c>
      <c r="I1091" s="7" t="s">
        <v>15</v>
      </c>
      <c r="J1091" s="433" t="s">
        <v>8100</v>
      </c>
      <c r="K1091" s="266">
        <f t="shared" si="246"/>
        <v>2020</v>
      </c>
      <c r="L1091" s="390"/>
      <c r="M1091" s="390"/>
      <c r="N1091" s="32" t="s">
        <v>3075</v>
      </c>
      <c r="O1091" s="32" t="s">
        <v>3076</v>
      </c>
      <c r="P1091" s="278" t="s">
        <v>3077</v>
      </c>
      <c r="Q1091" s="233">
        <v>201007</v>
      </c>
      <c r="R1091" s="75">
        <v>2311.5</v>
      </c>
      <c r="S1091" s="75">
        <v>0</v>
      </c>
      <c r="T1091" s="75">
        <v>2311.5</v>
      </c>
      <c r="U1091" s="200">
        <v>928.5</v>
      </c>
      <c r="V1091" s="287">
        <f t="shared" ca="1" si="247"/>
        <v>10</v>
      </c>
      <c r="W1091" s="75">
        <f t="shared" ca="1" si="248"/>
        <v>10832.5</v>
      </c>
      <c r="X1091" s="200">
        <f t="shared" ca="1" si="249"/>
        <v>12215.5</v>
      </c>
      <c r="Y1091" s="1"/>
      <c r="Z1091" s="31">
        <v>0.1</v>
      </c>
      <c r="AA1091" s="223">
        <v>0.09</v>
      </c>
      <c r="AB1091" s="302" t="s">
        <v>6940</v>
      </c>
      <c r="AC1091" s="302"/>
      <c r="AD1091" s="302"/>
      <c r="AE1091" s="302"/>
      <c r="AF1091">
        <f t="shared" si="239"/>
        <v>0</v>
      </c>
    </row>
    <row r="1092" spans="1:32" ht="30" hidden="1" x14ac:dyDescent="0.25">
      <c r="A1092" s="322" t="s">
        <v>3078</v>
      </c>
      <c r="B1092" s="93" t="str">
        <f t="shared" si="245"/>
        <v>YES</v>
      </c>
      <c r="C1092" s="93" t="s">
        <v>5503</v>
      </c>
      <c r="D1092" s="4">
        <v>40380</v>
      </c>
      <c r="E1092" s="2">
        <v>40452</v>
      </c>
      <c r="F1092" s="2">
        <f t="shared" si="240"/>
        <v>44105</v>
      </c>
      <c r="G1092" s="6">
        <v>320</v>
      </c>
      <c r="H1092" s="7" t="s">
        <v>3074</v>
      </c>
      <c r="I1092" s="7" t="s">
        <v>15</v>
      </c>
      <c r="J1092" s="433" t="s">
        <v>8100</v>
      </c>
      <c r="K1092" s="266">
        <f t="shared" si="246"/>
        <v>2020</v>
      </c>
      <c r="L1092" s="390"/>
      <c r="M1092" s="390"/>
      <c r="N1092" s="32" t="s">
        <v>3075</v>
      </c>
      <c r="O1092" s="32" t="s">
        <v>3079</v>
      </c>
      <c r="P1092" s="278" t="s">
        <v>3080</v>
      </c>
      <c r="Q1092" s="233">
        <v>201007</v>
      </c>
      <c r="R1092" s="75">
        <v>1265</v>
      </c>
      <c r="S1092" s="75">
        <v>0</v>
      </c>
      <c r="T1092" s="75">
        <v>1265</v>
      </c>
      <c r="U1092" s="200">
        <v>480</v>
      </c>
      <c r="V1092" s="287">
        <f t="shared" ca="1" si="247"/>
        <v>10</v>
      </c>
      <c r="W1092" s="75">
        <f t="shared" ca="1" si="248"/>
        <v>5600</v>
      </c>
      <c r="X1092" s="200">
        <f t="shared" ca="1" si="249"/>
        <v>6385</v>
      </c>
      <c r="Y1092" s="1"/>
      <c r="Z1092" s="31">
        <v>0.1</v>
      </c>
      <c r="AA1092" s="223">
        <v>0.09</v>
      </c>
      <c r="AB1092" s="302" t="s">
        <v>6941</v>
      </c>
      <c r="AC1092" s="302"/>
      <c r="AD1092" s="302"/>
      <c r="AE1092" s="302"/>
      <c r="AF1092">
        <f t="shared" si="239"/>
        <v>0</v>
      </c>
    </row>
    <row r="1093" spans="1:32" hidden="1" x14ac:dyDescent="0.25">
      <c r="A1093" s="322" t="s">
        <v>3081</v>
      </c>
      <c r="B1093" s="93" t="str">
        <f t="shared" si="245"/>
        <v>YES</v>
      </c>
      <c r="C1093" s="93" t="s">
        <v>5503</v>
      </c>
      <c r="D1093" s="4">
        <v>40380</v>
      </c>
      <c r="E1093" s="2">
        <v>40452</v>
      </c>
      <c r="F1093" s="2">
        <f t="shared" si="240"/>
        <v>44105</v>
      </c>
      <c r="G1093" s="6">
        <v>249</v>
      </c>
      <c r="H1093" s="7" t="s">
        <v>866</v>
      </c>
      <c r="I1093" s="7" t="s">
        <v>15</v>
      </c>
      <c r="J1093" s="186"/>
      <c r="K1093" s="266">
        <f t="shared" si="246"/>
        <v>2020</v>
      </c>
      <c r="L1093" s="390"/>
      <c r="M1093" s="390"/>
      <c r="N1093" s="32" t="s">
        <v>3082</v>
      </c>
      <c r="O1093" s="32" t="s">
        <v>3083</v>
      </c>
      <c r="P1093" s="278" t="s">
        <v>3084</v>
      </c>
      <c r="Q1093" s="233">
        <v>201007</v>
      </c>
      <c r="R1093" s="75">
        <v>1016.5</v>
      </c>
      <c r="S1093" s="75">
        <v>43077</v>
      </c>
      <c r="T1093" s="75">
        <v>44093.5</v>
      </c>
      <c r="U1093" s="200">
        <v>373.5</v>
      </c>
      <c r="V1093" s="287">
        <f t="shared" ca="1" si="247"/>
        <v>10</v>
      </c>
      <c r="W1093" s="75">
        <f t="shared" ca="1" si="248"/>
        <v>4357.5</v>
      </c>
      <c r="X1093" s="200">
        <f t="shared" ca="1" si="249"/>
        <v>48077.5</v>
      </c>
      <c r="Y1093" s="1"/>
      <c r="Z1093" s="31">
        <v>0.1</v>
      </c>
      <c r="AA1093" s="223">
        <v>0.09</v>
      </c>
      <c r="AB1093" s="302" t="s">
        <v>6942</v>
      </c>
      <c r="AC1093" s="302"/>
      <c r="AD1093" s="302"/>
      <c r="AE1093" s="302"/>
      <c r="AF1093">
        <f t="shared" si="239"/>
        <v>0</v>
      </c>
    </row>
    <row r="1094" spans="1:32" ht="26.25" hidden="1" x14ac:dyDescent="0.25">
      <c r="A1094" s="322" t="s">
        <v>3085</v>
      </c>
      <c r="B1094" s="93" t="str">
        <f t="shared" si="245"/>
        <v>YES</v>
      </c>
      <c r="C1094" s="93" t="s">
        <v>5503</v>
      </c>
      <c r="D1094" s="4">
        <v>40380</v>
      </c>
      <c r="E1094" s="2">
        <v>40452</v>
      </c>
      <c r="F1094" s="2">
        <f t="shared" si="240"/>
        <v>44105</v>
      </c>
      <c r="G1094" s="6">
        <v>520.20000000000005</v>
      </c>
      <c r="H1094" s="7" t="s">
        <v>3086</v>
      </c>
      <c r="I1094" s="7" t="s">
        <v>15</v>
      </c>
      <c r="J1094" s="186"/>
      <c r="K1094" s="266">
        <f t="shared" si="246"/>
        <v>2020</v>
      </c>
      <c r="L1094" s="390"/>
      <c r="M1094" s="390"/>
      <c r="N1094" s="32" t="s">
        <v>3087</v>
      </c>
      <c r="O1094" s="32" t="s">
        <v>3088</v>
      </c>
      <c r="P1094" s="278" t="s">
        <v>3089</v>
      </c>
      <c r="Q1094" s="233">
        <v>201007</v>
      </c>
      <c r="R1094" s="81">
        <v>1968.5</v>
      </c>
      <c r="S1094" s="81">
        <v>30218</v>
      </c>
      <c r="T1094" s="81">
        <v>32186.5</v>
      </c>
      <c r="U1094" s="200">
        <v>781.5</v>
      </c>
      <c r="V1094" s="287">
        <f t="shared" ca="1" si="247"/>
        <v>10</v>
      </c>
      <c r="W1094" s="75">
        <f t="shared" ca="1" si="248"/>
        <v>9117.5</v>
      </c>
      <c r="X1094" s="200">
        <f t="shared" ca="1" si="249"/>
        <v>40522.5</v>
      </c>
      <c r="Y1094" s="1"/>
      <c r="Z1094" s="31">
        <v>0.1</v>
      </c>
      <c r="AA1094" s="223">
        <v>0.09</v>
      </c>
      <c r="AB1094" s="302" t="s">
        <v>6943</v>
      </c>
      <c r="AC1094" s="302"/>
      <c r="AD1094" s="302"/>
      <c r="AE1094" s="302"/>
      <c r="AF1094">
        <f t="shared" si="239"/>
        <v>0</v>
      </c>
    </row>
    <row r="1095" spans="1:32" ht="15.75" hidden="1" thickBot="1" x14ac:dyDescent="0.3">
      <c r="A1095" s="322"/>
      <c r="D1095" s="7"/>
      <c r="E1095" s="8"/>
      <c r="F1095" s="2"/>
      <c r="G1095" s="6"/>
      <c r="H1095" s="7"/>
      <c r="I1095" s="7"/>
      <c r="J1095" s="186"/>
      <c r="K1095" s="186"/>
      <c r="L1095" s="386"/>
      <c r="M1095" s="386"/>
      <c r="N1095" s="32"/>
      <c r="O1095" s="32"/>
      <c r="P1095" s="278"/>
      <c r="Q1095" s="233"/>
      <c r="R1095" s="76">
        <v>77645</v>
      </c>
      <c r="S1095" s="76">
        <v>366519</v>
      </c>
      <c r="T1095" s="76">
        <v>444164</v>
      </c>
      <c r="U1095" s="200"/>
      <c r="V1095" s="75"/>
      <c r="W1095" s="75"/>
      <c r="X1095" s="200"/>
      <c r="Y1095" s="1"/>
      <c r="Z1095" s="1"/>
      <c r="AA1095" s="219"/>
      <c r="AB1095" s="302"/>
      <c r="AC1095" s="302"/>
      <c r="AD1095" s="302"/>
      <c r="AE1095" s="302"/>
      <c r="AF1095">
        <f t="shared" si="239"/>
        <v>0</v>
      </c>
    </row>
    <row r="1096" spans="1:32" hidden="1" x14ac:dyDescent="0.25">
      <c r="A1096" s="322"/>
      <c r="D1096" s="7"/>
      <c r="E1096" s="8"/>
      <c r="F1096" s="2"/>
      <c r="G1096" s="6"/>
      <c r="H1096" s="7"/>
      <c r="I1096" s="7"/>
      <c r="J1096" s="186"/>
      <c r="K1096" s="186"/>
      <c r="L1096" s="386"/>
      <c r="M1096" s="386"/>
      <c r="N1096" s="32"/>
      <c r="O1096" s="32"/>
      <c r="P1096" s="278"/>
      <c r="Q1096" s="233" t="s">
        <v>3090</v>
      </c>
      <c r="R1096" s="75">
        <v>77645</v>
      </c>
      <c r="S1096" s="75"/>
      <c r="T1096" s="75">
        <v>77645</v>
      </c>
      <c r="U1096" s="200"/>
      <c r="V1096" s="75"/>
      <c r="W1096" s="75"/>
      <c r="X1096" s="200"/>
      <c r="Y1096" s="1"/>
      <c r="Z1096" s="1"/>
      <c r="AA1096" s="219"/>
      <c r="AB1096" s="302"/>
      <c r="AC1096" s="302"/>
      <c r="AD1096" s="302"/>
      <c r="AE1096" s="302"/>
      <c r="AF1096">
        <f t="shared" si="239"/>
        <v>0</v>
      </c>
    </row>
    <row r="1097" spans="1:32" hidden="1" x14ac:dyDescent="0.25">
      <c r="A1097" s="322"/>
      <c r="D1097" s="7"/>
      <c r="E1097" s="8"/>
      <c r="F1097" s="2"/>
      <c r="G1097" s="6"/>
      <c r="H1097" s="7"/>
      <c r="I1097" s="7"/>
      <c r="J1097" s="186"/>
      <c r="K1097" s="186"/>
      <c r="L1097" s="386"/>
      <c r="M1097" s="386"/>
      <c r="N1097" s="32"/>
      <c r="O1097" s="32"/>
      <c r="P1097" s="278"/>
      <c r="Q1097" s="233" t="s">
        <v>3091</v>
      </c>
      <c r="R1097" s="75"/>
      <c r="S1097" s="75">
        <v>267519</v>
      </c>
      <c r="T1097" s="75">
        <v>267519</v>
      </c>
      <c r="U1097" s="200"/>
      <c r="V1097" s="75"/>
      <c r="W1097" s="75"/>
      <c r="X1097" s="200"/>
      <c r="Y1097" s="1"/>
      <c r="Z1097" s="1"/>
      <c r="AA1097" s="219"/>
      <c r="AB1097" s="302"/>
      <c r="AC1097" s="302"/>
      <c r="AD1097" s="302"/>
      <c r="AE1097" s="302"/>
      <c r="AF1097">
        <f t="shared" si="239"/>
        <v>0</v>
      </c>
    </row>
    <row r="1098" spans="1:32" hidden="1" x14ac:dyDescent="0.25">
      <c r="A1098" s="322"/>
      <c r="D1098" s="7"/>
      <c r="E1098" s="8"/>
      <c r="F1098" s="2"/>
      <c r="G1098" s="6"/>
      <c r="H1098" s="7"/>
      <c r="I1098" s="7"/>
      <c r="J1098" s="186"/>
      <c r="K1098" s="186"/>
      <c r="L1098" s="386"/>
      <c r="M1098" s="386"/>
      <c r="N1098" s="32"/>
      <c r="O1098" s="32"/>
      <c r="P1098" s="278"/>
      <c r="Q1098" s="233" t="s">
        <v>3092</v>
      </c>
      <c r="R1098" s="81"/>
      <c r="S1098" s="81">
        <v>99000</v>
      </c>
      <c r="T1098" s="81">
        <v>99000</v>
      </c>
      <c r="U1098" s="200"/>
      <c r="V1098" s="75"/>
      <c r="W1098" s="75"/>
      <c r="X1098" s="200"/>
      <c r="Y1098" s="1"/>
      <c r="Z1098" s="1"/>
      <c r="AA1098" s="219"/>
      <c r="AB1098" s="302"/>
      <c r="AC1098" s="302"/>
      <c r="AD1098" s="302"/>
      <c r="AE1098" s="302"/>
      <c r="AF1098">
        <f t="shared" si="239"/>
        <v>0</v>
      </c>
    </row>
    <row r="1099" spans="1:32" ht="15.75" hidden="1" thickBot="1" x14ac:dyDescent="0.3">
      <c r="A1099" s="322"/>
      <c r="D1099" s="7"/>
      <c r="E1099" s="8"/>
      <c r="F1099" s="2"/>
      <c r="G1099" s="6"/>
      <c r="H1099" s="7"/>
      <c r="I1099" s="7"/>
      <c r="J1099" s="186"/>
      <c r="K1099" s="186"/>
      <c r="L1099" s="386"/>
      <c r="M1099" s="386"/>
      <c r="N1099" s="32"/>
      <c r="O1099" s="32"/>
      <c r="P1099" s="278"/>
      <c r="Q1099" s="233"/>
      <c r="R1099" s="82">
        <v>77645</v>
      </c>
      <c r="S1099" s="82">
        <v>366519</v>
      </c>
      <c r="T1099" s="82">
        <v>444164</v>
      </c>
      <c r="U1099" s="200"/>
      <c r="V1099" s="75"/>
      <c r="W1099" s="75"/>
      <c r="X1099" s="200"/>
      <c r="Y1099" s="1"/>
      <c r="Z1099" s="1"/>
      <c r="AA1099" s="219"/>
      <c r="AB1099" s="302"/>
      <c r="AC1099" s="302"/>
      <c r="AD1099" s="302"/>
      <c r="AE1099" s="302"/>
      <c r="AF1099">
        <f t="shared" ref="AF1099:AF1162" si="250">COUNTIF(FilterList,A1099)</f>
        <v>0</v>
      </c>
    </row>
    <row r="1100" spans="1:32" hidden="1" x14ac:dyDescent="0.25">
      <c r="A1100" s="322"/>
      <c r="D1100" s="7"/>
      <c r="E1100" s="8"/>
      <c r="F1100" s="2"/>
      <c r="G1100" s="6"/>
      <c r="H1100" s="7"/>
      <c r="I1100" s="7"/>
      <c r="J1100" s="186"/>
      <c r="K1100" s="186"/>
      <c r="L1100" s="386"/>
      <c r="M1100" s="386"/>
      <c r="N1100" s="32"/>
      <c r="O1100" s="32"/>
      <c r="P1100" s="278"/>
      <c r="Q1100" s="233"/>
      <c r="R1100" s="75"/>
      <c r="S1100" s="75"/>
      <c r="T1100" s="75"/>
      <c r="U1100" s="200"/>
      <c r="V1100" s="75"/>
      <c r="W1100" s="75"/>
      <c r="X1100" s="200"/>
      <c r="Y1100" s="1"/>
      <c r="Z1100" s="1"/>
      <c r="AA1100" s="219"/>
      <c r="AB1100" s="302"/>
      <c r="AC1100" s="302"/>
      <c r="AD1100" s="302"/>
      <c r="AE1100" s="302"/>
      <c r="AF1100">
        <f t="shared" si="250"/>
        <v>0</v>
      </c>
    </row>
    <row r="1101" spans="1:32" ht="39" hidden="1" x14ac:dyDescent="0.25">
      <c r="A1101" s="322" t="s">
        <v>3093</v>
      </c>
      <c r="B1101" s="93" t="str">
        <f t="shared" ref="B1101:B1110" si="251">IF(COUNTIF(GIS,A1101),"YES","NO")</f>
        <v>YES</v>
      </c>
      <c r="C1101" s="93" t="s">
        <v>5503</v>
      </c>
      <c r="D1101" s="4">
        <v>40437</v>
      </c>
      <c r="E1101" s="2">
        <v>40513</v>
      </c>
      <c r="F1101" s="2">
        <f t="shared" ref="F1101:F1152" si="252">DATE(YEAR(E1101)+10,MONTH(E1101),DAY(E1101))</f>
        <v>44166</v>
      </c>
      <c r="G1101" s="6">
        <v>319.3</v>
      </c>
      <c r="H1101" s="7" t="s">
        <v>2831</v>
      </c>
      <c r="I1101" s="7" t="s">
        <v>79</v>
      </c>
      <c r="J1101" s="186"/>
      <c r="K1101" s="266">
        <f t="shared" ref="K1101:K1110" si="253">YEAR(F1101)</f>
        <v>2020</v>
      </c>
      <c r="L1101" s="390" t="s">
        <v>6015</v>
      </c>
      <c r="M1101" s="390" t="s">
        <v>5508</v>
      </c>
      <c r="N1101" s="32" t="s">
        <v>3095</v>
      </c>
      <c r="O1101" s="32" t="s">
        <v>3096</v>
      </c>
      <c r="P1101" s="278" t="s">
        <v>3097</v>
      </c>
      <c r="Q1101" s="233">
        <v>16</v>
      </c>
      <c r="R1101" s="75">
        <v>5105</v>
      </c>
      <c r="S1101" s="75"/>
      <c r="T1101" s="75">
        <v>5105</v>
      </c>
      <c r="U1101" s="200">
        <v>640</v>
      </c>
      <c r="V1101" s="287">
        <f t="shared" ref="V1101:V1110" ca="1" si="254">IF(YEAR($W$3)-YEAR(E1101)&gt;9,10,IF(MONTH($W$3)&lt;MONTH(E1101),YEAR($W$3)-YEAR(E1101),YEAR($W$3)-YEAR(E1101)+1))</f>
        <v>10</v>
      </c>
      <c r="W1101" s="75">
        <f t="shared" ref="W1101:W1110" ca="1" si="255">IF(V1101&lt;6, ROUNDUP(G1101,0)*$W$6*V1101, ROUNDUP(G1101,0)*($W$6*5 + (V1101-5)*$W$7))</f>
        <v>5600</v>
      </c>
      <c r="X1101" s="200">
        <f t="shared" ref="X1101:X1110" ca="1" si="256">IF(V1101=0,T1101,((T1101-ROUNDUP(G1101,0)*1.5)+W1101))</f>
        <v>10225</v>
      </c>
      <c r="Y1101" s="1"/>
      <c r="Z1101" s="31">
        <v>0.1</v>
      </c>
      <c r="AA1101" s="223">
        <v>0.09</v>
      </c>
      <c r="AB1101" s="302" t="s">
        <v>6944</v>
      </c>
      <c r="AC1101" s="302"/>
      <c r="AD1101" s="302"/>
      <c r="AE1101" s="302"/>
      <c r="AF1101">
        <f t="shared" si="250"/>
        <v>0</v>
      </c>
    </row>
    <row r="1102" spans="1:32" ht="22.5" hidden="1" customHeight="1" x14ac:dyDescent="0.25">
      <c r="A1102" s="322" t="s">
        <v>3098</v>
      </c>
      <c r="B1102" s="93" t="str">
        <f t="shared" si="251"/>
        <v>YES</v>
      </c>
      <c r="C1102" s="93" t="s">
        <v>5503</v>
      </c>
      <c r="D1102" s="4">
        <v>40437</v>
      </c>
      <c r="E1102" s="2">
        <v>40513</v>
      </c>
      <c r="F1102" s="2">
        <f t="shared" si="252"/>
        <v>44166</v>
      </c>
      <c r="G1102" s="6">
        <v>12</v>
      </c>
      <c r="H1102" s="93" t="s">
        <v>5808</v>
      </c>
      <c r="I1102" s="7" t="s">
        <v>79</v>
      </c>
      <c r="J1102" s="186"/>
      <c r="K1102" s="266">
        <f t="shared" si="253"/>
        <v>2020</v>
      </c>
      <c r="L1102" s="390" t="s">
        <v>5555</v>
      </c>
      <c r="M1102" s="390" t="s">
        <v>5508</v>
      </c>
      <c r="N1102" s="32" t="s">
        <v>3099</v>
      </c>
      <c r="O1102" s="32" t="s">
        <v>3100</v>
      </c>
      <c r="P1102" s="278" t="s">
        <v>3101</v>
      </c>
      <c r="Q1102" s="233">
        <v>17</v>
      </c>
      <c r="R1102" s="75">
        <v>2923</v>
      </c>
      <c r="S1102" s="75"/>
      <c r="T1102" s="75">
        <v>2923</v>
      </c>
      <c r="U1102" s="200">
        <v>24</v>
      </c>
      <c r="V1102" s="287">
        <f t="shared" ca="1" si="254"/>
        <v>10</v>
      </c>
      <c r="W1102" s="75">
        <f t="shared" ca="1" si="255"/>
        <v>210</v>
      </c>
      <c r="X1102" s="200">
        <f t="shared" ca="1" si="256"/>
        <v>3115</v>
      </c>
      <c r="Y1102" s="1"/>
      <c r="Z1102" s="31">
        <v>0.1</v>
      </c>
      <c r="AA1102" s="223">
        <v>0.09</v>
      </c>
      <c r="AB1102" s="302" t="s">
        <v>6945</v>
      </c>
      <c r="AC1102" s="302"/>
      <c r="AD1102" s="302"/>
      <c r="AE1102" s="302"/>
      <c r="AF1102">
        <f t="shared" si="250"/>
        <v>0</v>
      </c>
    </row>
    <row r="1103" spans="1:32" ht="39" hidden="1" x14ac:dyDescent="0.25">
      <c r="A1103" s="322" t="s">
        <v>3102</v>
      </c>
      <c r="B1103" s="93" t="str">
        <f t="shared" si="251"/>
        <v>YES</v>
      </c>
      <c r="C1103" s="93" t="s">
        <v>5503</v>
      </c>
      <c r="D1103" s="4">
        <v>40437</v>
      </c>
      <c r="E1103" s="2">
        <v>40513</v>
      </c>
      <c r="F1103" s="2">
        <f t="shared" si="252"/>
        <v>44166</v>
      </c>
      <c r="G1103" s="6">
        <v>585.15</v>
      </c>
      <c r="H1103" s="7" t="s">
        <v>3103</v>
      </c>
      <c r="I1103" s="7" t="s">
        <v>79</v>
      </c>
      <c r="J1103" s="192" t="s">
        <v>7915</v>
      </c>
      <c r="K1103" s="266">
        <f t="shared" si="253"/>
        <v>2020</v>
      </c>
      <c r="L1103" s="390" t="s">
        <v>6015</v>
      </c>
      <c r="M1103" s="390" t="s">
        <v>6016</v>
      </c>
      <c r="N1103" s="32" t="s">
        <v>3104</v>
      </c>
      <c r="O1103" s="32" t="s">
        <v>3105</v>
      </c>
      <c r="P1103" s="278" t="s">
        <v>3106</v>
      </c>
      <c r="Q1103" s="233">
        <v>19</v>
      </c>
      <c r="R1103" s="75">
        <v>2196</v>
      </c>
      <c r="S1103" s="75"/>
      <c r="T1103" s="75">
        <v>2196</v>
      </c>
      <c r="U1103" s="200">
        <v>1172</v>
      </c>
      <c r="V1103" s="287">
        <f t="shared" ca="1" si="254"/>
        <v>10</v>
      </c>
      <c r="W1103" s="75">
        <f t="shared" ca="1" si="255"/>
        <v>10255</v>
      </c>
      <c r="X1103" s="200">
        <f t="shared" ca="1" si="256"/>
        <v>11572</v>
      </c>
      <c r="Y1103" s="1"/>
      <c r="Z1103" s="31">
        <v>0.1</v>
      </c>
      <c r="AA1103" s="223">
        <v>0.09</v>
      </c>
      <c r="AB1103" s="302" t="s">
        <v>6946</v>
      </c>
      <c r="AC1103" s="308">
        <v>43451</v>
      </c>
      <c r="AD1103" s="309">
        <v>0.25</v>
      </c>
      <c r="AE1103" s="302" t="s">
        <v>6259</v>
      </c>
      <c r="AF1103">
        <f t="shared" si="250"/>
        <v>0</v>
      </c>
    </row>
    <row r="1104" spans="1:32" ht="64.5" hidden="1" x14ac:dyDescent="0.25">
      <c r="A1104" s="322" t="s">
        <v>3107</v>
      </c>
      <c r="B1104" s="93" t="str">
        <f t="shared" si="251"/>
        <v>YES</v>
      </c>
      <c r="C1104" s="93" t="s">
        <v>5503</v>
      </c>
      <c r="D1104" s="4">
        <v>40437</v>
      </c>
      <c r="E1104" s="2">
        <v>40513</v>
      </c>
      <c r="F1104" s="2">
        <f t="shared" si="252"/>
        <v>44166</v>
      </c>
      <c r="G1104" s="6">
        <v>433.13</v>
      </c>
      <c r="H1104" s="7" t="s">
        <v>3103</v>
      </c>
      <c r="I1104" s="7" t="s">
        <v>79</v>
      </c>
      <c r="J1104" s="192" t="s">
        <v>7915</v>
      </c>
      <c r="K1104" s="266">
        <f t="shared" si="253"/>
        <v>2020</v>
      </c>
      <c r="L1104" s="390" t="s">
        <v>6015</v>
      </c>
      <c r="M1104" s="390" t="s">
        <v>6016</v>
      </c>
      <c r="N1104" s="32" t="s">
        <v>3104</v>
      </c>
      <c r="O1104" s="32" t="s">
        <v>3108</v>
      </c>
      <c r="P1104" s="278" t="s">
        <v>3109</v>
      </c>
      <c r="Q1104" s="233">
        <v>20</v>
      </c>
      <c r="R1104" s="75">
        <v>1664</v>
      </c>
      <c r="S1104" s="75"/>
      <c r="T1104" s="75">
        <v>1664</v>
      </c>
      <c r="U1104" s="200">
        <v>868</v>
      </c>
      <c r="V1104" s="287">
        <f t="shared" ca="1" si="254"/>
        <v>10</v>
      </c>
      <c r="W1104" s="75">
        <f t="shared" ca="1" si="255"/>
        <v>7595</v>
      </c>
      <c r="X1104" s="200">
        <f t="shared" ca="1" si="256"/>
        <v>8608</v>
      </c>
      <c r="Y1104" s="1"/>
      <c r="Z1104" s="31">
        <v>0.1</v>
      </c>
      <c r="AA1104" s="223">
        <v>0.09</v>
      </c>
      <c r="AB1104" s="302" t="s">
        <v>6947</v>
      </c>
      <c r="AC1104" s="308">
        <v>43451</v>
      </c>
      <c r="AD1104" s="309">
        <v>0.25</v>
      </c>
      <c r="AE1104" s="302" t="s">
        <v>6259</v>
      </c>
      <c r="AF1104">
        <f t="shared" si="250"/>
        <v>0</v>
      </c>
    </row>
    <row r="1105" spans="1:32" ht="64.5" hidden="1" x14ac:dyDescent="0.25">
      <c r="A1105" s="322" t="s">
        <v>3110</v>
      </c>
      <c r="B1105" s="93" t="str">
        <f t="shared" si="251"/>
        <v>YES</v>
      </c>
      <c r="C1105" s="93" t="s">
        <v>5503</v>
      </c>
      <c r="D1105" s="4">
        <v>40437</v>
      </c>
      <c r="E1105" s="2">
        <v>40513</v>
      </c>
      <c r="F1105" s="2">
        <f t="shared" si="252"/>
        <v>44166</v>
      </c>
      <c r="G1105" s="6">
        <v>432.59</v>
      </c>
      <c r="H1105" s="7" t="s">
        <v>3103</v>
      </c>
      <c r="I1105" s="7" t="s">
        <v>79</v>
      </c>
      <c r="J1105" s="186"/>
      <c r="K1105" s="266">
        <f t="shared" si="253"/>
        <v>2020</v>
      </c>
      <c r="L1105" s="390" t="s">
        <v>6015</v>
      </c>
      <c r="M1105" s="390" t="s">
        <v>6016</v>
      </c>
      <c r="N1105" s="32" t="s">
        <v>3104</v>
      </c>
      <c r="O1105" s="32" t="s">
        <v>3111</v>
      </c>
      <c r="P1105" s="278" t="s">
        <v>3112</v>
      </c>
      <c r="Q1105" s="233">
        <v>21</v>
      </c>
      <c r="R1105" s="75">
        <v>5124.5</v>
      </c>
      <c r="S1105" s="75"/>
      <c r="T1105" s="75">
        <v>5124.5</v>
      </c>
      <c r="U1105" s="200">
        <v>866</v>
      </c>
      <c r="V1105" s="287">
        <f t="shared" ca="1" si="254"/>
        <v>10</v>
      </c>
      <c r="W1105" s="75">
        <f t="shared" ca="1" si="255"/>
        <v>7577.5</v>
      </c>
      <c r="X1105" s="200">
        <f t="shared" ca="1" si="256"/>
        <v>12052.5</v>
      </c>
      <c r="Y1105" s="1"/>
      <c r="Z1105" s="31">
        <v>0.1</v>
      </c>
      <c r="AA1105" s="223">
        <v>0.09</v>
      </c>
      <c r="AB1105" s="302" t="s">
        <v>6948</v>
      </c>
      <c r="AC1105" s="308">
        <v>43451</v>
      </c>
      <c r="AD1105" s="309">
        <v>0.25</v>
      </c>
      <c r="AE1105" s="302" t="s">
        <v>6259</v>
      </c>
      <c r="AF1105">
        <f t="shared" si="250"/>
        <v>0</v>
      </c>
    </row>
    <row r="1106" spans="1:32" ht="39" hidden="1" x14ac:dyDescent="0.25">
      <c r="A1106" s="322" t="s">
        <v>3113</v>
      </c>
      <c r="B1106" s="93" t="str">
        <f t="shared" si="251"/>
        <v>YES</v>
      </c>
      <c r="C1106" s="93" t="s">
        <v>5503</v>
      </c>
      <c r="D1106" s="4">
        <v>40437</v>
      </c>
      <c r="E1106" s="2">
        <v>40513</v>
      </c>
      <c r="F1106" s="2">
        <f t="shared" si="252"/>
        <v>44166</v>
      </c>
      <c r="G1106" s="6">
        <v>378.49</v>
      </c>
      <c r="H1106" s="7" t="s">
        <v>3103</v>
      </c>
      <c r="I1106" s="7" t="s">
        <v>79</v>
      </c>
      <c r="J1106" s="186"/>
      <c r="K1106" s="266">
        <f t="shared" si="253"/>
        <v>2020</v>
      </c>
      <c r="L1106" s="390" t="s">
        <v>6015</v>
      </c>
      <c r="M1106" s="390" t="s">
        <v>6016</v>
      </c>
      <c r="N1106" s="32" t="s">
        <v>3104</v>
      </c>
      <c r="O1106" s="32" t="s">
        <v>3114</v>
      </c>
      <c r="P1106" s="278" t="s">
        <v>3115</v>
      </c>
      <c r="Q1106" s="233">
        <v>22</v>
      </c>
      <c r="R1106" s="75">
        <v>7535.5</v>
      </c>
      <c r="S1106" s="75"/>
      <c r="T1106" s="75">
        <v>7535.5</v>
      </c>
      <c r="U1106" s="200">
        <v>758</v>
      </c>
      <c r="V1106" s="287">
        <f t="shared" ca="1" si="254"/>
        <v>10</v>
      </c>
      <c r="W1106" s="75">
        <f t="shared" ca="1" si="255"/>
        <v>6632.5</v>
      </c>
      <c r="X1106" s="200">
        <f t="shared" ca="1" si="256"/>
        <v>13599.5</v>
      </c>
      <c r="Y1106" s="1"/>
      <c r="Z1106" s="31">
        <v>0.1</v>
      </c>
      <c r="AA1106" s="223">
        <v>0.09</v>
      </c>
      <c r="AB1106" s="302" t="s">
        <v>6949</v>
      </c>
      <c r="AC1106" s="308">
        <v>43451</v>
      </c>
      <c r="AD1106" s="309">
        <v>0.25</v>
      </c>
      <c r="AE1106" s="302" t="s">
        <v>6259</v>
      </c>
      <c r="AF1106">
        <f t="shared" si="250"/>
        <v>0</v>
      </c>
    </row>
    <row r="1107" spans="1:32" ht="39" hidden="1" x14ac:dyDescent="0.25">
      <c r="A1107" s="322" t="s">
        <v>3116</v>
      </c>
      <c r="B1107" s="93" t="str">
        <f t="shared" si="251"/>
        <v>YES</v>
      </c>
      <c r="C1107" s="93" t="s">
        <v>5503</v>
      </c>
      <c r="D1107" s="4">
        <v>40437</v>
      </c>
      <c r="E1107" s="2">
        <v>40513</v>
      </c>
      <c r="F1107" s="2">
        <f t="shared" si="252"/>
        <v>44166</v>
      </c>
      <c r="G1107" s="6">
        <v>627</v>
      </c>
      <c r="H1107" s="7" t="s">
        <v>3103</v>
      </c>
      <c r="I1107" s="7" t="s">
        <v>79</v>
      </c>
      <c r="J1107" s="186"/>
      <c r="K1107" s="266">
        <f t="shared" si="253"/>
        <v>2020</v>
      </c>
      <c r="L1107" s="390" t="s">
        <v>6015</v>
      </c>
      <c r="M1107" s="390" t="s">
        <v>6016</v>
      </c>
      <c r="N1107" s="32" t="s">
        <v>3104</v>
      </c>
      <c r="O1107" s="32" t="s">
        <v>3117</v>
      </c>
      <c r="P1107" s="278" t="s">
        <v>3118</v>
      </c>
      <c r="Q1107" s="233">
        <v>23</v>
      </c>
      <c r="R1107" s="75">
        <v>10490.5</v>
      </c>
      <c r="S1107" s="75"/>
      <c r="T1107" s="75">
        <v>10490.5</v>
      </c>
      <c r="U1107" s="200">
        <v>1254</v>
      </c>
      <c r="V1107" s="287">
        <f t="shared" ca="1" si="254"/>
        <v>10</v>
      </c>
      <c r="W1107" s="75">
        <f t="shared" ca="1" si="255"/>
        <v>10972.5</v>
      </c>
      <c r="X1107" s="200">
        <f t="shared" ca="1" si="256"/>
        <v>20522.5</v>
      </c>
      <c r="Y1107" s="1"/>
      <c r="Z1107" s="31">
        <v>0.1</v>
      </c>
      <c r="AA1107" s="223">
        <v>0.09</v>
      </c>
      <c r="AB1107" s="302" t="s">
        <v>6950</v>
      </c>
      <c r="AC1107" s="308">
        <v>43451</v>
      </c>
      <c r="AD1107" s="309">
        <v>0.25</v>
      </c>
      <c r="AE1107" s="302" t="s">
        <v>6259</v>
      </c>
      <c r="AF1107">
        <f t="shared" si="250"/>
        <v>0</v>
      </c>
    </row>
    <row r="1108" spans="1:32" ht="64.5" hidden="1" x14ac:dyDescent="0.25">
      <c r="A1108" s="322" t="s">
        <v>3119</v>
      </c>
      <c r="B1108" s="93" t="str">
        <f t="shared" si="251"/>
        <v>YES</v>
      </c>
      <c r="C1108" s="93" t="s">
        <v>5503</v>
      </c>
      <c r="D1108" s="4">
        <v>40437</v>
      </c>
      <c r="E1108" s="2">
        <v>40513</v>
      </c>
      <c r="F1108" s="2">
        <f t="shared" si="252"/>
        <v>44166</v>
      </c>
      <c r="G1108" s="6">
        <v>632.29</v>
      </c>
      <c r="H1108" s="7" t="s">
        <v>3103</v>
      </c>
      <c r="I1108" s="7" t="s">
        <v>79</v>
      </c>
      <c r="J1108" s="186"/>
      <c r="K1108" s="266">
        <f t="shared" si="253"/>
        <v>2020</v>
      </c>
      <c r="L1108" s="390" t="s">
        <v>6015</v>
      </c>
      <c r="M1108" s="390" t="s">
        <v>6016</v>
      </c>
      <c r="N1108" s="32" t="s">
        <v>3104</v>
      </c>
      <c r="O1108" s="32" t="s">
        <v>3120</v>
      </c>
      <c r="P1108" s="278" t="s">
        <v>3121</v>
      </c>
      <c r="Q1108" s="233">
        <v>24</v>
      </c>
      <c r="R1108" s="75">
        <v>10589.5</v>
      </c>
      <c r="S1108" s="75"/>
      <c r="T1108" s="75">
        <v>10589.5</v>
      </c>
      <c r="U1108" s="200">
        <v>1266</v>
      </c>
      <c r="V1108" s="287">
        <f t="shared" ca="1" si="254"/>
        <v>10</v>
      </c>
      <c r="W1108" s="75">
        <f t="shared" ca="1" si="255"/>
        <v>11077.5</v>
      </c>
      <c r="X1108" s="200">
        <f t="shared" ca="1" si="256"/>
        <v>20717.5</v>
      </c>
      <c r="Y1108" s="1"/>
      <c r="Z1108" s="31">
        <v>0.1</v>
      </c>
      <c r="AA1108" s="223">
        <v>0.09</v>
      </c>
      <c r="AB1108" s="302" t="s">
        <v>6951</v>
      </c>
      <c r="AC1108" s="308">
        <v>43451</v>
      </c>
      <c r="AD1108" s="309">
        <v>0.25</v>
      </c>
      <c r="AE1108" s="302" t="s">
        <v>6259</v>
      </c>
      <c r="AF1108">
        <f t="shared" si="250"/>
        <v>0</v>
      </c>
    </row>
    <row r="1109" spans="1:32" ht="38.25" hidden="1" x14ac:dyDescent="0.25">
      <c r="A1109" s="322" t="s">
        <v>3122</v>
      </c>
      <c r="B1109" s="93" t="str">
        <f t="shared" si="251"/>
        <v>YES</v>
      </c>
      <c r="C1109" s="93" t="s">
        <v>5503</v>
      </c>
      <c r="D1109" s="4">
        <v>40437</v>
      </c>
      <c r="E1109" s="2">
        <v>40513</v>
      </c>
      <c r="F1109" s="2">
        <f t="shared" si="252"/>
        <v>44166</v>
      </c>
      <c r="G1109" s="6">
        <v>517.26</v>
      </c>
      <c r="H1109" s="7" t="s">
        <v>3103</v>
      </c>
      <c r="I1109" s="7" t="s">
        <v>79</v>
      </c>
      <c r="J1109" s="186"/>
      <c r="K1109" s="266">
        <f t="shared" si="253"/>
        <v>2020</v>
      </c>
      <c r="L1109" s="390" t="s">
        <v>6015</v>
      </c>
      <c r="M1109" s="390" t="s">
        <v>6016</v>
      </c>
      <c r="N1109" s="32" t="s">
        <v>3104</v>
      </c>
      <c r="O1109" s="32" t="s">
        <v>3123</v>
      </c>
      <c r="P1109" s="278" t="s">
        <v>3124</v>
      </c>
      <c r="Q1109" s="233">
        <v>25</v>
      </c>
      <c r="R1109" s="75">
        <v>6102</v>
      </c>
      <c r="S1109" s="75"/>
      <c r="T1109" s="75">
        <v>6102</v>
      </c>
      <c r="U1109" s="200">
        <v>1036</v>
      </c>
      <c r="V1109" s="287">
        <f t="shared" ca="1" si="254"/>
        <v>10</v>
      </c>
      <c r="W1109" s="75">
        <f t="shared" ca="1" si="255"/>
        <v>9065</v>
      </c>
      <c r="X1109" s="200">
        <f t="shared" ca="1" si="256"/>
        <v>14390</v>
      </c>
      <c r="Y1109" s="1"/>
      <c r="Z1109" s="31">
        <v>0.1</v>
      </c>
      <c r="AA1109" s="223">
        <v>0.09</v>
      </c>
      <c r="AB1109" s="302" t="s">
        <v>6952</v>
      </c>
      <c r="AC1109" s="308">
        <v>43451</v>
      </c>
      <c r="AD1109" s="309">
        <v>0.25</v>
      </c>
      <c r="AE1109" s="302" t="s">
        <v>6259</v>
      </c>
      <c r="AF1109">
        <f t="shared" si="250"/>
        <v>0</v>
      </c>
    </row>
    <row r="1110" spans="1:32" ht="39" hidden="1" x14ac:dyDescent="0.25">
      <c r="A1110" s="322" t="s">
        <v>3125</v>
      </c>
      <c r="B1110" s="93" t="str">
        <f t="shared" si="251"/>
        <v>YES</v>
      </c>
      <c r="C1110" s="93" t="s">
        <v>5503</v>
      </c>
      <c r="D1110" s="4">
        <v>40437</v>
      </c>
      <c r="E1110" s="2">
        <v>40513</v>
      </c>
      <c r="F1110" s="2">
        <f t="shared" si="252"/>
        <v>44166</v>
      </c>
      <c r="G1110" s="6">
        <v>360</v>
      </c>
      <c r="H1110" s="7" t="s">
        <v>3103</v>
      </c>
      <c r="I1110" s="7" t="s">
        <v>79</v>
      </c>
      <c r="J1110" s="186"/>
      <c r="K1110" s="266">
        <f t="shared" si="253"/>
        <v>2020</v>
      </c>
      <c r="L1110" s="390" t="s">
        <v>6015</v>
      </c>
      <c r="M1110" s="390" t="s">
        <v>6016</v>
      </c>
      <c r="N1110" s="32" t="s">
        <v>3104</v>
      </c>
      <c r="O1110" s="32" t="s">
        <v>3126</v>
      </c>
      <c r="P1110" s="278" t="s">
        <v>3127</v>
      </c>
      <c r="Q1110" s="233">
        <v>26</v>
      </c>
      <c r="R1110" s="75">
        <v>4285</v>
      </c>
      <c r="S1110" s="75"/>
      <c r="T1110" s="75">
        <v>4285</v>
      </c>
      <c r="U1110" s="200">
        <v>720</v>
      </c>
      <c r="V1110" s="287">
        <f t="shared" ca="1" si="254"/>
        <v>10</v>
      </c>
      <c r="W1110" s="75">
        <f t="shared" ca="1" si="255"/>
        <v>6300</v>
      </c>
      <c r="X1110" s="200">
        <f t="shared" ca="1" si="256"/>
        <v>10045</v>
      </c>
      <c r="Y1110" s="1"/>
      <c r="Z1110" s="31">
        <v>0.1</v>
      </c>
      <c r="AA1110" s="223">
        <v>0.09</v>
      </c>
      <c r="AB1110" s="302" t="s">
        <v>6953</v>
      </c>
      <c r="AC1110" s="308">
        <v>43451</v>
      </c>
      <c r="AD1110" s="309">
        <v>0.25</v>
      </c>
      <c r="AE1110" s="302" t="s">
        <v>6259</v>
      </c>
      <c r="AF1110">
        <f t="shared" si="250"/>
        <v>0</v>
      </c>
    </row>
    <row r="1111" spans="1:32" ht="15.75" hidden="1" thickBot="1" x14ac:dyDescent="0.3">
      <c r="A1111" s="322"/>
      <c r="D1111" s="7"/>
      <c r="E1111" s="8" t="s">
        <v>3128</v>
      </c>
      <c r="F1111" s="2"/>
      <c r="G1111" s="6"/>
      <c r="H1111" s="7"/>
      <c r="I1111" s="7"/>
      <c r="J1111" s="186"/>
      <c r="K1111" s="186"/>
      <c r="L1111" s="386"/>
      <c r="M1111" s="386"/>
      <c r="N1111" s="32"/>
      <c r="O1111" s="32"/>
      <c r="P1111" s="278"/>
      <c r="Q1111" s="233"/>
      <c r="R1111" s="76">
        <v>56015</v>
      </c>
      <c r="S1111" s="76"/>
      <c r="T1111" s="76">
        <v>56015</v>
      </c>
      <c r="U1111" s="200"/>
      <c r="V1111" s="75"/>
      <c r="W1111" s="75"/>
      <c r="X1111" s="200"/>
      <c r="Y1111" s="1"/>
      <c r="Z1111" s="1"/>
      <c r="AA1111" s="219"/>
      <c r="AB1111" s="302"/>
      <c r="AC1111" s="302"/>
      <c r="AD1111" s="302"/>
      <c r="AE1111" s="302"/>
      <c r="AF1111">
        <f t="shared" si="250"/>
        <v>0</v>
      </c>
    </row>
    <row r="1112" spans="1:32" hidden="1" x14ac:dyDescent="0.25">
      <c r="A1112" s="322"/>
      <c r="D1112" s="7"/>
      <c r="E1112" s="8"/>
      <c r="F1112" s="2"/>
      <c r="G1112" s="6"/>
      <c r="H1112" s="7"/>
      <c r="I1112" s="7"/>
      <c r="J1112" s="186"/>
      <c r="K1112" s="186"/>
      <c r="L1112" s="386"/>
      <c r="M1112" s="386"/>
      <c r="N1112" s="32"/>
      <c r="O1112" s="32"/>
      <c r="P1112" s="278"/>
      <c r="Q1112" s="233"/>
      <c r="R1112" s="75"/>
      <c r="S1112" s="75"/>
      <c r="T1112" s="75"/>
      <c r="U1112" s="200"/>
      <c r="V1112" s="75"/>
      <c r="W1112" s="75"/>
      <c r="X1112" s="200"/>
      <c r="Y1112" s="1"/>
      <c r="Z1112" s="1"/>
      <c r="AA1112" s="219"/>
      <c r="AB1112" s="302"/>
      <c r="AC1112" s="302"/>
      <c r="AD1112" s="302"/>
      <c r="AE1112" s="302"/>
      <c r="AF1112">
        <f t="shared" si="250"/>
        <v>0</v>
      </c>
    </row>
    <row r="1113" spans="1:32" hidden="1" x14ac:dyDescent="0.25">
      <c r="A1113" s="322"/>
      <c r="D1113" s="7"/>
      <c r="E1113" s="8"/>
      <c r="F1113" s="2"/>
      <c r="G1113" s="6"/>
      <c r="H1113" s="7"/>
      <c r="I1113" s="7"/>
      <c r="J1113" s="186"/>
      <c r="K1113" s="186"/>
      <c r="L1113" s="386"/>
      <c r="M1113" s="386"/>
      <c r="N1113" s="32"/>
      <c r="O1113" s="32"/>
      <c r="P1113" s="278"/>
      <c r="Q1113" s="233"/>
      <c r="R1113" s="75"/>
      <c r="S1113" s="75"/>
      <c r="T1113" s="75"/>
      <c r="U1113" s="200"/>
      <c r="V1113" s="75"/>
      <c r="W1113" s="75"/>
      <c r="X1113" s="200"/>
      <c r="Y1113" s="1"/>
      <c r="Z1113" s="1"/>
      <c r="AA1113" s="219"/>
      <c r="AB1113" s="302"/>
      <c r="AC1113" s="302"/>
      <c r="AD1113" s="302"/>
      <c r="AE1113" s="302"/>
      <c r="AF1113">
        <f t="shared" si="250"/>
        <v>0</v>
      </c>
    </row>
    <row r="1114" spans="1:32" ht="77.25" hidden="1" customHeight="1" x14ac:dyDescent="0.25">
      <c r="A1114" s="322" t="s">
        <v>3129</v>
      </c>
      <c r="B1114" s="93" t="str">
        <f t="shared" ref="B1114:B1132" si="257">IF(COUNTIF(GIS,A1114),"YES","NO")</f>
        <v>YES</v>
      </c>
      <c r="C1114" s="93" t="s">
        <v>5503</v>
      </c>
      <c r="D1114" s="4">
        <v>40471</v>
      </c>
      <c r="E1114" s="2">
        <v>40544</v>
      </c>
      <c r="F1114" s="2">
        <f t="shared" si="252"/>
        <v>44197</v>
      </c>
      <c r="G1114" s="6">
        <v>54.38</v>
      </c>
      <c r="H1114" s="7" t="s">
        <v>3130</v>
      </c>
      <c r="I1114" s="7" t="s">
        <v>548</v>
      </c>
      <c r="J1114" s="186"/>
      <c r="K1114" s="266">
        <f t="shared" ref="K1114:K1132" si="258">YEAR(F1114)</f>
        <v>2021</v>
      </c>
      <c r="L1114" s="390" t="s">
        <v>6006</v>
      </c>
      <c r="M1114" s="390" t="s">
        <v>6133</v>
      </c>
      <c r="N1114" s="32" t="s">
        <v>3131</v>
      </c>
      <c r="O1114" s="32" t="s">
        <v>3132</v>
      </c>
      <c r="P1114" s="278"/>
      <c r="Q1114" s="233">
        <v>1</v>
      </c>
      <c r="R1114" s="75">
        <v>2482.5</v>
      </c>
      <c r="S1114" s="75"/>
      <c r="T1114" s="75">
        <v>2482.5</v>
      </c>
      <c r="U1114" s="200">
        <v>110</v>
      </c>
      <c r="V1114" s="287">
        <f t="shared" ref="V1114:V1132" ca="1" si="259">IF(YEAR($W$3)-YEAR(E1114)&gt;9,10,IF(MONTH($W$3)&lt;MONTH(E1114),YEAR($W$3)-YEAR(E1114),YEAR($W$3)-YEAR(E1114)+1))</f>
        <v>10</v>
      </c>
      <c r="W1114" s="75">
        <f t="shared" ref="W1114:W1132" ca="1" si="260">IF(V1114&lt;6, ROUNDUP(G1114,0)*$W$6*V1114, ROUNDUP(G1114,0)*($W$6*5 + (V1114-5)*$W$7))</f>
        <v>962.5</v>
      </c>
      <c r="X1114" s="200">
        <f t="shared" ref="X1114:X1132" ca="1" si="261">IF(V1114=0,T1114,((T1114-ROUNDUP(G1114,0)*1.5)+W1114))</f>
        <v>3362.5</v>
      </c>
      <c r="Y1114" s="1"/>
      <c r="Z1114" s="31">
        <v>0.1</v>
      </c>
      <c r="AA1114" s="223">
        <v>0.09</v>
      </c>
      <c r="AB1114" s="302" t="s">
        <v>7656</v>
      </c>
      <c r="AC1114" s="302"/>
      <c r="AD1114" s="302"/>
      <c r="AE1114" s="302"/>
      <c r="AF1114">
        <f t="shared" si="250"/>
        <v>0</v>
      </c>
    </row>
    <row r="1115" spans="1:32" hidden="1" x14ac:dyDescent="0.25">
      <c r="A1115" s="322" t="s">
        <v>3133</v>
      </c>
      <c r="B1115" s="93" t="str">
        <f t="shared" si="257"/>
        <v>YES</v>
      </c>
      <c r="C1115" s="93" t="s">
        <v>5503</v>
      </c>
      <c r="D1115" s="4">
        <v>40471</v>
      </c>
      <c r="E1115" s="2">
        <v>40544</v>
      </c>
      <c r="F1115" s="2">
        <f t="shared" si="252"/>
        <v>44197</v>
      </c>
      <c r="G1115" s="6">
        <v>40</v>
      </c>
      <c r="H1115" s="7" t="s">
        <v>892</v>
      </c>
      <c r="I1115" s="7" t="s">
        <v>512</v>
      </c>
      <c r="J1115" s="186"/>
      <c r="K1115" s="266">
        <f t="shared" si="258"/>
        <v>2021</v>
      </c>
      <c r="L1115" s="390" t="s">
        <v>7538</v>
      </c>
      <c r="M1115" s="390" t="s">
        <v>7539</v>
      </c>
      <c r="N1115" s="32" t="s">
        <v>3134</v>
      </c>
      <c r="O1115" s="32" t="s">
        <v>3135</v>
      </c>
      <c r="P1115" s="278"/>
      <c r="Q1115" s="233">
        <v>3</v>
      </c>
      <c r="R1115" s="75">
        <v>365</v>
      </c>
      <c r="S1115" s="75"/>
      <c r="T1115" s="75">
        <v>365</v>
      </c>
      <c r="U1115" s="200">
        <v>80</v>
      </c>
      <c r="V1115" s="287">
        <f t="shared" ca="1" si="259"/>
        <v>10</v>
      </c>
      <c r="W1115" s="75">
        <f t="shared" ca="1" si="260"/>
        <v>700</v>
      </c>
      <c r="X1115" s="200">
        <f t="shared" ca="1" si="261"/>
        <v>1005</v>
      </c>
      <c r="Y1115" s="1"/>
      <c r="Z1115" s="31">
        <v>0.1</v>
      </c>
      <c r="AA1115" s="223">
        <v>0.09</v>
      </c>
      <c r="AB1115" s="302" t="s">
        <v>6954</v>
      </c>
      <c r="AC1115" s="302"/>
      <c r="AD1115" s="302"/>
      <c r="AE1115" s="302"/>
      <c r="AF1115">
        <f t="shared" si="250"/>
        <v>0</v>
      </c>
    </row>
    <row r="1116" spans="1:32" ht="25.5" x14ac:dyDescent="0.25">
      <c r="A1116" s="322" t="s">
        <v>3136</v>
      </c>
      <c r="B1116" s="93" t="str">
        <f t="shared" si="257"/>
        <v>YES</v>
      </c>
      <c r="C1116" s="93" t="s">
        <v>5503</v>
      </c>
      <c r="D1116" s="4">
        <v>40471</v>
      </c>
      <c r="E1116" s="2">
        <v>40544</v>
      </c>
      <c r="F1116" s="2">
        <f t="shared" si="252"/>
        <v>44197</v>
      </c>
      <c r="G1116" s="6">
        <v>40</v>
      </c>
      <c r="H1116" s="7" t="s">
        <v>3137</v>
      </c>
      <c r="I1116" s="7" t="s">
        <v>512</v>
      </c>
      <c r="J1116" s="436" t="s">
        <v>8100</v>
      </c>
      <c r="K1116" s="266">
        <f t="shared" si="258"/>
        <v>2021</v>
      </c>
      <c r="L1116" s="390" t="s">
        <v>5789</v>
      </c>
      <c r="M1116" s="390" t="s">
        <v>7540</v>
      </c>
      <c r="N1116" s="32" t="s">
        <v>3001</v>
      </c>
      <c r="O1116" s="32" t="s">
        <v>3138</v>
      </c>
      <c r="P1116" s="278"/>
      <c r="Q1116" s="233">
        <v>9</v>
      </c>
      <c r="R1116" s="75">
        <v>285</v>
      </c>
      <c r="S1116" s="75"/>
      <c r="T1116" s="75">
        <v>285</v>
      </c>
      <c r="U1116" s="200">
        <v>80</v>
      </c>
      <c r="V1116" s="287">
        <f t="shared" ca="1" si="259"/>
        <v>10</v>
      </c>
      <c r="W1116" s="75">
        <f t="shared" ca="1" si="260"/>
        <v>700</v>
      </c>
      <c r="X1116" s="200">
        <f t="shared" ca="1" si="261"/>
        <v>925</v>
      </c>
      <c r="Y1116" s="1"/>
      <c r="Z1116" s="31">
        <v>0.1</v>
      </c>
      <c r="AA1116" s="223">
        <v>0.09</v>
      </c>
      <c r="AB1116" s="302" t="s">
        <v>6955</v>
      </c>
      <c r="AC1116" s="302"/>
      <c r="AD1116" s="302"/>
      <c r="AE1116" s="302"/>
      <c r="AF1116">
        <f t="shared" si="250"/>
        <v>0</v>
      </c>
    </row>
    <row r="1117" spans="1:32" ht="25.5" x14ac:dyDescent="0.25">
      <c r="A1117" s="322" t="s">
        <v>3139</v>
      </c>
      <c r="B1117" s="93" t="str">
        <f t="shared" si="257"/>
        <v>YES</v>
      </c>
      <c r="C1117" s="93" t="s">
        <v>5503</v>
      </c>
      <c r="D1117" s="4">
        <v>40471</v>
      </c>
      <c r="E1117" s="2">
        <v>40544</v>
      </c>
      <c r="F1117" s="2">
        <f t="shared" si="252"/>
        <v>44197</v>
      </c>
      <c r="G1117" s="6">
        <v>40</v>
      </c>
      <c r="H1117" s="7" t="s">
        <v>3137</v>
      </c>
      <c r="I1117" s="7" t="s">
        <v>512</v>
      </c>
      <c r="J1117" s="436" t="s">
        <v>8100</v>
      </c>
      <c r="K1117" s="266">
        <f t="shared" si="258"/>
        <v>2021</v>
      </c>
      <c r="L1117" s="390" t="s">
        <v>5789</v>
      </c>
      <c r="M1117" s="390" t="s">
        <v>7540</v>
      </c>
      <c r="N1117" s="32" t="s">
        <v>3001</v>
      </c>
      <c r="O1117" s="32" t="s">
        <v>3140</v>
      </c>
      <c r="P1117" s="278"/>
      <c r="Q1117" s="233">
        <v>10</v>
      </c>
      <c r="R1117" s="75">
        <v>285</v>
      </c>
      <c r="S1117" s="75"/>
      <c r="T1117" s="75">
        <v>285</v>
      </c>
      <c r="U1117" s="200">
        <v>80</v>
      </c>
      <c r="V1117" s="287">
        <f t="shared" ca="1" si="259"/>
        <v>10</v>
      </c>
      <c r="W1117" s="75">
        <f t="shared" ca="1" si="260"/>
        <v>700</v>
      </c>
      <c r="X1117" s="200">
        <f t="shared" ca="1" si="261"/>
        <v>925</v>
      </c>
      <c r="Y1117" s="1"/>
      <c r="Z1117" s="31">
        <v>0.1</v>
      </c>
      <c r="AA1117" s="223">
        <v>0.09</v>
      </c>
      <c r="AB1117" s="302" t="s">
        <v>6956</v>
      </c>
      <c r="AC1117" s="302"/>
      <c r="AD1117" s="302"/>
      <c r="AE1117" s="302"/>
      <c r="AF1117">
        <f t="shared" si="250"/>
        <v>0</v>
      </c>
    </row>
    <row r="1118" spans="1:32" ht="26.25" x14ac:dyDescent="0.25">
      <c r="A1118" s="322" t="s">
        <v>3141</v>
      </c>
      <c r="B1118" s="93" t="str">
        <f t="shared" si="257"/>
        <v>YES</v>
      </c>
      <c r="C1118" s="93" t="s">
        <v>5503</v>
      </c>
      <c r="D1118" s="4">
        <v>40471</v>
      </c>
      <c r="E1118" s="2">
        <v>40544</v>
      </c>
      <c r="F1118" s="2">
        <f t="shared" si="252"/>
        <v>44197</v>
      </c>
      <c r="G1118" s="6">
        <v>600</v>
      </c>
      <c r="H1118" s="7" t="s">
        <v>3137</v>
      </c>
      <c r="I1118" s="7" t="s">
        <v>512</v>
      </c>
      <c r="J1118" s="436" t="s">
        <v>8100</v>
      </c>
      <c r="K1118" s="266">
        <f t="shared" si="258"/>
        <v>2021</v>
      </c>
      <c r="L1118" s="390" t="s">
        <v>5789</v>
      </c>
      <c r="M1118" s="390" t="s">
        <v>7540</v>
      </c>
      <c r="N1118" s="32" t="s">
        <v>3001</v>
      </c>
      <c r="O1118" s="32" t="s">
        <v>3142</v>
      </c>
      <c r="P1118" s="278"/>
      <c r="Q1118" s="233">
        <v>11</v>
      </c>
      <c r="R1118" s="75">
        <v>19045</v>
      </c>
      <c r="S1118" s="75"/>
      <c r="T1118" s="75">
        <v>19045</v>
      </c>
      <c r="U1118" s="200">
        <v>1200</v>
      </c>
      <c r="V1118" s="287">
        <f t="shared" ca="1" si="259"/>
        <v>10</v>
      </c>
      <c r="W1118" s="75">
        <f t="shared" ca="1" si="260"/>
        <v>10500</v>
      </c>
      <c r="X1118" s="200">
        <f t="shared" ca="1" si="261"/>
        <v>28645</v>
      </c>
      <c r="Y1118" s="1"/>
      <c r="Z1118" s="31">
        <v>0.1</v>
      </c>
      <c r="AA1118" s="223">
        <v>0.09</v>
      </c>
      <c r="AB1118" s="302" t="s">
        <v>6957</v>
      </c>
      <c r="AC1118" s="302"/>
      <c r="AD1118" s="302"/>
      <c r="AE1118" s="302"/>
      <c r="AF1118">
        <f t="shared" si="250"/>
        <v>0</v>
      </c>
    </row>
    <row r="1119" spans="1:32" ht="25.5" x14ac:dyDescent="0.25">
      <c r="A1119" s="322" t="s">
        <v>3143</v>
      </c>
      <c r="B1119" s="93" t="str">
        <f t="shared" si="257"/>
        <v>YES</v>
      </c>
      <c r="C1119" s="93" t="s">
        <v>5503</v>
      </c>
      <c r="D1119" s="4">
        <v>40471</v>
      </c>
      <c r="E1119" s="2">
        <v>40544</v>
      </c>
      <c r="F1119" s="2">
        <f t="shared" si="252"/>
        <v>44197</v>
      </c>
      <c r="G1119" s="6">
        <v>40</v>
      </c>
      <c r="H1119" s="7" t="s">
        <v>3137</v>
      </c>
      <c r="I1119" s="7" t="s">
        <v>512</v>
      </c>
      <c r="J1119" s="436" t="s">
        <v>8100</v>
      </c>
      <c r="K1119" s="266">
        <f t="shared" si="258"/>
        <v>2021</v>
      </c>
      <c r="L1119" s="390" t="s">
        <v>5789</v>
      </c>
      <c r="M1119" s="390" t="s">
        <v>7540</v>
      </c>
      <c r="N1119" s="32" t="s">
        <v>3001</v>
      </c>
      <c r="O1119" s="32" t="s">
        <v>3144</v>
      </c>
      <c r="P1119" s="278"/>
      <c r="Q1119" s="233">
        <v>12</v>
      </c>
      <c r="R1119" s="75">
        <v>1405</v>
      </c>
      <c r="S1119" s="75"/>
      <c r="T1119" s="75">
        <v>1405</v>
      </c>
      <c r="U1119" s="200">
        <v>80</v>
      </c>
      <c r="V1119" s="287">
        <f t="shared" ca="1" si="259"/>
        <v>10</v>
      </c>
      <c r="W1119" s="75">
        <f t="shared" ca="1" si="260"/>
        <v>700</v>
      </c>
      <c r="X1119" s="200">
        <f t="shared" ca="1" si="261"/>
        <v>2045</v>
      </c>
      <c r="Y1119" s="1"/>
      <c r="Z1119" s="31">
        <v>0.1</v>
      </c>
      <c r="AA1119" s="223">
        <v>0.09</v>
      </c>
      <c r="AB1119" s="302" t="s">
        <v>6958</v>
      </c>
      <c r="AC1119" s="302"/>
      <c r="AD1119" s="302"/>
      <c r="AE1119" s="302"/>
      <c r="AF1119">
        <f t="shared" si="250"/>
        <v>0</v>
      </c>
    </row>
    <row r="1120" spans="1:32" ht="25.5" x14ac:dyDescent="0.25">
      <c r="A1120" s="322" t="s">
        <v>3145</v>
      </c>
      <c r="B1120" s="93" t="str">
        <f t="shared" si="257"/>
        <v>YES</v>
      </c>
      <c r="C1120" s="93" t="s">
        <v>5503</v>
      </c>
      <c r="D1120" s="4">
        <v>40471</v>
      </c>
      <c r="E1120" s="2">
        <v>40544</v>
      </c>
      <c r="F1120" s="2">
        <f t="shared" si="252"/>
        <v>44197</v>
      </c>
      <c r="G1120" s="6">
        <v>120</v>
      </c>
      <c r="H1120" s="7" t="s">
        <v>3137</v>
      </c>
      <c r="I1120" s="7" t="s">
        <v>512</v>
      </c>
      <c r="J1120" s="436" t="s">
        <v>8100</v>
      </c>
      <c r="K1120" s="266">
        <f t="shared" si="258"/>
        <v>2021</v>
      </c>
      <c r="L1120" s="390" t="s">
        <v>5789</v>
      </c>
      <c r="M1120" s="390" t="s">
        <v>7540</v>
      </c>
      <c r="N1120" s="32" t="s">
        <v>3001</v>
      </c>
      <c r="O1120" s="32" t="s">
        <v>3146</v>
      </c>
      <c r="P1120" s="278"/>
      <c r="Q1120" s="233">
        <v>13</v>
      </c>
      <c r="R1120" s="75">
        <v>1525</v>
      </c>
      <c r="S1120" s="75"/>
      <c r="T1120" s="75">
        <v>1525</v>
      </c>
      <c r="U1120" s="200">
        <v>240</v>
      </c>
      <c r="V1120" s="287">
        <f t="shared" ca="1" si="259"/>
        <v>10</v>
      </c>
      <c r="W1120" s="75">
        <f t="shared" ca="1" si="260"/>
        <v>2100</v>
      </c>
      <c r="X1120" s="200">
        <f t="shared" ca="1" si="261"/>
        <v>3445</v>
      </c>
      <c r="Y1120" s="1"/>
      <c r="Z1120" s="31">
        <v>0.1</v>
      </c>
      <c r="AA1120" s="223">
        <v>0.09</v>
      </c>
      <c r="AB1120" s="302" t="s">
        <v>6959</v>
      </c>
      <c r="AC1120" s="302"/>
      <c r="AD1120" s="302"/>
      <c r="AE1120" s="302"/>
      <c r="AF1120">
        <f t="shared" si="250"/>
        <v>0</v>
      </c>
    </row>
    <row r="1121" spans="1:32" ht="25.5" x14ac:dyDescent="0.25">
      <c r="A1121" s="322" t="s">
        <v>3147</v>
      </c>
      <c r="B1121" s="93" t="str">
        <f t="shared" si="257"/>
        <v>YES</v>
      </c>
      <c r="C1121" s="93" t="s">
        <v>5503</v>
      </c>
      <c r="D1121" s="4">
        <v>40471</v>
      </c>
      <c r="E1121" s="2">
        <v>40544</v>
      </c>
      <c r="F1121" s="2">
        <f t="shared" si="252"/>
        <v>44197</v>
      </c>
      <c r="G1121" s="6">
        <v>40</v>
      </c>
      <c r="H1121" s="7" t="s">
        <v>3137</v>
      </c>
      <c r="I1121" s="7" t="s">
        <v>512</v>
      </c>
      <c r="J1121" s="436" t="s">
        <v>8100</v>
      </c>
      <c r="K1121" s="266">
        <f t="shared" si="258"/>
        <v>2021</v>
      </c>
      <c r="L1121" s="390" t="s">
        <v>5789</v>
      </c>
      <c r="M1121" s="390" t="s">
        <v>7540</v>
      </c>
      <c r="N1121" s="32" t="s">
        <v>3001</v>
      </c>
      <c r="O1121" s="32" t="s">
        <v>3148</v>
      </c>
      <c r="P1121" s="278"/>
      <c r="Q1121" s="233">
        <v>14</v>
      </c>
      <c r="R1121" s="75">
        <v>605</v>
      </c>
      <c r="S1121" s="75"/>
      <c r="T1121" s="75">
        <v>605</v>
      </c>
      <c r="U1121" s="200">
        <v>80</v>
      </c>
      <c r="V1121" s="287">
        <f t="shared" ca="1" si="259"/>
        <v>10</v>
      </c>
      <c r="W1121" s="75">
        <f t="shared" ca="1" si="260"/>
        <v>700</v>
      </c>
      <c r="X1121" s="200">
        <f t="shared" ca="1" si="261"/>
        <v>1245</v>
      </c>
      <c r="Y1121" s="1"/>
      <c r="Z1121" s="31">
        <v>0.1</v>
      </c>
      <c r="AA1121" s="223">
        <v>0.09</v>
      </c>
      <c r="AB1121" s="302" t="s">
        <v>6960</v>
      </c>
      <c r="AC1121" s="302"/>
      <c r="AD1121" s="302"/>
      <c r="AE1121" s="302"/>
      <c r="AF1121">
        <f t="shared" si="250"/>
        <v>0</v>
      </c>
    </row>
    <row r="1122" spans="1:32" ht="25.5" x14ac:dyDescent="0.25">
      <c r="A1122" s="322" t="s">
        <v>3149</v>
      </c>
      <c r="B1122" s="93" t="str">
        <f t="shared" si="257"/>
        <v>YES</v>
      </c>
      <c r="C1122" s="93" t="s">
        <v>5503</v>
      </c>
      <c r="D1122" s="4">
        <v>40471</v>
      </c>
      <c r="E1122" s="2">
        <v>40544</v>
      </c>
      <c r="F1122" s="2">
        <f t="shared" si="252"/>
        <v>44197</v>
      </c>
      <c r="G1122" s="6">
        <v>40</v>
      </c>
      <c r="H1122" s="7" t="s">
        <v>3137</v>
      </c>
      <c r="I1122" s="7" t="s">
        <v>512</v>
      </c>
      <c r="J1122" s="436" t="s">
        <v>8100</v>
      </c>
      <c r="K1122" s="266">
        <f t="shared" si="258"/>
        <v>2021</v>
      </c>
      <c r="L1122" s="390" t="s">
        <v>5789</v>
      </c>
      <c r="M1122" s="390" t="s">
        <v>7540</v>
      </c>
      <c r="N1122" s="32" t="s">
        <v>3001</v>
      </c>
      <c r="O1122" s="32" t="s">
        <v>3150</v>
      </c>
      <c r="P1122" s="278"/>
      <c r="Q1122" s="233">
        <v>15</v>
      </c>
      <c r="R1122" s="75">
        <v>285</v>
      </c>
      <c r="S1122" s="75"/>
      <c r="T1122" s="75">
        <v>285</v>
      </c>
      <c r="U1122" s="200">
        <v>80</v>
      </c>
      <c r="V1122" s="287">
        <f t="shared" ca="1" si="259"/>
        <v>10</v>
      </c>
      <c r="W1122" s="75">
        <f t="shared" ca="1" si="260"/>
        <v>700</v>
      </c>
      <c r="X1122" s="200">
        <f t="shared" ca="1" si="261"/>
        <v>925</v>
      </c>
      <c r="Y1122" s="1"/>
      <c r="Z1122" s="31">
        <v>0.1</v>
      </c>
      <c r="AA1122" s="223">
        <v>0.09</v>
      </c>
      <c r="AB1122" s="302" t="s">
        <v>6961</v>
      </c>
      <c r="AC1122" s="302"/>
      <c r="AD1122" s="302"/>
      <c r="AE1122" s="302"/>
      <c r="AF1122">
        <f t="shared" si="250"/>
        <v>0</v>
      </c>
    </row>
    <row r="1123" spans="1:32" ht="25.5" x14ac:dyDescent="0.25">
      <c r="A1123" s="322" t="s">
        <v>3151</v>
      </c>
      <c r="B1123" s="93" t="str">
        <f t="shared" si="257"/>
        <v>YES</v>
      </c>
      <c r="C1123" s="93" t="s">
        <v>5503</v>
      </c>
      <c r="D1123" s="4">
        <v>40471</v>
      </c>
      <c r="E1123" s="2">
        <v>40544</v>
      </c>
      <c r="F1123" s="2">
        <f t="shared" si="252"/>
        <v>44197</v>
      </c>
      <c r="G1123" s="6">
        <v>40</v>
      </c>
      <c r="H1123" s="7" t="s">
        <v>3137</v>
      </c>
      <c r="I1123" s="7" t="s">
        <v>512</v>
      </c>
      <c r="J1123" s="436" t="s">
        <v>8100</v>
      </c>
      <c r="K1123" s="266">
        <f t="shared" si="258"/>
        <v>2021</v>
      </c>
      <c r="L1123" s="390" t="s">
        <v>5789</v>
      </c>
      <c r="M1123" s="390" t="s">
        <v>7540</v>
      </c>
      <c r="N1123" s="32" t="s">
        <v>3001</v>
      </c>
      <c r="O1123" s="32" t="s">
        <v>3152</v>
      </c>
      <c r="P1123" s="278"/>
      <c r="Q1123" s="233">
        <v>16</v>
      </c>
      <c r="R1123" s="75">
        <v>285</v>
      </c>
      <c r="S1123" s="75"/>
      <c r="T1123" s="75">
        <v>285</v>
      </c>
      <c r="U1123" s="200">
        <v>80</v>
      </c>
      <c r="V1123" s="287">
        <f t="shared" ca="1" si="259"/>
        <v>10</v>
      </c>
      <c r="W1123" s="75">
        <f t="shared" ca="1" si="260"/>
        <v>700</v>
      </c>
      <c r="X1123" s="200">
        <f t="shared" ca="1" si="261"/>
        <v>925</v>
      </c>
      <c r="Y1123" s="1"/>
      <c r="Z1123" s="31">
        <v>0.1</v>
      </c>
      <c r="AA1123" s="223">
        <v>0.09</v>
      </c>
      <c r="AB1123" s="302" t="s">
        <v>6962</v>
      </c>
      <c r="AC1123" s="302"/>
      <c r="AD1123" s="302"/>
      <c r="AE1123" s="302"/>
      <c r="AF1123">
        <f t="shared" si="250"/>
        <v>0</v>
      </c>
    </row>
    <row r="1124" spans="1:32" ht="25.5" x14ac:dyDescent="0.25">
      <c r="A1124" s="322" t="s">
        <v>3153</v>
      </c>
      <c r="B1124" s="93" t="str">
        <f t="shared" si="257"/>
        <v>YES</v>
      </c>
      <c r="C1124" s="93" t="s">
        <v>5503</v>
      </c>
      <c r="D1124" s="4">
        <v>40471</v>
      </c>
      <c r="E1124" s="2">
        <v>40544</v>
      </c>
      <c r="F1124" s="2">
        <f t="shared" si="252"/>
        <v>44197</v>
      </c>
      <c r="G1124" s="6">
        <v>80</v>
      </c>
      <c r="H1124" s="7" t="s">
        <v>3137</v>
      </c>
      <c r="I1124" s="7" t="s">
        <v>512</v>
      </c>
      <c r="J1124" s="436" t="s">
        <v>8100</v>
      </c>
      <c r="K1124" s="266">
        <f t="shared" si="258"/>
        <v>2021</v>
      </c>
      <c r="L1124" s="390" t="s">
        <v>5789</v>
      </c>
      <c r="M1124" s="390" t="s">
        <v>7540</v>
      </c>
      <c r="N1124" s="32" t="s">
        <v>3001</v>
      </c>
      <c r="O1124" s="32" t="s">
        <v>3154</v>
      </c>
      <c r="P1124" s="278"/>
      <c r="Q1124" s="233">
        <v>17</v>
      </c>
      <c r="R1124" s="75">
        <v>425</v>
      </c>
      <c r="S1124" s="75"/>
      <c r="T1124" s="75">
        <v>425</v>
      </c>
      <c r="U1124" s="200">
        <v>160</v>
      </c>
      <c r="V1124" s="287">
        <f t="shared" ca="1" si="259"/>
        <v>10</v>
      </c>
      <c r="W1124" s="75">
        <f t="shared" ca="1" si="260"/>
        <v>1400</v>
      </c>
      <c r="X1124" s="200">
        <f t="shared" ca="1" si="261"/>
        <v>1705</v>
      </c>
      <c r="Y1124" s="1"/>
      <c r="Z1124" s="31">
        <v>0.1</v>
      </c>
      <c r="AA1124" s="223">
        <v>0.09</v>
      </c>
      <c r="AB1124" s="302" t="s">
        <v>6963</v>
      </c>
      <c r="AC1124" s="302"/>
      <c r="AD1124" s="302"/>
      <c r="AE1124" s="302"/>
      <c r="AF1124">
        <f t="shared" si="250"/>
        <v>0</v>
      </c>
    </row>
    <row r="1125" spans="1:32" ht="26.25" customHeight="1" x14ac:dyDescent="0.25">
      <c r="A1125" s="322" t="s">
        <v>3155</v>
      </c>
      <c r="B1125" s="93" t="str">
        <f t="shared" si="257"/>
        <v>YES</v>
      </c>
      <c r="C1125" s="93" t="s">
        <v>5503</v>
      </c>
      <c r="D1125" s="4">
        <v>40471</v>
      </c>
      <c r="E1125" s="2">
        <v>40544</v>
      </c>
      <c r="F1125" s="2">
        <f t="shared" si="252"/>
        <v>44197</v>
      </c>
      <c r="G1125" s="6">
        <v>240</v>
      </c>
      <c r="H1125" s="7" t="s">
        <v>3137</v>
      </c>
      <c r="I1125" s="7" t="s">
        <v>512</v>
      </c>
      <c r="J1125" s="436" t="s">
        <v>8100</v>
      </c>
      <c r="K1125" s="266">
        <f t="shared" si="258"/>
        <v>2021</v>
      </c>
      <c r="L1125" s="390" t="s">
        <v>5789</v>
      </c>
      <c r="M1125" s="390" t="s">
        <v>7540</v>
      </c>
      <c r="N1125" s="32" t="s">
        <v>3001</v>
      </c>
      <c r="O1125" s="32" t="s">
        <v>3156</v>
      </c>
      <c r="P1125" s="278"/>
      <c r="Q1125" s="233">
        <v>18</v>
      </c>
      <c r="R1125" s="75">
        <v>7705</v>
      </c>
      <c r="S1125" s="75"/>
      <c r="T1125" s="75">
        <v>7705</v>
      </c>
      <c r="U1125" s="200">
        <v>480</v>
      </c>
      <c r="V1125" s="287">
        <f t="shared" ca="1" si="259"/>
        <v>10</v>
      </c>
      <c r="W1125" s="75">
        <f t="shared" ca="1" si="260"/>
        <v>4200</v>
      </c>
      <c r="X1125" s="200">
        <f t="shared" ca="1" si="261"/>
        <v>11545</v>
      </c>
      <c r="Y1125" s="1"/>
      <c r="Z1125" s="31">
        <v>0.1</v>
      </c>
      <c r="AA1125" s="223">
        <v>0.09</v>
      </c>
      <c r="AB1125" s="302" t="s">
        <v>6964</v>
      </c>
      <c r="AC1125" s="302"/>
      <c r="AD1125" s="302"/>
      <c r="AE1125" s="302"/>
      <c r="AF1125">
        <f t="shared" si="250"/>
        <v>0</v>
      </c>
    </row>
    <row r="1126" spans="1:32" ht="25.5" x14ac:dyDescent="0.25">
      <c r="A1126" s="322" t="s">
        <v>3157</v>
      </c>
      <c r="B1126" s="93" t="str">
        <f t="shared" si="257"/>
        <v>YES</v>
      </c>
      <c r="C1126" s="93" t="s">
        <v>5503</v>
      </c>
      <c r="D1126" s="4">
        <v>40471</v>
      </c>
      <c r="E1126" s="2">
        <v>40544</v>
      </c>
      <c r="F1126" s="2">
        <f t="shared" si="252"/>
        <v>44197</v>
      </c>
      <c r="G1126" s="6">
        <v>40</v>
      </c>
      <c r="H1126" s="7" t="s">
        <v>3137</v>
      </c>
      <c r="I1126" s="7" t="s">
        <v>512</v>
      </c>
      <c r="J1126" s="436" t="s">
        <v>8100</v>
      </c>
      <c r="K1126" s="266">
        <f t="shared" si="258"/>
        <v>2021</v>
      </c>
      <c r="L1126" s="390" t="s">
        <v>5789</v>
      </c>
      <c r="M1126" s="390" t="s">
        <v>7540</v>
      </c>
      <c r="N1126" s="32" t="s">
        <v>3001</v>
      </c>
      <c r="O1126" s="32" t="s">
        <v>3158</v>
      </c>
      <c r="P1126" s="278"/>
      <c r="Q1126" s="233">
        <v>20</v>
      </c>
      <c r="R1126" s="75">
        <v>285</v>
      </c>
      <c r="S1126" s="75"/>
      <c r="T1126" s="75">
        <v>285</v>
      </c>
      <c r="U1126" s="200">
        <v>80</v>
      </c>
      <c r="V1126" s="287">
        <f t="shared" ca="1" si="259"/>
        <v>10</v>
      </c>
      <c r="W1126" s="75">
        <f t="shared" ca="1" si="260"/>
        <v>700</v>
      </c>
      <c r="X1126" s="200">
        <f t="shared" ca="1" si="261"/>
        <v>925</v>
      </c>
      <c r="Y1126" s="1"/>
      <c r="Z1126" s="31">
        <v>0.1</v>
      </c>
      <c r="AA1126" s="223">
        <v>0.09</v>
      </c>
      <c r="AB1126" s="302" t="s">
        <v>6965</v>
      </c>
      <c r="AC1126" s="302"/>
      <c r="AD1126" s="302"/>
      <c r="AE1126" s="302"/>
      <c r="AF1126">
        <f t="shared" si="250"/>
        <v>0</v>
      </c>
    </row>
    <row r="1127" spans="1:32" ht="25.5" x14ac:dyDescent="0.25">
      <c r="A1127" s="322" t="s">
        <v>3159</v>
      </c>
      <c r="B1127" s="93" t="str">
        <f t="shared" si="257"/>
        <v>YES</v>
      </c>
      <c r="C1127" s="93" t="s">
        <v>5503</v>
      </c>
      <c r="D1127" s="4">
        <v>40471</v>
      </c>
      <c r="E1127" s="2">
        <v>40544</v>
      </c>
      <c r="F1127" s="2">
        <f t="shared" si="252"/>
        <v>44197</v>
      </c>
      <c r="G1127" s="6">
        <v>80</v>
      </c>
      <c r="H1127" s="7" t="s">
        <v>3137</v>
      </c>
      <c r="I1127" s="7" t="s">
        <v>512</v>
      </c>
      <c r="J1127" s="436" t="s">
        <v>8100</v>
      </c>
      <c r="K1127" s="266">
        <f t="shared" si="258"/>
        <v>2021</v>
      </c>
      <c r="L1127" s="390" t="s">
        <v>5789</v>
      </c>
      <c r="M1127" s="390" t="s">
        <v>7540</v>
      </c>
      <c r="N1127" s="32" t="s">
        <v>3001</v>
      </c>
      <c r="O1127" s="32" t="s">
        <v>3160</v>
      </c>
      <c r="P1127" s="278"/>
      <c r="Q1127" s="233">
        <v>21</v>
      </c>
      <c r="R1127" s="75">
        <v>425</v>
      </c>
      <c r="S1127" s="75"/>
      <c r="T1127" s="75">
        <v>425</v>
      </c>
      <c r="U1127" s="200">
        <v>160</v>
      </c>
      <c r="V1127" s="287">
        <f t="shared" ca="1" si="259"/>
        <v>10</v>
      </c>
      <c r="W1127" s="75">
        <f t="shared" ca="1" si="260"/>
        <v>1400</v>
      </c>
      <c r="X1127" s="200">
        <f t="shared" ca="1" si="261"/>
        <v>1705</v>
      </c>
      <c r="Y1127" s="1"/>
      <c r="Z1127" s="31">
        <v>0.1</v>
      </c>
      <c r="AA1127" s="223">
        <v>0.09</v>
      </c>
      <c r="AB1127" s="302" t="s">
        <v>6966</v>
      </c>
      <c r="AC1127" s="302"/>
      <c r="AD1127" s="302"/>
      <c r="AE1127" s="302"/>
      <c r="AF1127">
        <f t="shared" si="250"/>
        <v>0</v>
      </c>
    </row>
    <row r="1128" spans="1:32" ht="25.5" x14ac:dyDescent="0.25">
      <c r="A1128" s="322" t="s">
        <v>3161</v>
      </c>
      <c r="B1128" s="93" t="str">
        <f t="shared" si="257"/>
        <v>YES</v>
      </c>
      <c r="C1128" s="93" t="s">
        <v>5503</v>
      </c>
      <c r="D1128" s="4">
        <v>40471</v>
      </c>
      <c r="E1128" s="2">
        <v>40544</v>
      </c>
      <c r="F1128" s="2">
        <f t="shared" si="252"/>
        <v>44197</v>
      </c>
      <c r="G1128" s="6">
        <v>40</v>
      </c>
      <c r="H1128" s="7" t="s">
        <v>3137</v>
      </c>
      <c r="I1128" s="7" t="s">
        <v>512</v>
      </c>
      <c r="J1128" s="436" t="s">
        <v>8100</v>
      </c>
      <c r="K1128" s="266">
        <f t="shared" si="258"/>
        <v>2021</v>
      </c>
      <c r="L1128" s="390" t="s">
        <v>5789</v>
      </c>
      <c r="M1128" s="390" t="s">
        <v>7540</v>
      </c>
      <c r="N1128" s="32" t="s">
        <v>3001</v>
      </c>
      <c r="O1128" s="32" t="s">
        <v>7662</v>
      </c>
      <c r="P1128" s="278"/>
      <c r="Q1128" s="233">
        <v>22</v>
      </c>
      <c r="R1128" s="75">
        <v>285</v>
      </c>
      <c r="S1128" s="75"/>
      <c r="T1128" s="75">
        <v>285</v>
      </c>
      <c r="U1128" s="200">
        <v>80</v>
      </c>
      <c r="V1128" s="287">
        <f t="shared" ca="1" si="259"/>
        <v>10</v>
      </c>
      <c r="W1128" s="75">
        <f t="shared" ca="1" si="260"/>
        <v>700</v>
      </c>
      <c r="X1128" s="200">
        <f t="shared" ca="1" si="261"/>
        <v>925</v>
      </c>
      <c r="Y1128" s="1"/>
      <c r="Z1128" s="31">
        <v>0.1</v>
      </c>
      <c r="AA1128" s="223">
        <v>0.09</v>
      </c>
      <c r="AB1128" s="302" t="s">
        <v>6967</v>
      </c>
      <c r="AC1128" s="302"/>
      <c r="AD1128" s="302"/>
      <c r="AE1128" s="302"/>
      <c r="AF1128">
        <f t="shared" si="250"/>
        <v>0</v>
      </c>
    </row>
    <row r="1129" spans="1:32" ht="25.5" x14ac:dyDescent="0.25">
      <c r="A1129" s="322" t="s">
        <v>3162</v>
      </c>
      <c r="B1129" s="93" t="str">
        <f t="shared" si="257"/>
        <v>YES</v>
      </c>
      <c r="C1129" s="93" t="s">
        <v>5503</v>
      </c>
      <c r="D1129" s="4">
        <v>40471</v>
      </c>
      <c r="E1129" s="2">
        <v>40544</v>
      </c>
      <c r="F1129" s="2">
        <f t="shared" si="252"/>
        <v>44197</v>
      </c>
      <c r="G1129" s="6">
        <v>40</v>
      </c>
      <c r="H1129" s="7" t="s">
        <v>3137</v>
      </c>
      <c r="I1129" s="7" t="s">
        <v>512</v>
      </c>
      <c r="J1129" s="436" t="s">
        <v>8100</v>
      </c>
      <c r="K1129" s="266">
        <f t="shared" si="258"/>
        <v>2021</v>
      </c>
      <c r="L1129" s="390" t="s">
        <v>5789</v>
      </c>
      <c r="M1129" s="390" t="s">
        <v>7540</v>
      </c>
      <c r="N1129" s="32" t="s">
        <v>3001</v>
      </c>
      <c r="O1129" s="32" t="s">
        <v>3163</v>
      </c>
      <c r="P1129" s="278"/>
      <c r="Q1129" s="233">
        <v>23</v>
      </c>
      <c r="R1129" s="75">
        <v>285</v>
      </c>
      <c r="S1129" s="75"/>
      <c r="T1129" s="75">
        <v>285</v>
      </c>
      <c r="U1129" s="200">
        <v>80</v>
      </c>
      <c r="V1129" s="287">
        <f t="shared" ca="1" si="259"/>
        <v>10</v>
      </c>
      <c r="W1129" s="75">
        <f t="shared" ca="1" si="260"/>
        <v>700</v>
      </c>
      <c r="X1129" s="200">
        <f t="shared" ca="1" si="261"/>
        <v>925</v>
      </c>
      <c r="Y1129" s="1"/>
      <c r="Z1129" s="31">
        <v>0.1</v>
      </c>
      <c r="AA1129" s="223">
        <v>0.09</v>
      </c>
      <c r="AB1129" s="302" t="s">
        <v>6968</v>
      </c>
      <c r="AC1129" s="302"/>
      <c r="AD1129" s="302"/>
      <c r="AE1129" s="302"/>
      <c r="AF1129">
        <f t="shared" si="250"/>
        <v>0</v>
      </c>
    </row>
    <row r="1130" spans="1:32" ht="25.5" x14ac:dyDescent="0.25">
      <c r="A1130" s="322" t="s">
        <v>3164</v>
      </c>
      <c r="B1130" s="93" t="str">
        <f t="shared" si="257"/>
        <v>YES</v>
      </c>
      <c r="C1130" s="93" t="s">
        <v>5503</v>
      </c>
      <c r="D1130" s="4">
        <v>40471</v>
      </c>
      <c r="E1130" s="2">
        <v>40544</v>
      </c>
      <c r="F1130" s="2">
        <f t="shared" si="252"/>
        <v>44197</v>
      </c>
      <c r="G1130" s="6">
        <v>80</v>
      </c>
      <c r="H1130" s="7" t="s">
        <v>3137</v>
      </c>
      <c r="I1130" s="7" t="s">
        <v>512</v>
      </c>
      <c r="J1130" s="436" t="s">
        <v>8100</v>
      </c>
      <c r="K1130" s="266">
        <f t="shared" si="258"/>
        <v>2021</v>
      </c>
      <c r="L1130" s="390" t="s">
        <v>5789</v>
      </c>
      <c r="M1130" s="390" t="s">
        <v>7540</v>
      </c>
      <c r="N1130" s="32" t="s">
        <v>3001</v>
      </c>
      <c r="O1130" s="32" t="s">
        <v>7663</v>
      </c>
      <c r="P1130" s="278"/>
      <c r="Q1130" s="233">
        <v>24</v>
      </c>
      <c r="R1130" s="75">
        <v>425</v>
      </c>
      <c r="S1130" s="75"/>
      <c r="T1130" s="75">
        <v>425</v>
      </c>
      <c r="U1130" s="200">
        <v>160</v>
      </c>
      <c r="V1130" s="287">
        <f t="shared" ca="1" si="259"/>
        <v>10</v>
      </c>
      <c r="W1130" s="75">
        <f t="shared" ca="1" si="260"/>
        <v>1400</v>
      </c>
      <c r="X1130" s="200">
        <f t="shared" ca="1" si="261"/>
        <v>1705</v>
      </c>
      <c r="Y1130" s="1"/>
      <c r="Z1130" s="31">
        <v>0.1</v>
      </c>
      <c r="AA1130" s="223">
        <v>0.09</v>
      </c>
      <c r="AB1130" s="302" t="s">
        <v>6969</v>
      </c>
      <c r="AC1130" s="302"/>
      <c r="AD1130" s="302"/>
      <c r="AE1130" s="302"/>
      <c r="AF1130">
        <f t="shared" si="250"/>
        <v>0</v>
      </c>
    </row>
    <row r="1131" spans="1:32" ht="39" hidden="1" x14ac:dyDescent="0.25">
      <c r="A1131" s="322" t="s">
        <v>3165</v>
      </c>
      <c r="B1131" s="93" t="str">
        <f t="shared" si="257"/>
        <v>YES</v>
      </c>
      <c r="C1131" s="93" t="s">
        <v>5503</v>
      </c>
      <c r="D1131" s="4">
        <v>40471</v>
      </c>
      <c r="E1131" s="2">
        <v>40544</v>
      </c>
      <c r="F1131" s="2">
        <f t="shared" si="252"/>
        <v>44197</v>
      </c>
      <c r="G1131" s="6">
        <v>170</v>
      </c>
      <c r="H1131" s="7" t="s">
        <v>2608</v>
      </c>
      <c r="I1131" s="7" t="s">
        <v>15</v>
      </c>
      <c r="J1131" s="186"/>
      <c r="K1131" s="266">
        <f t="shared" si="258"/>
        <v>2021</v>
      </c>
      <c r="L1131" s="390"/>
      <c r="M1131" s="390"/>
      <c r="N1131" s="32" t="s">
        <v>3166</v>
      </c>
      <c r="O1131" s="32" t="s">
        <v>3167</v>
      </c>
      <c r="P1131" s="278" t="s">
        <v>3168</v>
      </c>
      <c r="Q1131" s="233">
        <v>39</v>
      </c>
      <c r="R1131" s="75">
        <v>8900</v>
      </c>
      <c r="S1131" s="75"/>
      <c r="T1131" s="75">
        <v>8900</v>
      </c>
      <c r="U1131" s="200">
        <v>340</v>
      </c>
      <c r="V1131" s="287">
        <f t="shared" ca="1" si="259"/>
        <v>10</v>
      </c>
      <c r="W1131" s="75">
        <f t="shared" ca="1" si="260"/>
        <v>2975</v>
      </c>
      <c r="X1131" s="200">
        <f t="shared" ca="1" si="261"/>
        <v>11620</v>
      </c>
      <c r="Y1131" s="1"/>
      <c r="Z1131" s="31">
        <v>0.1</v>
      </c>
      <c r="AA1131" s="223">
        <v>0.09</v>
      </c>
      <c r="AB1131" s="302" t="s">
        <v>6970</v>
      </c>
      <c r="AC1131" s="302"/>
      <c r="AD1131" s="302"/>
      <c r="AE1131" s="302"/>
      <c r="AF1131">
        <f t="shared" si="250"/>
        <v>0</v>
      </c>
    </row>
    <row r="1132" spans="1:32" ht="39" hidden="1" x14ac:dyDescent="0.25">
      <c r="A1132" s="322" t="s">
        <v>3169</v>
      </c>
      <c r="B1132" s="93" t="str">
        <f t="shared" si="257"/>
        <v>YES</v>
      </c>
      <c r="C1132" s="93" t="s">
        <v>5503</v>
      </c>
      <c r="D1132" s="4">
        <v>40471</v>
      </c>
      <c r="E1132" s="2">
        <v>40544</v>
      </c>
      <c r="F1132" s="2">
        <f t="shared" si="252"/>
        <v>44197</v>
      </c>
      <c r="G1132" s="6">
        <v>837</v>
      </c>
      <c r="H1132" s="7" t="s">
        <v>2608</v>
      </c>
      <c r="I1132" s="7" t="s">
        <v>15</v>
      </c>
      <c r="J1132" s="186"/>
      <c r="K1132" s="266">
        <f t="shared" si="258"/>
        <v>2021</v>
      </c>
      <c r="L1132" s="390"/>
      <c r="M1132" s="390"/>
      <c r="N1132" s="32" t="s">
        <v>3170</v>
      </c>
      <c r="O1132" s="32" t="s">
        <v>3171</v>
      </c>
      <c r="P1132" s="278" t="s">
        <v>3172</v>
      </c>
      <c r="Q1132" s="233">
        <v>40</v>
      </c>
      <c r="R1132" s="75">
        <v>93470.5</v>
      </c>
      <c r="S1132" s="75"/>
      <c r="T1132" s="75">
        <v>93470.5</v>
      </c>
      <c r="U1132" s="200">
        <v>1674</v>
      </c>
      <c r="V1132" s="287">
        <f t="shared" ca="1" si="259"/>
        <v>10</v>
      </c>
      <c r="W1132" s="75">
        <f t="shared" ca="1" si="260"/>
        <v>14647.5</v>
      </c>
      <c r="X1132" s="200">
        <f t="shared" ca="1" si="261"/>
        <v>106862.5</v>
      </c>
      <c r="Y1132" s="1"/>
      <c r="Z1132" s="31">
        <v>0.1</v>
      </c>
      <c r="AA1132" s="223">
        <v>0.09</v>
      </c>
      <c r="AB1132" s="302" t="s">
        <v>6971</v>
      </c>
      <c r="AC1132" s="302"/>
      <c r="AD1132" s="302"/>
      <c r="AE1132" s="302"/>
      <c r="AF1132">
        <f t="shared" si="250"/>
        <v>0</v>
      </c>
    </row>
    <row r="1133" spans="1:32" ht="15.75" hidden="1" thickBot="1" x14ac:dyDescent="0.3">
      <c r="A1133" s="322"/>
      <c r="D1133" s="7"/>
      <c r="E1133" s="8"/>
      <c r="F1133" s="2"/>
      <c r="G1133" s="6"/>
      <c r="H1133" s="7"/>
      <c r="I1133" s="7"/>
      <c r="J1133" s="186"/>
      <c r="K1133" s="186"/>
      <c r="L1133" s="386"/>
      <c r="M1133" s="386"/>
      <c r="N1133" s="32"/>
      <c r="O1133" s="32"/>
      <c r="P1133" s="278"/>
      <c r="Q1133" s="233" t="s">
        <v>2</v>
      </c>
      <c r="R1133" s="76">
        <v>138773</v>
      </c>
      <c r="S1133" s="76"/>
      <c r="T1133" s="76">
        <v>138773</v>
      </c>
      <c r="U1133" s="200"/>
      <c r="V1133" s="75"/>
      <c r="W1133" s="75"/>
      <c r="X1133" s="200"/>
      <c r="Y1133" s="1"/>
      <c r="Z1133" s="1"/>
      <c r="AA1133" s="219"/>
      <c r="AB1133" s="302"/>
      <c r="AC1133" s="302"/>
      <c r="AD1133" s="302"/>
      <c r="AE1133" s="302"/>
      <c r="AF1133">
        <f t="shared" si="250"/>
        <v>0</v>
      </c>
    </row>
    <row r="1134" spans="1:32" hidden="1" x14ac:dyDescent="0.25">
      <c r="A1134" s="322"/>
      <c r="D1134" s="7"/>
      <c r="E1134" s="8"/>
      <c r="F1134" s="2"/>
      <c r="G1134" s="6"/>
      <c r="H1134" s="7"/>
      <c r="I1134" s="7"/>
      <c r="J1134" s="186"/>
      <c r="K1134" s="186"/>
      <c r="L1134" s="386"/>
      <c r="M1134" s="386"/>
      <c r="N1134" s="32"/>
      <c r="O1134" s="32"/>
      <c r="P1134" s="278"/>
      <c r="Q1134" s="233" t="s">
        <v>2531</v>
      </c>
      <c r="R1134" s="75">
        <v>99072</v>
      </c>
      <c r="S1134" s="75"/>
      <c r="T1134" s="75"/>
      <c r="U1134" s="200"/>
      <c r="V1134" s="75"/>
      <c r="W1134" s="75"/>
      <c r="X1134" s="200"/>
      <c r="Y1134" s="1"/>
      <c r="Z1134" s="1"/>
      <c r="AA1134" s="219"/>
      <c r="AB1134" s="302"/>
      <c r="AC1134" s="302"/>
      <c r="AD1134" s="302"/>
      <c r="AE1134" s="302"/>
      <c r="AF1134">
        <f t="shared" si="250"/>
        <v>0</v>
      </c>
    </row>
    <row r="1135" spans="1:32" hidden="1" x14ac:dyDescent="0.25">
      <c r="A1135" s="322"/>
      <c r="D1135" s="7"/>
      <c r="E1135" s="8" t="s">
        <v>3173</v>
      </c>
      <c r="F1135" s="2"/>
      <c r="G1135" s="6"/>
      <c r="H1135" s="7"/>
      <c r="I1135" s="7"/>
      <c r="J1135" s="186"/>
      <c r="K1135" s="186"/>
      <c r="L1135" s="386"/>
      <c r="M1135" s="386"/>
      <c r="N1135" s="32"/>
      <c r="O1135" s="32"/>
      <c r="P1135" s="278"/>
      <c r="Q1135" s="233"/>
      <c r="R1135" s="75">
        <v>40701</v>
      </c>
      <c r="S1135" s="75"/>
      <c r="T1135" s="75"/>
      <c r="U1135" s="200"/>
      <c r="V1135" s="75"/>
      <c r="W1135" s="75"/>
      <c r="X1135" s="200"/>
      <c r="Y1135" s="1"/>
      <c r="Z1135" s="1"/>
      <c r="AA1135" s="219"/>
      <c r="AB1135" s="302"/>
      <c r="AC1135" s="302"/>
      <c r="AD1135" s="302"/>
      <c r="AE1135" s="302"/>
      <c r="AF1135">
        <f t="shared" si="250"/>
        <v>0</v>
      </c>
    </row>
    <row r="1136" spans="1:32" hidden="1" x14ac:dyDescent="0.25">
      <c r="A1136" s="322"/>
      <c r="D1136" s="7"/>
      <c r="E1136" s="8"/>
      <c r="F1136" s="2"/>
      <c r="G1136" s="6"/>
      <c r="H1136" s="7"/>
      <c r="I1136" s="7"/>
      <c r="J1136" s="186"/>
      <c r="K1136" s="186"/>
      <c r="L1136" s="386"/>
      <c r="M1136" s="386"/>
      <c r="N1136" s="32"/>
      <c r="O1136" s="32"/>
      <c r="P1136" s="278"/>
      <c r="Q1136" s="233"/>
      <c r="R1136" s="75">
        <v>139773</v>
      </c>
      <c r="S1136" s="75"/>
      <c r="T1136" s="75"/>
      <c r="U1136" s="200"/>
      <c r="V1136" s="75"/>
      <c r="W1136" s="75"/>
      <c r="X1136" s="200"/>
      <c r="Y1136" s="1"/>
      <c r="Z1136" s="1"/>
      <c r="AA1136" s="219"/>
      <c r="AB1136" s="302"/>
      <c r="AC1136" s="302"/>
      <c r="AD1136" s="302"/>
      <c r="AE1136" s="302"/>
      <c r="AF1136">
        <f t="shared" si="250"/>
        <v>0</v>
      </c>
    </row>
    <row r="1137" spans="1:32" hidden="1" x14ac:dyDescent="0.25">
      <c r="A1137" s="322"/>
      <c r="D1137" s="7"/>
      <c r="E1137" s="8"/>
      <c r="F1137" s="2"/>
      <c r="G1137" s="6"/>
      <c r="H1137" s="7"/>
      <c r="I1137" s="7"/>
      <c r="J1137" s="186"/>
      <c r="K1137" s="186"/>
      <c r="L1137" s="386"/>
      <c r="M1137" s="386"/>
      <c r="N1137" s="32"/>
      <c r="O1137" s="32"/>
      <c r="P1137" s="278"/>
      <c r="Q1137" s="233"/>
      <c r="R1137" s="75"/>
      <c r="S1137" s="75"/>
      <c r="T1137" s="75"/>
      <c r="U1137" s="200"/>
      <c r="V1137" s="75"/>
      <c r="W1137" s="75"/>
      <c r="X1137" s="200"/>
      <c r="Y1137" s="1"/>
      <c r="Z1137" s="1"/>
      <c r="AA1137" s="219"/>
      <c r="AB1137" s="302"/>
      <c r="AC1137" s="302"/>
      <c r="AD1137" s="302"/>
      <c r="AE1137" s="302"/>
      <c r="AF1137">
        <f t="shared" si="250"/>
        <v>0</v>
      </c>
    </row>
    <row r="1138" spans="1:32" ht="64.5" hidden="1" x14ac:dyDescent="0.25">
      <c r="A1138" s="322" t="s">
        <v>3174</v>
      </c>
      <c r="B1138" s="93" t="str">
        <f t="shared" ref="B1138:B1152" si="262">IF(COUNTIF(GIS,A1138),"YES","NO")</f>
        <v>YES</v>
      </c>
      <c r="C1138" s="93" t="s">
        <v>5503</v>
      </c>
      <c r="D1138" s="4">
        <v>40521</v>
      </c>
      <c r="E1138" s="2">
        <v>40575</v>
      </c>
      <c r="F1138" s="2">
        <f t="shared" si="252"/>
        <v>44228</v>
      </c>
      <c r="G1138" s="6">
        <v>249.09</v>
      </c>
      <c r="H1138" s="7" t="s">
        <v>3175</v>
      </c>
      <c r="I1138" s="7" t="s">
        <v>308</v>
      </c>
      <c r="J1138" s="186"/>
      <c r="K1138" s="266">
        <f t="shared" ref="K1138:K1152" si="263">YEAR(F1138)</f>
        <v>2021</v>
      </c>
      <c r="L1138" s="390" t="s">
        <v>5885</v>
      </c>
      <c r="M1138" s="390" t="s">
        <v>7587</v>
      </c>
      <c r="N1138" s="32" t="s">
        <v>3176</v>
      </c>
      <c r="O1138" s="32" t="s">
        <v>3177</v>
      </c>
      <c r="P1138" s="278" t="s">
        <v>3178</v>
      </c>
      <c r="Q1138" s="233">
        <v>1</v>
      </c>
      <c r="R1138" s="75">
        <v>1020</v>
      </c>
      <c r="S1138" s="75"/>
      <c r="T1138" s="75">
        <v>1020</v>
      </c>
      <c r="U1138" s="200">
        <v>500</v>
      </c>
      <c r="V1138" s="287">
        <f t="shared" ref="V1138:V1152" ca="1" si="264">IF(YEAR($W$3)-YEAR(E1138)&gt;9,10,IF(MONTH($W$3)&lt;MONTH(E1138),YEAR($W$3)-YEAR(E1138),YEAR($W$3)-YEAR(E1138)+1))</f>
        <v>9</v>
      </c>
      <c r="W1138" s="75">
        <f t="shared" ref="W1138:W1152" ca="1" si="265">IF(V1138&lt;6, ROUNDUP(G1138,0)*$W$6*V1138, ROUNDUP(G1138,0)*($W$6*5 + (V1138-5)*$W$7))</f>
        <v>3875</v>
      </c>
      <c r="X1138" s="200">
        <f t="shared" ref="X1138:X1152" ca="1" si="266">IF(V1138=0,T1138,((T1138-ROUNDUP(G1138,0)*1.5)+W1138))</f>
        <v>4520</v>
      </c>
      <c r="Y1138" s="1"/>
      <c r="Z1138" s="31">
        <v>0.1</v>
      </c>
      <c r="AA1138" s="223">
        <v>0.09</v>
      </c>
      <c r="AB1138" s="302" t="s">
        <v>6316</v>
      </c>
      <c r="AC1138" s="308">
        <v>43536</v>
      </c>
      <c r="AD1138" s="309">
        <v>0.25</v>
      </c>
      <c r="AE1138" s="302" t="s">
        <v>7509</v>
      </c>
      <c r="AF1138">
        <f t="shared" si="250"/>
        <v>0</v>
      </c>
    </row>
    <row r="1139" spans="1:32" ht="51.75" hidden="1" x14ac:dyDescent="0.25">
      <c r="A1139" s="322" t="s">
        <v>3179</v>
      </c>
      <c r="B1139" s="93" t="str">
        <f t="shared" si="262"/>
        <v>YES</v>
      </c>
      <c r="C1139" s="93" t="s">
        <v>5503</v>
      </c>
      <c r="D1139" s="4">
        <v>40521</v>
      </c>
      <c r="E1139" s="2">
        <v>40575</v>
      </c>
      <c r="F1139" s="2">
        <f t="shared" si="252"/>
        <v>44228</v>
      </c>
      <c r="G1139" s="6">
        <v>39.93</v>
      </c>
      <c r="H1139" s="7" t="s">
        <v>2701</v>
      </c>
      <c r="I1139" s="7" t="s">
        <v>308</v>
      </c>
      <c r="J1139" s="105" t="s">
        <v>5165</v>
      </c>
      <c r="K1139" s="266">
        <f t="shared" si="263"/>
        <v>2021</v>
      </c>
      <c r="L1139" s="392" t="s">
        <v>5519</v>
      </c>
      <c r="M1139" s="392" t="s">
        <v>5562</v>
      </c>
      <c r="N1139" s="32" t="s">
        <v>3180</v>
      </c>
      <c r="O1139" s="32" t="s">
        <v>3181</v>
      </c>
      <c r="P1139" s="278" t="s">
        <v>3182</v>
      </c>
      <c r="Q1139" s="233">
        <v>2</v>
      </c>
      <c r="R1139" s="75">
        <v>285</v>
      </c>
      <c r="S1139" s="75"/>
      <c r="T1139" s="75">
        <v>285</v>
      </c>
      <c r="U1139" s="200">
        <v>60</v>
      </c>
      <c r="V1139" s="287">
        <f t="shared" ca="1" si="264"/>
        <v>9</v>
      </c>
      <c r="W1139" s="75">
        <f t="shared" ca="1" si="265"/>
        <v>620</v>
      </c>
      <c r="X1139" s="200">
        <f t="shared" ca="1" si="266"/>
        <v>845</v>
      </c>
      <c r="Y1139" s="1"/>
      <c r="Z1139" s="31">
        <v>0.1</v>
      </c>
      <c r="AA1139" s="223">
        <v>0.09</v>
      </c>
      <c r="AB1139" s="312" t="s">
        <v>6257</v>
      </c>
      <c r="AC1139" s="310">
        <v>42272</v>
      </c>
      <c r="AD1139" s="311">
        <v>0.2</v>
      </c>
      <c r="AE1139" s="302" t="s">
        <v>6247</v>
      </c>
      <c r="AF1139">
        <f t="shared" si="250"/>
        <v>0</v>
      </c>
    </row>
    <row r="1140" spans="1:32" ht="102.75" hidden="1" x14ac:dyDescent="0.25">
      <c r="A1140" s="322" t="s">
        <v>3183</v>
      </c>
      <c r="B1140" s="93" t="str">
        <f t="shared" si="262"/>
        <v>YES</v>
      </c>
      <c r="C1140" s="93" t="s">
        <v>5503</v>
      </c>
      <c r="D1140" s="4">
        <v>40521</v>
      </c>
      <c r="E1140" s="2">
        <v>40575</v>
      </c>
      <c r="F1140" s="2">
        <f t="shared" si="252"/>
        <v>44228</v>
      </c>
      <c r="G1140" s="6">
        <v>160</v>
      </c>
      <c r="H1140" s="7" t="s">
        <v>3184</v>
      </c>
      <c r="I1140" s="7" t="s">
        <v>72</v>
      </c>
      <c r="J1140" s="186"/>
      <c r="K1140" s="266">
        <f t="shared" si="263"/>
        <v>2021</v>
      </c>
      <c r="L1140" s="390" t="s">
        <v>5875</v>
      </c>
      <c r="M1140" s="390" t="s">
        <v>7594</v>
      </c>
      <c r="N1140" s="32" t="s">
        <v>3185</v>
      </c>
      <c r="O1140" s="32" t="s">
        <v>3186</v>
      </c>
      <c r="P1140" s="278" t="s">
        <v>3187</v>
      </c>
      <c r="Q1140" s="233">
        <v>4</v>
      </c>
      <c r="R1140" s="75">
        <v>705</v>
      </c>
      <c r="S1140" s="75"/>
      <c r="T1140" s="75">
        <v>705</v>
      </c>
      <c r="U1140" s="200">
        <v>320</v>
      </c>
      <c r="V1140" s="287">
        <f t="shared" ca="1" si="264"/>
        <v>9</v>
      </c>
      <c r="W1140" s="75">
        <f t="shared" ca="1" si="265"/>
        <v>2480</v>
      </c>
      <c r="X1140" s="200">
        <f t="shared" ca="1" si="266"/>
        <v>2945</v>
      </c>
      <c r="Y1140" s="1"/>
      <c r="Z1140" s="31">
        <v>0.1</v>
      </c>
      <c r="AA1140" s="223">
        <v>0.09</v>
      </c>
      <c r="AB1140" s="302" t="s">
        <v>6355</v>
      </c>
      <c r="AC1140" s="302"/>
      <c r="AD1140" s="302"/>
      <c r="AE1140" s="302"/>
      <c r="AF1140">
        <f t="shared" si="250"/>
        <v>0</v>
      </c>
    </row>
    <row r="1141" spans="1:32" ht="64.5" hidden="1" x14ac:dyDescent="0.25">
      <c r="A1141" s="322" t="s">
        <v>3188</v>
      </c>
      <c r="B1141" s="93" t="str">
        <f t="shared" si="262"/>
        <v>YES</v>
      </c>
      <c r="C1141" s="93" t="s">
        <v>5503</v>
      </c>
      <c r="D1141" s="4">
        <v>40521</v>
      </c>
      <c r="E1141" s="2">
        <v>40575</v>
      </c>
      <c r="F1141" s="2">
        <f t="shared" si="252"/>
        <v>44228</v>
      </c>
      <c r="G1141" s="6">
        <v>56.25</v>
      </c>
      <c r="H1141" s="7" t="s">
        <v>3189</v>
      </c>
      <c r="I1141" s="7" t="s">
        <v>79</v>
      </c>
      <c r="J1141" s="186"/>
      <c r="K1141" s="266">
        <f t="shared" si="263"/>
        <v>2021</v>
      </c>
      <c r="L1141" s="390" t="s">
        <v>5863</v>
      </c>
      <c r="M1141" s="390" t="s">
        <v>7537</v>
      </c>
      <c r="N1141" s="32" t="s">
        <v>3190</v>
      </c>
      <c r="O1141" s="32" t="s">
        <v>3191</v>
      </c>
      <c r="P1141" s="278" t="s">
        <v>3192</v>
      </c>
      <c r="Q1141" s="233">
        <v>5</v>
      </c>
      <c r="R1141" s="75">
        <v>344.5</v>
      </c>
      <c r="S1141" s="75"/>
      <c r="T1141" s="75">
        <v>344.5</v>
      </c>
      <c r="U1141" s="200">
        <v>114</v>
      </c>
      <c r="V1141" s="287">
        <f t="shared" ca="1" si="264"/>
        <v>9</v>
      </c>
      <c r="W1141" s="75">
        <f t="shared" ca="1" si="265"/>
        <v>883.5</v>
      </c>
      <c r="X1141" s="200">
        <f t="shared" ca="1" si="266"/>
        <v>1142.5</v>
      </c>
      <c r="Y1141" s="1"/>
      <c r="Z1141" s="31">
        <v>0.1</v>
      </c>
      <c r="AA1141" s="223">
        <v>0.09</v>
      </c>
      <c r="AB1141" s="302" t="s">
        <v>6972</v>
      </c>
      <c r="AC1141" s="302"/>
      <c r="AD1141" s="302"/>
      <c r="AE1141" s="302"/>
      <c r="AF1141">
        <f t="shared" si="250"/>
        <v>0</v>
      </c>
    </row>
    <row r="1142" spans="1:32" ht="77.25" hidden="1" x14ac:dyDescent="0.25">
      <c r="A1142" s="322" t="s">
        <v>3193</v>
      </c>
      <c r="B1142" s="93" t="str">
        <f t="shared" si="262"/>
        <v>YES</v>
      </c>
      <c r="C1142" s="93" t="s">
        <v>5503</v>
      </c>
      <c r="D1142" s="4">
        <v>40521</v>
      </c>
      <c r="E1142" s="2">
        <v>40575</v>
      </c>
      <c r="F1142" s="2">
        <f t="shared" si="252"/>
        <v>44228</v>
      </c>
      <c r="G1142" s="6">
        <v>583.49</v>
      </c>
      <c r="H1142" s="7" t="s">
        <v>3194</v>
      </c>
      <c r="I1142" s="7" t="s">
        <v>79</v>
      </c>
      <c r="J1142" s="186"/>
      <c r="K1142" s="266">
        <f t="shared" si="263"/>
        <v>2021</v>
      </c>
      <c r="L1142" s="390" t="s">
        <v>6015</v>
      </c>
      <c r="M1142" s="390" t="s">
        <v>7593</v>
      </c>
      <c r="N1142" s="32" t="s">
        <v>3195</v>
      </c>
      <c r="O1142" s="32" t="s">
        <v>3196</v>
      </c>
      <c r="P1142" s="278" t="s">
        <v>3197</v>
      </c>
      <c r="Q1142" s="233">
        <v>7</v>
      </c>
      <c r="R1142" s="75">
        <v>2189</v>
      </c>
      <c r="S1142" s="75"/>
      <c r="T1142" s="75">
        <v>2189</v>
      </c>
      <c r="U1142" s="200">
        <v>1168</v>
      </c>
      <c r="V1142" s="287">
        <f t="shared" ca="1" si="264"/>
        <v>9</v>
      </c>
      <c r="W1142" s="75">
        <f t="shared" ca="1" si="265"/>
        <v>9052</v>
      </c>
      <c r="X1142" s="200">
        <f t="shared" ca="1" si="266"/>
        <v>10365</v>
      </c>
      <c r="Y1142" s="1"/>
      <c r="Z1142" s="31">
        <v>0.1</v>
      </c>
      <c r="AA1142" s="223">
        <v>0.09</v>
      </c>
      <c r="AB1142" s="302" t="s">
        <v>6973</v>
      </c>
      <c r="AC1142" s="302"/>
      <c r="AD1142" s="302"/>
      <c r="AE1142" s="302"/>
      <c r="AF1142">
        <f t="shared" si="250"/>
        <v>0</v>
      </c>
    </row>
    <row r="1143" spans="1:32" ht="51.75" hidden="1" x14ac:dyDescent="0.25">
      <c r="A1143" s="322" t="s">
        <v>3198</v>
      </c>
      <c r="B1143" s="93" t="str">
        <f t="shared" si="262"/>
        <v>YES</v>
      </c>
      <c r="C1143" s="93" t="s">
        <v>5503</v>
      </c>
      <c r="D1143" s="4">
        <v>40521</v>
      </c>
      <c r="E1143" s="2">
        <v>40575</v>
      </c>
      <c r="F1143" s="2">
        <f t="shared" si="252"/>
        <v>44228</v>
      </c>
      <c r="G1143" s="6">
        <v>55.5</v>
      </c>
      <c r="H1143" s="7" t="s">
        <v>3199</v>
      </c>
      <c r="I1143" s="7" t="s">
        <v>79</v>
      </c>
      <c r="J1143" s="186"/>
      <c r="K1143" s="266">
        <f t="shared" si="263"/>
        <v>2021</v>
      </c>
      <c r="L1143" s="390" t="s">
        <v>7533</v>
      </c>
      <c r="M1143" s="390" t="s">
        <v>6140</v>
      </c>
      <c r="N1143" s="32" t="s">
        <v>3200</v>
      </c>
      <c r="O1143" s="32" t="s">
        <v>3201</v>
      </c>
      <c r="P1143" s="278" t="s">
        <v>3202</v>
      </c>
      <c r="Q1143" s="233">
        <v>10</v>
      </c>
      <c r="R1143" s="75">
        <v>341</v>
      </c>
      <c r="S1143" s="75"/>
      <c r="T1143" s="75">
        <v>341</v>
      </c>
      <c r="U1143" s="200">
        <v>112</v>
      </c>
      <c r="V1143" s="287">
        <f t="shared" ca="1" si="264"/>
        <v>9</v>
      </c>
      <c r="W1143" s="75">
        <f t="shared" ca="1" si="265"/>
        <v>868</v>
      </c>
      <c r="X1143" s="200">
        <f t="shared" ca="1" si="266"/>
        <v>1125</v>
      </c>
      <c r="Y1143" s="1"/>
      <c r="Z1143" s="31">
        <v>0.1</v>
      </c>
      <c r="AA1143" s="223">
        <v>0.09</v>
      </c>
      <c r="AB1143" s="302" t="s">
        <v>6974</v>
      </c>
      <c r="AC1143" s="308">
        <v>43816</v>
      </c>
      <c r="AD1143" s="309">
        <v>0.25</v>
      </c>
      <c r="AE1143" s="302" t="s">
        <v>8134</v>
      </c>
      <c r="AF1143">
        <f t="shared" si="250"/>
        <v>0</v>
      </c>
    </row>
    <row r="1144" spans="1:32" ht="51.75" hidden="1" x14ac:dyDescent="0.25">
      <c r="A1144" s="322" t="s">
        <v>3203</v>
      </c>
      <c r="B1144" s="93" t="str">
        <f t="shared" si="262"/>
        <v>YES</v>
      </c>
      <c r="C1144" s="93" t="s">
        <v>5503</v>
      </c>
      <c r="D1144" s="4">
        <v>40521</v>
      </c>
      <c r="E1144" s="2">
        <v>40575</v>
      </c>
      <c r="F1144" s="2">
        <f t="shared" si="252"/>
        <v>44228</v>
      </c>
      <c r="G1144" s="6">
        <v>213.97</v>
      </c>
      <c r="H1144" s="7" t="s">
        <v>3199</v>
      </c>
      <c r="I1144" s="7" t="s">
        <v>79</v>
      </c>
      <c r="J1144" s="186"/>
      <c r="K1144" s="266">
        <f t="shared" si="263"/>
        <v>2021</v>
      </c>
      <c r="L1144" s="390" t="s">
        <v>7533</v>
      </c>
      <c r="M1144" s="390" t="s">
        <v>6140</v>
      </c>
      <c r="N1144" s="32" t="s">
        <v>3200</v>
      </c>
      <c r="O1144" s="32" t="s">
        <v>3204</v>
      </c>
      <c r="P1144" s="278" t="s">
        <v>3202</v>
      </c>
      <c r="Q1144" s="233">
        <v>11</v>
      </c>
      <c r="R1144" s="75">
        <v>894</v>
      </c>
      <c r="S1144" s="75"/>
      <c r="T1144" s="75">
        <v>894</v>
      </c>
      <c r="U1144" s="200">
        <v>428</v>
      </c>
      <c r="V1144" s="287">
        <f t="shared" ca="1" si="264"/>
        <v>9</v>
      </c>
      <c r="W1144" s="75">
        <f t="shared" ca="1" si="265"/>
        <v>3317</v>
      </c>
      <c r="X1144" s="200">
        <f t="shared" ca="1" si="266"/>
        <v>3890</v>
      </c>
      <c r="Y1144" s="1"/>
      <c r="Z1144" s="31">
        <v>0.1</v>
      </c>
      <c r="AA1144" s="223">
        <v>0.09</v>
      </c>
      <c r="AB1144" s="302" t="s">
        <v>6975</v>
      </c>
      <c r="AC1144" s="308">
        <v>43816</v>
      </c>
      <c r="AD1144" s="309">
        <v>0.25</v>
      </c>
      <c r="AE1144" s="302" t="s">
        <v>8134</v>
      </c>
      <c r="AF1144">
        <f t="shared" si="250"/>
        <v>0</v>
      </c>
    </row>
    <row r="1145" spans="1:32" ht="51.75" hidden="1" x14ac:dyDescent="0.25">
      <c r="A1145" s="322" t="s">
        <v>3205</v>
      </c>
      <c r="B1145" s="93" t="str">
        <f t="shared" si="262"/>
        <v>YES</v>
      </c>
      <c r="C1145" s="93" t="s">
        <v>5503</v>
      </c>
      <c r="D1145" s="4">
        <v>40521</v>
      </c>
      <c r="E1145" s="2">
        <v>40575</v>
      </c>
      <c r="F1145" s="2">
        <f t="shared" si="252"/>
        <v>44228</v>
      </c>
      <c r="G1145" s="6">
        <v>39.93</v>
      </c>
      <c r="H1145" s="7" t="s">
        <v>4752</v>
      </c>
      <c r="I1145" s="7" t="s">
        <v>79</v>
      </c>
      <c r="J1145" s="186"/>
      <c r="K1145" s="266">
        <f t="shared" si="263"/>
        <v>2021</v>
      </c>
      <c r="L1145" s="390" t="s">
        <v>7533</v>
      </c>
      <c r="M1145" s="390" t="s">
        <v>5790</v>
      </c>
      <c r="N1145" s="32" t="s">
        <v>3206</v>
      </c>
      <c r="O1145" s="32" t="s">
        <v>3207</v>
      </c>
      <c r="P1145" s="278" t="s">
        <v>3202</v>
      </c>
      <c r="Q1145" s="233">
        <v>12</v>
      </c>
      <c r="R1145" s="75">
        <v>285</v>
      </c>
      <c r="S1145" s="75"/>
      <c r="T1145" s="75">
        <v>285</v>
      </c>
      <c r="U1145" s="200">
        <v>80</v>
      </c>
      <c r="V1145" s="287">
        <f t="shared" ca="1" si="264"/>
        <v>9</v>
      </c>
      <c r="W1145" s="75">
        <f t="shared" ca="1" si="265"/>
        <v>620</v>
      </c>
      <c r="X1145" s="200">
        <f t="shared" ca="1" si="266"/>
        <v>845</v>
      </c>
      <c r="Y1145" s="1"/>
      <c r="Z1145" s="31">
        <v>0.1</v>
      </c>
      <c r="AA1145" s="223">
        <v>0.09</v>
      </c>
      <c r="AB1145" s="302" t="s">
        <v>6976</v>
      </c>
      <c r="AC1145" s="302"/>
      <c r="AD1145" s="302"/>
      <c r="AE1145" s="302"/>
      <c r="AF1145">
        <f t="shared" si="250"/>
        <v>0</v>
      </c>
    </row>
    <row r="1146" spans="1:32" ht="26.25" hidden="1" x14ac:dyDescent="0.25">
      <c r="A1146" s="322" t="s">
        <v>3208</v>
      </c>
      <c r="B1146" s="93" t="str">
        <f t="shared" si="262"/>
        <v>YES</v>
      </c>
      <c r="C1146" s="93" t="s">
        <v>5503</v>
      </c>
      <c r="D1146" s="4">
        <v>40521</v>
      </c>
      <c r="E1146" s="2">
        <v>40575</v>
      </c>
      <c r="F1146" s="2">
        <f t="shared" si="252"/>
        <v>44228</v>
      </c>
      <c r="G1146" s="6">
        <v>287.04000000000002</v>
      </c>
      <c r="H1146" s="7" t="s">
        <v>6212</v>
      </c>
      <c r="I1146" s="7" t="s">
        <v>79</v>
      </c>
      <c r="J1146" s="186"/>
      <c r="K1146" s="266">
        <f t="shared" si="263"/>
        <v>2021</v>
      </c>
      <c r="L1146" s="390" t="s">
        <v>6015</v>
      </c>
      <c r="M1146" s="390" t="s">
        <v>7593</v>
      </c>
      <c r="N1146" s="32" t="s">
        <v>3195</v>
      </c>
      <c r="O1146" s="32" t="s">
        <v>3209</v>
      </c>
      <c r="P1146" s="278"/>
      <c r="Q1146" s="233">
        <v>19</v>
      </c>
      <c r="R1146" s="75">
        <v>1153</v>
      </c>
      <c r="S1146" s="75"/>
      <c r="T1146" s="75">
        <v>1153</v>
      </c>
      <c r="U1146" s="200">
        <v>576</v>
      </c>
      <c r="V1146" s="287">
        <f t="shared" ca="1" si="264"/>
        <v>9</v>
      </c>
      <c r="W1146" s="75">
        <f t="shared" ca="1" si="265"/>
        <v>4464</v>
      </c>
      <c r="X1146" s="200">
        <f t="shared" ca="1" si="266"/>
        <v>5185</v>
      </c>
      <c r="Y1146" s="1"/>
      <c r="Z1146" s="31">
        <v>0.1</v>
      </c>
      <c r="AA1146" s="223">
        <v>0.09</v>
      </c>
      <c r="AB1146" s="302" t="s">
        <v>6977</v>
      </c>
      <c r="AC1146" s="302"/>
      <c r="AD1146" s="302"/>
      <c r="AE1146" s="302"/>
      <c r="AF1146">
        <f t="shared" si="250"/>
        <v>0</v>
      </c>
    </row>
    <row r="1147" spans="1:32" ht="26.25" hidden="1" x14ac:dyDescent="0.25">
      <c r="A1147" s="322" t="s">
        <v>3210</v>
      </c>
      <c r="B1147" s="93" t="str">
        <f t="shared" si="262"/>
        <v>YES</v>
      </c>
      <c r="C1147" s="93" t="s">
        <v>5503</v>
      </c>
      <c r="D1147" s="4">
        <v>40521</v>
      </c>
      <c r="E1147" s="2">
        <v>40575</v>
      </c>
      <c r="F1147" s="2">
        <f t="shared" si="252"/>
        <v>44228</v>
      </c>
      <c r="G1147" s="6">
        <v>169.39</v>
      </c>
      <c r="H1147" s="7" t="s">
        <v>3194</v>
      </c>
      <c r="I1147" s="7" t="s">
        <v>79</v>
      </c>
      <c r="J1147" s="186"/>
      <c r="K1147" s="266">
        <f t="shared" si="263"/>
        <v>2021</v>
      </c>
      <c r="L1147" s="390" t="s">
        <v>6015</v>
      </c>
      <c r="M1147" s="390" t="s">
        <v>7593</v>
      </c>
      <c r="N1147" s="32" t="s">
        <v>3195</v>
      </c>
      <c r="O1147" s="32" t="s">
        <v>3209</v>
      </c>
      <c r="P1147" s="278"/>
      <c r="Q1147" s="233">
        <v>20</v>
      </c>
      <c r="R1147" s="75">
        <v>740</v>
      </c>
      <c r="S1147" s="75"/>
      <c r="T1147" s="75">
        <v>740</v>
      </c>
      <c r="U1147" s="200">
        <v>340</v>
      </c>
      <c r="V1147" s="287">
        <f t="shared" ca="1" si="264"/>
        <v>9</v>
      </c>
      <c r="W1147" s="75">
        <f t="shared" ca="1" si="265"/>
        <v>2635</v>
      </c>
      <c r="X1147" s="200">
        <f t="shared" ca="1" si="266"/>
        <v>3120</v>
      </c>
      <c r="Y1147" s="1"/>
      <c r="Z1147" s="31">
        <v>0.1</v>
      </c>
      <c r="AA1147" s="223">
        <v>0.09</v>
      </c>
      <c r="AB1147" s="302" t="s">
        <v>6978</v>
      </c>
      <c r="AC1147" s="302"/>
      <c r="AD1147" s="302"/>
      <c r="AE1147" s="302"/>
      <c r="AF1147">
        <f t="shared" si="250"/>
        <v>0</v>
      </c>
    </row>
    <row r="1148" spans="1:32" ht="64.5" hidden="1" x14ac:dyDescent="0.25">
      <c r="A1148" s="322" t="s">
        <v>3211</v>
      </c>
      <c r="B1148" s="93" t="str">
        <f t="shared" si="262"/>
        <v>YES</v>
      </c>
      <c r="C1148" s="93" t="s">
        <v>5503</v>
      </c>
      <c r="D1148" s="4">
        <v>40521</v>
      </c>
      <c r="E1148" s="2">
        <v>40575</v>
      </c>
      <c r="F1148" s="2">
        <f t="shared" si="252"/>
        <v>44228</v>
      </c>
      <c r="G1148" s="6">
        <v>278.82</v>
      </c>
      <c r="H1148" s="7" t="s">
        <v>3212</v>
      </c>
      <c r="I1148" s="7" t="s">
        <v>79</v>
      </c>
      <c r="J1148" s="186"/>
      <c r="K1148" s="266">
        <f t="shared" si="263"/>
        <v>2021</v>
      </c>
      <c r="L1148" s="390" t="s">
        <v>5875</v>
      </c>
      <c r="M1148" s="390" t="s">
        <v>7541</v>
      </c>
      <c r="N1148" s="32" t="s">
        <v>3213</v>
      </c>
      <c r="O1148" s="32" t="s">
        <v>3214</v>
      </c>
      <c r="P1148" s="278" t="s">
        <v>3215</v>
      </c>
      <c r="Q1148" s="233">
        <v>21</v>
      </c>
      <c r="R1148" s="75">
        <v>1121.5</v>
      </c>
      <c r="S1148" s="75"/>
      <c r="T1148" s="75">
        <v>1121.5</v>
      </c>
      <c r="U1148" s="200">
        <v>558</v>
      </c>
      <c r="V1148" s="287">
        <f t="shared" ca="1" si="264"/>
        <v>9</v>
      </c>
      <c r="W1148" s="75">
        <f t="shared" ca="1" si="265"/>
        <v>4324.5</v>
      </c>
      <c r="X1148" s="200">
        <f t="shared" ca="1" si="266"/>
        <v>5027.5</v>
      </c>
      <c r="Y1148" s="1"/>
      <c r="Z1148" s="31">
        <v>0.1</v>
      </c>
      <c r="AA1148" s="223">
        <v>0.09</v>
      </c>
      <c r="AB1148" s="302" t="s">
        <v>6979</v>
      </c>
      <c r="AC1148" s="308">
        <v>43451</v>
      </c>
      <c r="AD1148" s="309">
        <v>0.25</v>
      </c>
      <c r="AE1148" s="302" t="s">
        <v>6258</v>
      </c>
      <c r="AF1148">
        <f t="shared" si="250"/>
        <v>0</v>
      </c>
    </row>
    <row r="1149" spans="1:32" ht="39" hidden="1" x14ac:dyDescent="0.25">
      <c r="A1149" s="322" t="s">
        <v>3216</v>
      </c>
      <c r="B1149" s="93" t="str">
        <f t="shared" si="262"/>
        <v>YES</v>
      </c>
      <c r="C1149" s="93" t="s">
        <v>5503</v>
      </c>
      <c r="D1149" s="4">
        <v>40521</v>
      </c>
      <c r="E1149" s="2">
        <v>40575</v>
      </c>
      <c r="F1149" s="2">
        <f t="shared" si="252"/>
        <v>44228</v>
      </c>
      <c r="G1149" s="6">
        <v>158.44</v>
      </c>
      <c r="H1149" s="7" t="s">
        <v>3212</v>
      </c>
      <c r="I1149" s="7" t="s">
        <v>79</v>
      </c>
      <c r="J1149" s="186"/>
      <c r="K1149" s="266">
        <f t="shared" si="263"/>
        <v>2021</v>
      </c>
      <c r="L1149" s="390" t="s">
        <v>6015</v>
      </c>
      <c r="M1149" s="390" t="s">
        <v>6016</v>
      </c>
      <c r="N1149" s="32" t="s">
        <v>3217</v>
      </c>
      <c r="O1149" s="32" t="s">
        <v>3218</v>
      </c>
      <c r="P1149" s="278" t="s">
        <v>3219</v>
      </c>
      <c r="Q1149" s="233">
        <v>24</v>
      </c>
      <c r="R1149" s="75">
        <v>701.5</v>
      </c>
      <c r="S1149" s="75"/>
      <c r="T1149" s="75">
        <v>701.5</v>
      </c>
      <c r="U1149" s="200">
        <v>318</v>
      </c>
      <c r="V1149" s="287">
        <f t="shared" ca="1" si="264"/>
        <v>9</v>
      </c>
      <c r="W1149" s="75">
        <f t="shared" ca="1" si="265"/>
        <v>2464.5</v>
      </c>
      <c r="X1149" s="200">
        <f t="shared" ca="1" si="266"/>
        <v>2927.5</v>
      </c>
      <c r="Y1149" s="1"/>
      <c r="Z1149" s="31">
        <v>0.1</v>
      </c>
      <c r="AA1149" s="223">
        <v>0.09</v>
      </c>
      <c r="AB1149" s="302" t="s">
        <v>6980</v>
      </c>
      <c r="AC1149" s="308">
        <v>43451</v>
      </c>
      <c r="AD1149" s="309">
        <v>0.25</v>
      </c>
      <c r="AE1149" s="302" t="s">
        <v>6259</v>
      </c>
      <c r="AF1149">
        <f t="shared" si="250"/>
        <v>0</v>
      </c>
    </row>
    <row r="1150" spans="1:32" ht="115.5" hidden="1" x14ac:dyDescent="0.25">
      <c r="A1150" s="322" t="s">
        <v>3220</v>
      </c>
      <c r="B1150" s="93" t="str">
        <f t="shared" si="262"/>
        <v>YES</v>
      </c>
      <c r="C1150" s="93" t="s">
        <v>5503</v>
      </c>
      <c r="D1150" s="4">
        <v>40521</v>
      </c>
      <c r="E1150" s="2">
        <v>40575</v>
      </c>
      <c r="F1150" s="2">
        <f t="shared" si="252"/>
        <v>44228</v>
      </c>
      <c r="G1150" s="6">
        <v>245</v>
      </c>
      <c r="H1150" s="7" t="s">
        <v>3221</v>
      </c>
      <c r="I1150" s="7" t="s">
        <v>1050</v>
      </c>
      <c r="J1150" s="105" t="s">
        <v>5188</v>
      </c>
      <c r="K1150" s="266">
        <f t="shared" si="263"/>
        <v>2021</v>
      </c>
      <c r="L1150" s="381"/>
      <c r="M1150" s="381"/>
      <c r="N1150" s="32" t="s">
        <v>3222</v>
      </c>
      <c r="O1150" s="32" t="s">
        <v>3223</v>
      </c>
      <c r="P1150" s="278" t="s">
        <v>3224</v>
      </c>
      <c r="Q1150" s="233">
        <v>25</v>
      </c>
      <c r="R1150" s="75">
        <v>1002.5</v>
      </c>
      <c r="S1150" s="75"/>
      <c r="T1150" s="75">
        <v>1002.5</v>
      </c>
      <c r="U1150" s="200">
        <v>490</v>
      </c>
      <c r="V1150" s="287">
        <f t="shared" ca="1" si="264"/>
        <v>9</v>
      </c>
      <c r="W1150" s="75">
        <f t="shared" ca="1" si="265"/>
        <v>3797.5</v>
      </c>
      <c r="X1150" s="200">
        <f t="shared" ca="1" si="266"/>
        <v>4432.5</v>
      </c>
      <c r="Y1150" s="1"/>
      <c r="Z1150" s="31">
        <v>0.1</v>
      </c>
      <c r="AA1150" s="223">
        <v>0.09</v>
      </c>
      <c r="AB1150" s="302" t="s">
        <v>6981</v>
      </c>
      <c r="AC1150" s="302"/>
      <c r="AD1150" s="302"/>
      <c r="AE1150" s="302"/>
      <c r="AF1150">
        <f t="shared" si="250"/>
        <v>0</v>
      </c>
    </row>
    <row r="1151" spans="1:32" ht="51.75" hidden="1" x14ac:dyDescent="0.25">
      <c r="A1151" s="322" t="s">
        <v>3225</v>
      </c>
      <c r="B1151" s="93" t="str">
        <f t="shared" si="262"/>
        <v>YES</v>
      </c>
      <c r="C1151" s="93" t="s">
        <v>5503</v>
      </c>
      <c r="D1151" s="4">
        <v>40521</v>
      </c>
      <c r="E1151" s="2">
        <v>40575</v>
      </c>
      <c r="F1151" s="2">
        <f t="shared" si="252"/>
        <v>44228</v>
      </c>
      <c r="G1151" s="6">
        <v>65.05</v>
      </c>
      <c r="H1151" s="7" t="s">
        <v>3184</v>
      </c>
      <c r="I1151" s="7" t="s">
        <v>86</v>
      </c>
      <c r="J1151" s="186"/>
      <c r="K1151" s="266">
        <f t="shared" si="263"/>
        <v>2021</v>
      </c>
      <c r="L1151" s="301" t="s">
        <v>5834</v>
      </c>
      <c r="M1151" s="301" t="s">
        <v>7588</v>
      </c>
      <c r="N1151" s="32" t="s">
        <v>3226</v>
      </c>
      <c r="O1151" s="32" t="s">
        <v>3227</v>
      </c>
      <c r="P1151" s="278"/>
      <c r="Q1151" s="233">
        <v>29</v>
      </c>
      <c r="R1151" s="75">
        <v>5524</v>
      </c>
      <c r="S1151" s="75"/>
      <c r="T1151" s="75">
        <v>5524</v>
      </c>
      <c r="U1151" s="200">
        <v>132</v>
      </c>
      <c r="V1151" s="287">
        <f t="shared" ca="1" si="264"/>
        <v>9</v>
      </c>
      <c r="W1151" s="75">
        <f t="shared" ca="1" si="265"/>
        <v>1023</v>
      </c>
      <c r="X1151" s="200">
        <f t="shared" ca="1" si="266"/>
        <v>6448</v>
      </c>
      <c r="Y1151" s="1"/>
      <c r="Z1151" s="31">
        <v>0.1</v>
      </c>
      <c r="AA1151" s="223">
        <v>0.09</v>
      </c>
      <c r="AB1151" s="302" t="s">
        <v>6982</v>
      </c>
      <c r="AC1151" s="302"/>
      <c r="AD1151" s="302"/>
      <c r="AE1151" s="302"/>
      <c r="AF1151">
        <f t="shared" si="250"/>
        <v>0</v>
      </c>
    </row>
    <row r="1152" spans="1:32" ht="51.75" hidden="1" x14ac:dyDescent="0.25">
      <c r="A1152" s="322" t="s">
        <v>3228</v>
      </c>
      <c r="B1152" s="93" t="str">
        <f t="shared" si="262"/>
        <v>YES</v>
      </c>
      <c r="C1152" s="93" t="s">
        <v>5503</v>
      </c>
      <c r="D1152" s="4">
        <v>40521</v>
      </c>
      <c r="E1152" s="2">
        <v>40575</v>
      </c>
      <c r="F1152" s="2">
        <f t="shared" si="252"/>
        <v>44228</v>
      </c>
      <c r="G1152" s="6">
        <v>29.4</v>
      </c>
      <c r="H1152" s="7" t="s">
        <v>3184</v>
      </c>
      <c r="I1152" s="7" t="s">
        <v>86</v>
      </c>
      <c r="J1152" s="186"/>
      <c r="K1152" s="266">
        <f t="shared" si="263"/>
        <v>2021</v>
      </c>
      <c r="L1152" s="301" t="s">
        <v>7529</v>
      </c>
      <c r="M1152" s="301" t="s">
        <v>7588</v>
      </c>
      <c r="N1152" s="32" t="s">
        <v>3229</v>
      </c>
      <c r="O1152" s="32" t="s">
        <v>3227</v>
      </c>
      <c r="P1152" s="278"/>
      <c r="Q1152" s="233">
        <v>30</v>
      </c>
      <c r="R1152" s="81">
        <v>4090</v>
      </c>
      <c r="S1152" s="81"/>
      <c r="T1152" s="81">
        <v>4090</v>
      </c>
      <c r="U1152" s="200">
        <v>60</v>
      </c>
      <c r="V1152" s="287">
        <f t="shared" ca="1" si="264"/>
        <v>9</v>
      </c>
      <c r="W1152" s="75">
        <f t="shared" ca="1" si="265"/>
        <v>465</v>
      </c>
      <c r="X1152" s="200">
        <f t="shared" ca="1" si="266"/>
        <v>4510</v>
      </c>
      <c r="Y1152" s="1"/>
      <c r="Z1152" s="31">
        <v>0.1</v>
      </c>
      <c r="AA1152" s="223">
        <v>0.09</v>
      </c>
      <c r="AB1152" s="302" t="s">
        <v>6983</v>
      </c>
      <c r="AC1152" s="302"/>
      <c r="AD1152" s="302"/>
      <c r="AE1152" s="302"/>
      <c r="AF1152">
        <f t="shared" si="250"/>
        <v>0</v>
      </c>
    </row>
    <row r="1153" spans="1:32" ht="15.75" hidden="1" thickBot="1" x14ac:dyDescent="0.3">
      <c r="A1153" s="322"/>
      <c r="D1153" s="4"/>
      <c r="E1153" s="8"/>
      <c r="F1153" s="2"/>
      <c r="G1153" s="6"/>
      <c r="H1153" s="7"/>
      <c r="I1153" s="7"/>
      <c r="J1153" s="186"/>
      <c r="K1153" s="186"/>
      <c r="L1153" s="386"/>
      <c r="M1153" s="386"/>
      <c r="N1153" s="32"/>
      <c r="O1153" s="32"/>
      <c r="P1153" s="278"/>
      <c r="Q1153" s="233"/>
      <c r="R1153" s="76">
        <v>20396</v>
      </c>
      <c r="S1153" s="76"/>
      <c r="T1153" s="76">
        <v>20396</v>
      </c>
      <c r="U1153" s="200"/>
      <c r="V1153" s="75"/>
      <c r="W1153" s="75"/>
      <c r="X1153" s="200"/>
      <c r="Y1153" s="1"/>
      <c r="Z1153" s="1"/>
      <c r="AA1153" s="219"/>
      <c r="AB1153" s="302"/>
      <c r="AC1153" s="302"/>
      <c r="AD1153" s="302"/>
      <c r="AE1153" s="302"/>
      <c r="AF1153">
        <f t="shared" si="250"/>
        <v>0</v>
      </c>
    </row>
    <row r="1154" spans="1:32" hidden="1" x14ac:dyDescent="0.25">
      <c r="A1154" s="322"/>
      <c r="D1154" s="7"/>
      <c r="E1154" s="8"/>
      <c r="F1154" s="2"/>
      <c r="G1154" s="6"/>
      <c r="H1154" s="7"/>
      <c r="I1154" s="7"/>
      <c r="J1154" s="186"/>
      <c r="K1154" s="186"/>
      <c r="L1154" s="386"/>
      <c r="M1154" s="386"/>
      <c r="N1154" s="32"/>
      <c r="O1154" s="32"/>
      <c r="P1154" s="278"/>
      <c r="Q1154" s="233"/>
      <c r="R1154" s="75"/>
      <c r="S1154" s="75"/>
      <c r="T1154" s="75"/>
      <c r="U1154" s="200"/>
      <c r="V1154" s="75"/>
      <c r="W1154" s="75"/>
      <c r="X1154" s="200"/>
      <c r="Y1154" s="1"/>
      <c r="Z1154" s="1"/>
      <c r="AA1154" s="219"/>
      <c r="AB1154" s="302"/>
      <c r="AC1154" s="302"/>
      <c r="AD1154" s="302"/>
      <c r="AE1154" s="302"/>
      <c r="AF1154">
        <f t="shared" si="250"/>
        <v>0</v>
      </c>
    </row>
    <row r="1155" spans="1:32" hidden="1" x14ac:dyDescent="0.25">
      <c r="A1155" s="322"/>
      <c r="D1155" s="7"/>
      <c r="E1155" s="8"/>
      <c r="F1155" s="2"/>
      <c r="G1155" s="6"/>
      <c r="H1155" s="7"/>
      <c r="I1155" s="7"/>
      <c r="J1155" s="186"/>
      <c r="K1155" s="186"/>
      <c r="L1155" s="386"/>
      <c r="M1155" s="386"/>
      <c r="N1155" s="32"/>
      <c r="O1155" s="32"/>
      <c r="P1155" s="278"/>
      <c r="Q1155" s="233"/>
      <c r="R1155" s="75"/>
      <c r="S1155" s="75"/>
      <c r="T1155" s="75"/>
      <c r="U1155" s="200"/>
      <c r="V1155" s="75"/>
      <c r="W1155" s="75"/>
      <c r="X1155" s="200"/>
      <c r="Y1155" s="1"/>
      <c r="Z1155" s="1"/>
      <c r="AA1155" s="219"/>
      <c r="AB1155" s="302"/>
      <c r="AC1155" s="302"/>
      <c r="AD1155" s="302"/>
      <c r="AE1155" s="302"/>
      <c r="AF1155">
        <f t="shared" si="250"/>
        <v>0</v>
      </c>
    </row>
    <row r="1156" spans="1:32" hidden="1" x14ac:dyDescent="0.25">
      <c r="A1156" s="322"/>
      <c r="D1156" s="7"/>
      <c r="E1156" s="8"/>
      <c r="F1156" s="2"/>
      <c r="G1156" s="6"/>
      <c r="H1156" s="7"/>
      <c r="I1156" s="7"/>
      <c r="J1156" s="186"/>
      <c r="K1156" s="186"/>
      <c r="L1156" s="386"/>
      <c r="M1156" s="386"/>
      <c r="N1156" s="32"/>
      <c r="O1156" s="32"/>
      <c r="P1156" s="278"/>
      <c r="Q1156" s="233" t="s">
        <v>3230</v>
      </c>
      <c r="R1156" s="75"/>
      <c r="S1156" s="75"/>
      <c r="T1156" s="75">
        <v>19960803.5</v>
      </c>
      <c r="U1156" s="200"/>
      <c r="V1156" s="75"/>
      <c r="W1156" s="75"/>
      <c r="X1156" s="200"/>
      <c r="Y1156" s="1"/>
      <c r="Z1156" s="1"/>
      <c r="AA1156" s="219"/>
      <c r="AB1156" s="302"/>
      <c r="AC1156" s="302"/>
      <c r="AD1156" s="302"/>
      <c r="AE1156" s="302"/>
      <c r="AF1156">
        <f t="shared" si="250"/>
        <v>0</v>
      </c>
    </row>
    <row r="1157" spans="1:32" hidden="1" x14ac:dyDescent="0.25">
      <c r="A1157" s="322"/>
      <c r="D1157" s="7" t="s">
        <v>3231</v>
      </c>
      <c r="E1157" s="8"/>
      <c r="F1157" s="2"/>
      <c r="G1157" s="6"/>
      <c r="H1157" s="7"/>
      <c r="I1157" s="7"/>
      <c r="J1157" s="186"/>
      <c r="K1157" s="186"/>
      <c r="L1157" s="386"/>
      <c r="M1157" s="386"/>
      <c r="N1157" s="32"/>
      <c r="O1157" s="32"/>
      <c r="P1157" s="278"/>
      <c r="Q1157" s="233"/>
      <c r="R1157" s="75"/>
      <c r="S1157" s="75"/>
      <c r="T1157" s="75">
        <v>-313523</v>
      </c>
      <c r="U1157" s="200"/>
      <c r="V1157" s="75"/>
      <c r="W1157" s="75"/>
      <c r="X1157" s="200"/>
      <c r="Y1157" s="1"/>
      <c r="Z1157" s="1"/>
      <c r="AA1157" s="219"/>
      <c r="AB1157" s="302"/>
      <c r="AC1157" s="302"/>
      <c r="AD1157" s="302"/>
      <c r="AE1157" s="302"/>
      <c r="AF1157">
        <f t="shared" si="250"/>
        <v>0</v>
      </c>
    </row>
    <row r="1158" spans="1:32" hidden="1" x14ac:dyDescent="0.25">
      <c r="A1158" s="322" t="s">
        <v>624</v>
      </c>
      <c r="B1158" s="93" t="str">
        <f>IF(COUNTIF(GIS,A1158),"YES","NO")</f>
        <v>NO</v>
      </c>
      <c r="C1158" s="93" t="s">
        <v>5503</v>
      </c>
      <c r="D1158" s="7" t="s">
        <v>3232</v>
      </c>
      <c r="E1158" s="8"/>
      <c r="F1158" s="2"/>
      <c r="G1158" s="6"/>
      <c r="H1158" s="7"/>
      <c r="I1158" s="7"/>
      <c r="J1158" s="186"/>
      <c r="K1158" s="266"/>
      <c r="L1158" s="386"/>
      <c r="M1158" s="386"/>
      <c r="N1158" s="32"/>
      <c r="O1158" s="32"/>
      <c r="P1158" s="278"/>
      <c r="Q1158" s="233"/>
      <c r="R1158" s="75"/>
      <c r="S1158" s="75"/>
      <c r="T1158" s="75">
        <v>-1905</v>
      </c>
      <c r="U1158" s="200"/>
      <c r="V1158" s="75"/>
      <c r="W1158" s="75"/>
      <c r="X1158" s="200"/>
      <c r="Y1158" s="1">
        <v>0.5</v>
      </c>
      <c r="Z1158" s="1"/>
      <c r="AA1158" s="219"/>
      <c r="AB1158" s="302"/>
      <c r="AC1158" s="302"/>
      <c r="AD1158" s="302"/>
      <c r="AE1158" s="302"/>
      <c r="AF1158">
        <f t="shared" si="250"/>
        <v>0</v>
      </c>
    </row>
    <row r="1159" spans="1:32" hidden="1" x14ac:dyDescent="0.25">
      <c r="A1159" s="322" t="s">
        <v>2764</v>
      </c>
      <c r="B1159" s="93" t="str">
        <f>IF(COUNTIF(GIS,A1159),"YES","NO")</f>
        <v>YES</v>
      </c>
      <c r="C1159" s="93" t="s">
        <v>5503</v>
      </c>
      <c r="D1159" s="7" t="s">
        <v>3233</v>
      </c>
      <c r="E1159" s="8"/>
      <c r="F1159" s="2"/>
      <c r="G1159" s="6"/>
      <c r="H1159" s="7"/>
      <c r="I1159" s="7"/>
      <c r="J1159" s="186"/>
      <c r="K1159" s="266"/>
      <c r="L1159" s="386"/>
      <c r="M1159" s="386"/>
      <c r="N1159" s="32"/>
      <c r="O1159" s="32"/>
      <c r="P1159" s="278"/>
      <c r="Q1159" s="233"/>
      <c r="R1159" s="75"/>
      <c r="S1159" s="75"/>
      <c r="T1159" s="75">
        <v>-280</v>
      </c>
      <c r="U1159" s="200"/>
      <c r="V1159" s="75"/>
      <c r="W1159" s="75"/>
      <c r="X1159" s="200"/>
      <c r="Y1159" s="1"/>
      <c r="Z1159" s="1">
        <v>0.18179999999999999</v>
      </c>
      <c r="AA1159" s="219"/>
      <c r="AB1159" s="302"/>
      <c r="AC1159" s="302"/>
      <c r="AD1159" s="302"/>
      <c r="AE1159" s="302"/>
      <c r="AF1159">
        <f t="shared" si="250"/>
        <v>0</v>
      </c>
    </row>
    <row r="1160" spans="1:32" hidden="1" x14ac:dyDescent="0.25">
      <c r="A1160" s="322" t="s">
        <v>3234</v>
      </c>
      <c r="C1160" s="93" t="s">
        <v>5503</v>
      </c>
      <c r="D1160" s="7" t="s">
        <v>3235</v>
      </c>
      <c r="E1160" s="8"/>
      <c r="F1160" s="2"/>
      <c r="G1160" s="6"/>
      <c r="H1160" s="7"/>
      <c r="I1160" s="7"/>
      <c r="J1160" s="186"/>
      <c r="K1160" s="266"/>
      <c r="L1160" s="386"/>
      <c r="M1160" s="386"/>
      <c r="N1160" s="32"/>
      <c r="O1160" s="32"/>
      <c r="P1160" s="278"/>
      <c r="Q1160" s="233"/>
      <c r="R1160" s="75"/>
      <c r="S1160" s="75"/>
      <c r="T1160" s="81">
        <v>-197.5</v>
      </c>
      <c r="U1160" s="200"/>
      <c r="V1160" s="75"/>
      <c r="W1160" s="75"/>
      <c r="X1160" s="200"/>
      <c r="Y1160" s="1"/>
      <c r="Z1160" s="1"/>
      <c r="AA1160" s="219"/>
      <c r="AB1160" s="302"/>
      <c r="AC1160" s="302"/>
      <c r="AD1160" s="302"/>
      <c r="AE1160" s="302"/>
      <c r="AF1160">
        <f t="shared" si="250"/>
        <v>0</v>
      </c>
    </row>
    <row r="1161" spans="1:32" hidden="1" x14ac:dyDescent="0.25">
      <c r="A1161" s="322"/>
      <c r="D1161" s="7"/>
      <c r="E1161" s="8"/>
      <c r="F1161" s="2"/>
      <c r="G1161" s="6"/>
      <c r="H1161" s="7"/>
      <c r="I1161" s="7"/>
      <c r="J1161" s="186"/>
      <c r="K1161" s="186"/>
      <c r="L1161" s="386"/>
      <c r="M1161" s="386"/>
      <c r="N1161" s="32"/>
      <c r="O1161" s="32"/>
      <c r="P1161" s="278"/>
      <c r="Q1161" s="233"/>
      <c r="R1161" s="75"/>
      <c r="S1161" s="75"/>
      <c r="T1161" s="75"/>
      <c r="U1161" s="200"/>
      <c r="V1161" s="75"/>
      <c r="W1161" s="75"/>
      <c r="X1161" s="200"/>
      <c r="Y1161" s="1"/>
      <c r="Z1161" s="1"/>
      <c r="AA1161" s="219"/>
      <c r="AB1161" s="302"/>
      <c r="AC1161" s="302"/>
      <c r="AD1161" s="302"/>
      <c r="AE1161" s="302"/>
      <c r="AF1161">
        <f t="shared" si="250"/>
        <v>0</v>
      </c>
    </row>
    <row r="1162" spans="1:32" hidden="1" x14ac:dyDescent="0.25">
      <c r="A1162" s="322"/>
      <c r="D1162" s="7"/>
      <c r="E1162" s="8"/>
      <c r="F1162" s="2"/>
      <c r="G1162" s="6"/>
      <c r="H1162" s="7"/>
      <c r="I1162" s="7"/>
      <c r="J1162" s="186"/>
      <c r="K1162" s="186"/>
      <c r="L1162" s="386"/>
      <c r="M1162" s="386"/>
      <c r="N1162" s="32"/>
      <c r="O1162" s="32"/>
      <c r="P1162" s="278"/>
      <c r="Q1162" s="233"/>
      <c r="R1162" s="75"/>
      <c r="S1162" s="75"/>
      <c r="T1162" s="75"/>
      <c r="U1162" s="200"/>
      <c r="V1162" s="75"/>
      <c r="W1162" s="75"/>
      <c r="X1162" s="200"/>
      <c r="Y1162" s="1"/>
      <c r="Z1162" s="1"/>
      <c r="AA1162" s="219"/>
      <c r="AB1162" s="302"/>
      <c r="AC1162" s="302"/>
      <c r="AD1162" s="302"/>
      <c r="AE1162" s="302"/>
      <c r="AF1162">
        <f t="shared" si="250"/>
        <v>0</v>
      </c>
    </row>
    <row r="1163" spans="1:32" ht="15.75" hidden="1" thickBot="1" x14ac:dyDescent="0.3">
      <c r="A1163" s="322"/>
      <c r="D1163" s="7" t="s">
        <v>3236</v>
      </c>
      <c r="E1163" s="8"/>
      <c r="F1163" s="2"/>
      <c r="G1163" s="6"/>
      <c r="H1163" s="7"/>
      <c r="I1163" s="7"/>
      <c r="J1163" s="186"/>
      <c r="K1163" s="186"/>
      <c r="L1163" s="386"/>
      <c r="M1163" s="386"/>
      <c r="N1163" s="32"/>
      <c r="O1163" s="32"/>
      <c r="P1163" s="278"/>
      <c r="Q1163" s="233" t="s">
        <v>3230</v>
      </c>
      <c r="R1163" s="75"/>
      <c r="S1163" s="75">
        <v>20111</v>
      </c>
      <c r="T1163" s="82">
        <v>19644898</v>
      </c>
      <c r="U1163" s="200"/>
      <c r="V1163" s="75"/>
      <c r="W1163" s="75"/>
      <c r="X1163" s="200"/>
      <c r="Y1163" s="1"/>
      <c r="Z1163" s="1"/>
      <c r="AA1163" s="219"/>
      <c r="AB1163" s="302"/>
      <c r="AC1163" s="302"/>
      <c r="AD1163" s="302"/>
      <c r="AE1163" s="302"/>
      <c r="AF1163">
        <f t="shared" ref="AF1163:AF1226" si="267">COUNTIF(FilterList,A1163)</f>
        <v>0</v>
      </c>
    </row>
    <row r="1164" spans="1:32" hidden="1" x14ac:dyDescent="0.25">
      <c r="A1164" s="322"/>
      <c r="D1164" s="7"/>
      <c r="E1164" s="8"/>
      <c r="F1164" s="2"/>
      <c r="G1164" s="6"/>
      <c r="H1164" s="7"/>
      <c r="I1164" s="7"/>
      <c r="J1164" s="186"/>
      <c r="K1164" s="186"/>
      <c r="L1164" s="386"/>
      <c r="M1164" s="386"/>
      <c r="N1164" s="32"/>
      <c r="O1164" s="32"/>
      <c r="P1164" s="278"/>
      <c r="Q1164" s="233"/>
      <c r="R1164" s="75"/>
      <c r="S1164" s="75"/>
      <c r="T1164" s="75"/>
      <c r="U1164" s="200"/>
      <c r="V1164" s="75"/>
      <c r="W1164" s="75"/>
      <c r="X1164" s="200"/>
      <c r="Y1164" s="1"/>
      <c r="Z1164" s="1"/>
      <c r="AA1164" s="219"/>
      <c r="AB1164" s="302"/>
      <c r="AC1164" s="302"/>
      <c r="AD1164" s="302"/>
      <c r="AE1164" s="302"/>
      <c r="AF1164">
        <f t="shared" si="267"/>
        <v>0</v>
      </c>
    </row>
    <row r="1165" spans="1:32" hidden="1" x14ac:dyDescent="0.25">
      <c r="A1165" s="322"/>
      <c r="D1165" s="7"/>
      <c r="E1165" s="8"/>
      <c r="F1165" s="2"/>
      <c r="G1165" s="6"/>
      <c r="H1165" s="7"/>
      <c r="I1165" s="7"/>
      <c r="J1165" s="186"/>
      <c r="K1165" s="186"/>
      <c r="L1165" s="386"/>
      <c r="M1165" s="386"/>
      <c r="N1165" s="32"/>
      <c r="O1165" s="32"/>
      <c r="P1165" s="278"/>
      <c r="Q1165" s="233"/>
      <c r="R1165" s="75"/>
      <c r="S1165" s="75"/>
      <c r="T1165" s="75"/>
      <c r="U1165" s="200"/>
      <c r="V1165" s="75"/>
      <c r="W1165" s="75"/>
      <c r="X1165" s="200"/>
      <c r="Y1165" s="1"/>
      <c r="Z1165" s="1"/>
      <c r="AA1165" s="219"/>
      <c r="AB1165" s="302"/>
      <c r="AC1165" s="302"/>
      <c r="AD1165" s="302"/>
      <c r="AE1165" s="302"/>
      <c r="AF1165">
        <f t="shared" si="267"/>
        <v>0</v>
      </c>
    </row>
    <row r="1166" spans="1:32" hidden="1" x14ac:dyDescent="0.25">
      <c r="A1166" s="322" t="s">
        <v>3237</v>
      </c>
      <c r="B1166" s="93" t="str">
        <f t="shared" ref="B1166:B1172" si="268">IF(COUNTIF(GIS,A1166),"YES","NO")</f>
        <v>YES</v>
      </c>
      <c r="C1166" s="93" t="s">
        <v>5503</v>
      </c>
      <c r="D1166" s="4">
        <v>40562</v>
      </c>
      <c r="E1166" s="2">
        <v>40603</v>
      </c>
      <c r="F1166" s="2">
        <f t="shared" ref="F1166:F1227" si="269">DATE(YEAR(E1166)+10,MONTH(E1166),DAY(E1166))</f>
        <v>44256</v>
      </c>
      <c r="G1166" s="27">
        <v>320</v>
      </c>
      <c r="H1166" s="7" t="s">
        <v>3238</v>
      </c>
      <c r="I1166" s="7" t="s">
        <v>512</v>
      </c>
      <c r="J1166" s="186"/>
      <c r="K1166" s="266">
        <f t="shared" ref="K1166:K1172" si="270">YEAR(F1166)</f>
        <v>2021</v>
      </c>
      <c r="L1166" s="390" t="s">
        <v>7538</v>
      </c>
      <c r="M1166" s="390" t="s">
        <v>7540</v>
      </c>
      <c r="N1166" s="32" t="s">
        <v>3239</v>
      </c>
      <c r="O1166" s="32" t="s">
        <v>3240</v>
      </c>
      <c r="P1166" s="278"/>
      <c r="Q1166" s="233"/>
      <c r="R1166" s="75"/>
      <c r="S1166" s="75"/>
      <c r="T1166" s="75">
        <v>12785</v>
      </c>
      <c r="U1166" s="200">
        <v>640</v>
      </c>
      <c r="V1166" s="287">
        <f t="shared" ref="V1166:V1172" ca="1" si="271">IF(YEAR($W$3)-YEAR(E1166)&gt;9,10,IF(MONTH($W$3)&lt;MONTH(E1166),YEAR($W$3)-YEAR(E1166),YEAR($W$3)-YEAR(E1166)+1))</f>
        <v>9</v>
      </c>
      <c r="W1166" s="75">
        <f t="shared" ref="W1166:W1172" ca="1" si="272">IF(V1166&lt;6, ROUNDUP(G1166,0)*$W$6*V1166, ROUNDUP(G1166,0)*($W$6*5 + (V1166-5)*$W$7))</f>
        <v>4960</v>
      </c>
      <c r="X1166" s="200">
        <f t="shared" ref="X1166:X1172" ca="1" si="273">IF(V1166=0,T1166,((T1166-ROUNDUP(G1166,0)*1.5)+W1166))</f>
        <v>17265</v>
      </c>
      <c r="Y1166" s="7"/>
      <c r="Z1166" s="31">
        <v>0.1</v>
      </c>
      <c r="AA1166" s="223">
        <v>0.09</v>
      </c>
      <c r="AB1166" s="302" t="s">
        <v>6984</v>
      </c>
      <c r="AC1166" s="302"/>
      <c r="AD1166" s="302"/>
      <c r="AE1166" s="302"/>
      <c r="AF1166">
        <f t="shared" si="267"/>
        <v>0</v>
      </c>
    </row>
    <row r="1167" spans="1:32" ht="26.25" x14ac:dyDescent="0.25">
      <c r="A1167" s="322" t="s">
        <v>3241</v>
      </c>
      <c r="B1167" s="93" t="str">
        <f t="shared" si="268"/>
        <v>YES</v>
      </c>
      <c r="C1167" s="93" t="s">
        <v>5503</v>
      </c>
      <c r="D1167" s="4">
        <v>40562</v>
      </c>
      <c r="E1167" s="2">
        <v>40603</v>
      </c>
      <c r="F1167" s="2">
        <f t="shared" si="269"/>
        <v>44256</v>
      </c>
      <c r="G1167" s="27">
        <v>152.34</v>
      </c>
      <c r="H1167" s="7" t="s">
        <v>3137</v>
      </c>
      <c r="I1167" s="7" t="s">
        <v>512</v>
      </c>
      <c r="J1167" s="105" t="s">
        <v>7481</v>
      </c>
      <c r="K1167" s="266">
        <f t="shared" si="270"/>
        <v>2021</v>
      </c>
      <c r="L1167" s="386"/>
      <c r="M1167" s="386"/>
      <c r="N1167" s="32" t="s">
        <v>3242</v>
      </c>
      <c r="O1167" s="32" t="s">
        <v>3243</v>
      </c>
      <c r="P1167" s="278"/>
      <c r="Q1167" s="233"/>
      <c r="R1167" s="75"/>
      <c r="S1167" s="75"/>
      <c r="T1167" s="75">
        <v>5270.5</v>
      </c>
      <c r="U1167" s="200">
        <v>306</v>
      </c>
      <c r="V1167" s="287">
        <f t="shared" ca="1" si="271"/>
        <v>9</v>
      </c>
      <c r="W1167" s="75">
        <f t="shared" ca="1" si="272"/>
        <v>2371.5</v>
      </c>
      <c r="X1167" s="200">
        <f t="shared" ca="1" si="273"/>
        <v>7412.5</v>
      </c>
      <c r="Y1167" s="7"/>
      <c r="Z1167" s="31">
        <v>0.1</v>
      </c>
      <c r="AA1167" s="223">
        <v>0.09</v>
      </c>
      <c r="AB1167" s="302" t="s">
        <v>6985</v>
      </c>
      <c r="AC1167" s="302"/>
      <c r="AD1167" s="302"/>
      <c r="AE1167" s="302"/>
      <c r="AF1167">
        <f t="shared" si="267"/>
        <v>0</v>
      </c>
    </row>
    <row r="1168" spans="1:32" ht="39" x14ac:dyDescent="0.25">
      <c r="A1168" s="322" t="s">
        <v>3244</v>
      </c>
      <c r="B1168" s="93" t="str">
        <f t="shared" si="268"/>
        <v>YES</v>
      </c>
      <c r="C1168" s="93" t="s">
        <v>5503</v>
      </c>
      <c r="D1168" s="4">
        <v>40562</v>
      </c>
      <c r="E1168" s="2">
        <v>40603</v>
      </c>
      <c r="F1168" s="2">
        <f t="shared" si="269"/>
        <v>44256</v>
      </c>
      <c r="G1168" s="27">
        <v>1004.52</v>
      </c>
      <c r="H1168" s="7" t="s">
        <v>3137</v>
      </c>
      <c r="I1168" s="7" t="s">
        <v>512</v>
      </c>
      <c r="J1168" s="186"/>
      <c r="K1168" s="266">
        <f>YEAR(F1168)</f>
        <v>2021</v>
      </c>
      <c r="L1168" s="390" t="s">
        <v>5875</v>
      </c>
      <c r="M1168" s="390" t="s">
        <v>7525</v>
      </c>
      <c r="N1168" s="32" t="s">
        <v>3242</v>
      </c>
      <c r="O1168" s="32" t="s">
        <v>3245</v>
      </c>
      <c r="P1168" s="278"/>
      <c r="Q1168" s="233"/>
      <c r="R1168" s="75"/>
      <c r="S1168" s="75"/>
      <c r="T1168" s="75">
        <v>35822.5</v>
      </c>
      <c r="U1168" s="200">
        <v>2010</v>
      </c>
      <c r="V1168" s="287">
        <f t="shared" ca="1" si="271"/>
        <v>9</v>
      </c>
      <c r="W1168" s="75">
        <f t="shared" ca="1" si="272"/>
        <v>15577.5</v>
      </c>
      <c r="X1168" s="200">
        <f t="shared" ca="1" si="273"/>
        <v>49892.5</v>
      </c>
      <c r="Y1168" s="7"/>
      <c r="Z1168" s="31">
        <v>0.1</v>
      </c>
      <c r="AA1168" s="223">
        <v>0.09</v>
      </c>
      <c r="AB1168" s="302" t="s">
        <v>6986</v>
      </c>
      <c r="AC1168" s="302"/>
      <c r="AD1168" s="302"/>
      <c r="AE1168" s="302"/>
      <c r="AF1168">
        <f t="shared" si="267"/>
        <v>0</v>
      </c>
    </row>
    <row r="1169" spans="1:32" x14ac:dyDescent="0.25">
      <c r="A1169" s="322" t="s">
        <v>3246</v>
      </c>
      <c r="B1169" s="93" t="str">
        <f t="shared" si="268"/>
        <v>YES</v>
      </c>
      <c r="C1169" s="93" t="s">
        <v>5503</v>
      </c>
      <c r="D1169" s="4">
        <v>40562</v>
      </c>
      <c r="E1169" s="2">
        <v>40603</v>
      </c>
      <c r="F1169" s="2">
        <f t="shared" si="269"/>
        <v>44256</v>
      </c>
      <c r="G1169" s="27">
        <v>40</v>
      </c>
      <c r="H1169" s="7" t="s">
        <v>3137</v>
      </c>
      <c r="I1169" s="7" t="s">
        <v>512</v>
      </c>
      <c r="J1169" s="186"/>
      <c r="K1169" s="266">
        <f t="shared" si="270"/>
        <v>2021</v>
      </c>
      <c r="L1169" s="390" t="s">
        <v>5875</v>
      </c>
      <c r="M1169" s="390" t="s">
        <v>7525</v>
      </c>
      <c r="N1169" s="32" t="s">
        <v>3242</v>
      </c>
      <c r="O1169" s="32" t="s">
        <v>3247</v>
      </c>
      <c r="P1169" s="278"/>
      <c r="Q1169" s="233"/>
      <c r="R1169" s="75"/>
      <c r="S1169" s="75"/>
      <c r="T1169" s="75">
        <v>1565</v>
      </c>
      <c r="U1169" s="200">
        <v>80</v>
      </c>
      <c r="V1169" s="287">
        <f t="shared" ca="1" si="271"/>
        <v>9</v>
      </c>
      <c r="W1169" s="75">
        <f t="shared" ca="1" si="272"/>
        <v>620</v>
      </c>
      <c r="X1169" s="200">
        <f t="shared" ca="1" si="273"/>
        <v>2125</v>
      </c>
      <c r="Y1169" s="7"/>
      <c r="Z1169" s="31">
        <v>0.1</v>
      </c>
      <c r="AA1169" s="223">
        <v>0.09</v>
      </c>
      <c r="AB1169" s="302" t="s">
        <v>6987</v>
      </c>
      <c r="AC1169" s="302"/>
      <c r="AD1169" s="302"/>
      <c r="AE1169" s="302"/>
      <c r="AF1169">
        <f t="shared" si="267"/>
        <v>0</v>
      </c>
    </row>
    <row r="1170" spans="1:32" ht="26.25" hidden="1" x14ac:dyDescent="0.25">
      <c r="A1170" s="322" t="s">
        <v>3248</v>
      </c>
      <c r="B1170" s="93" t="str">
        <f t="shared" si="268"/>
        <v>YES</v>
      </c>
      <c r="C1170" s="93" t="s">
        <v>5503</v>
      </c>
      <c r="D1170" s="4">
        <v>40562</v>
      </c>
      <c r="E1170" s="2">
        <v>40603</v>
      </c>
      <c r="F1170" s="2">
        <f t="shared" si="269"/>
        <v>44256</v>
      </c>
      <c r="G1170" s="27">
        <v>1420.87</v>
      </c>
      <c r="H1170" s="7" t="s">
        <v>3249</v>
      </c>
      <c r="I1170" s="7" t="s">
        <v>512</v>
      </c>
      <c r="J1170" s="186"/>
      <c r="K1170" s="266">
        <f t="shared" si="270"/>
        <v>2021</v>
      </c>
      <c r="L1170" s="390" t="s">
        <v>5698</v>
      </c>
      <c r="M1170" s="390" t="s">
        <v>7541</v>
      </c>
      <c r="N1170" s="32" t="s">
        <v>3250</v>
      </c>
      <c r="O1170" s="32" t="s">
        <v>3251</v>
      </c>
      <c r="P1170" s="278"/>
      <c r="Q1170" s="233"/>
      <c r="R1170" s="75"/>
      <c r="S1170" s="75"/>
      <c r="T1170" s="75">
        <v>194111.5</v>
      </c>
      <c r="U1170" s="200">
        <v>2842</v>
      </c>
      <c r="V1170" s="287">
        <f t="shared" ca="1" si="271"/>
        <v>9</v>
      </c>
      <c r="W1170" s="75">
        <f t="shared" ca="1" si="272"/>
        <v>22025.5</v>
      </c>
      <c r="X1170" s="200">
        <f t="shared" ca="1" si="273"/>
        <v>214005.5</v>
      </c>
      <c r="Y1170" s="7"/>
      <c r="Z1170" s="31">
        <v>0.1</v>
      </c>
      <c r="AA1170" s="223">
        <v>0.09</v>
      </c>
      <c r="AB1170" s="302" t="s">
        <v>6988</v>
      </c>
      <c r="AC1170" s="302"/>
      <c r="AD1170" s="302"/>
      <c r="AE1170" s="302"/>
      <c r="AF1170">
        <f t="shared" si="267"/>
        <v>0</v>
      </c>
    </row>
    <row r="1171" spans="1:32" ht="26.25" hidden="1" x14ac:dyDescent="0.25">
      <c r="A1171" s="322" t="s">
        <v>3252</v>
      </c>
      <c r="B1171" s="93" t="str">
        <f t="shared" si="268"/>
        <v>YES</v>
      </c>
      <c r="C1171" s="93" t="s">
        <v>5503</v>
      </c>
      <c r="D1171" s="4">
        <v>40562</v>
      </c>
      <c r="E1171" s="2">
        <v>40603</v>
      </c>
      <c r="F1171" s="2">
        <f t="shared" si="269"/>
        <v>44256</v>
      </c>
      <c r="G1171" s="27">
        <v>240</v>
      </c>
      <c r="H1171" s="7" t="s">
        <v>3249</v>
      </c>
      <c r="I1171" s="7" t="s">
        <v>512</v>
      </c>
      <c r="J1171" s="186"/>
      <c r="K1171" s="266">
        <f t="shared" si="270"/>
        <v>2021</v>
      </c>
      <c r="L1171" s="390" t="s">
        <v>5698</v>
      </c>
      <c r="M1171" s="390" t="s">
        <v>7541</v>
      </c>
      <c r="N1171" s="32" t="s">
        <v>3250</v>
      </c>
      <c r="O1171" s="32" t="s">
        <v>3253</v>
      </c>
      <c r="P1171" s="278"/>
      <c r="Q1171" s="233"/>
      <c r="R1171" s="75"/>
      <c r="S1171" s="75"/>
      <c r="T1171" s="75">
        <v>24505</v>
      </c>
      <c r="U1171" s="200">
        <v>480</v>
      </c>
      <c r="V1171" s="287">
        <f t="shared" ca="1" si="271"/>
        <v>9</v>
      </c>
      <c r="W1171" s="75">
        <f t="shared" ca="1" si="272"/>
        <v>3720</v>
      </c>
      <c r="X1171" s="200">
        <f t="shared" ca="1" si="273"/>
        <v>27865</v>
      </c>
      <c r="Y1171" s="7"/>
      <c r="Z1171" s="31">
        <v>0.1</v>
      </c>
      <c r="AA1171" s="223">
        <v>0.09</v>
      </c>
      <c r="AB1171" s="302" t="s">
        <v>6989</v>
      </c>
      <c r="AC1171" s="302"/>
      <c r="AD1171" s="302"/>
      <c r="AE1171" s="302"/>
      <c r="AF1171">
        <f t="shared" si="267"/>
        <v>0</v>
      </c>
    </row>
    <row r="1172" spans="1:32" ht="26.25" hidden="1" x14ac:dyDescent="0.25">
      <c r="A1172" s="322" t="s">
        <v>3254</v>
      </c>
      <c r="B1172" s="93" t="str">
        <f t="shared" si="268"/>
        <v>YES</v>
      </c>
      <c r="C1172" s="93" t="s">
        <v>5503</v>
      </c>
      <c r="D1172" s="4">
        <v>40562</v>
      </c>
      <c r="E1172" s="2">
        <v>40603</v>
      </c>
      <c r="F1172" s="2">
        <f t="shared" si="269"/>
        <v>44256</v>
      </c>
      <c r="G1172" s="27">
        <v>274.89</v>
      </c>
      <c r="H1172" s="7" t="s">
        <v>3255</v>
      </c>
      <c r="I1172" s="7" t="s">
        <v>15</v>
      </c>
      <c r="J1172" s="186"/>
      <c r="K1172" s="266">
        <f t="shared" si="270"/>
        <v>2021</v>
      </c>
      <c r="L1172" s="390"/>
      <c r="M1172" s="390"/>
      <c r="N1172" s="32" t="s">
        <v>3256</v>
      </c>
      <c r="O1172" s="32" t="s">
        <v>3257</v>
      </c>
      <c r="P1172" s="278" t="s">
        <v>3258</v>
      </c>
      <c r="Q1172" s="233"/>
      <c r="R1172" s="75"/>
      <c r="S1172" s="75"/>
      <c r="T1172" s="81">
        <v>110557.5</v>
      </c>
      <c r="U1172" s="200">
        <v>550</v>
      </c>
      <c r="V1172" s="287">
        <f t="shared" ca="1" si="271"/>
        <v>9</v>
      </c>
      <c r="W1172" s="75">
        <f t="shared" ca="1" si="272"/>
        <v>4262.5</v>
      </c>
      <c r="X1172" s="200">
        <f t="shared" ca="1" si="273"/>
        <v>114407.5</v>
      </c>
      <c r="Y1172" s="7"/>
      <c r="Z1172" s="31">
        <v>0.1</v>
      </c>
      <c r="AA1172" s="223">
        <v>0.09</v>
      </c>
      <c r="AB1172" s="302" t="s">
        <v>6990</v>
      </c>
      <c r="AC1172" s="302"/>
      <c r="AD1172" s="302"/>
      <c r="AE1172" s="302"/>
      <c r="AF1172">
        <f t="shared" si="267"/>
        <v>0</v>
      </c>
    </row>
    <row r="1173" spans="1:32" ht="15.75" hidden="1" thickBot="1" x14ac:dyDescent="0.3">
      <c r="A1173" s="322"/>
      <c r="D1173" s="7"/>
      <c r="E1173" s="8"/>
      <c r="F1173" s="2"/>
      <c r="G1173" s="7"/>
      <c r="H1173" s="7"/>
      <c r="I1173" s="7"/>
      <c r="J1173" s="186"/>
      <c r="K1173" s="186"/>
      <c r="L1173" s="386"/>
      <c r="M1173" s="386"/>
      <c r="N1173" s="32"/>
      <c r="O1173" s="32"/>
      <c r="P1173" s="278"/>
      <c r="Q1173" s="233"/>
      <c r="R1173" s="75"/>
      <c r="S1173" s="75"/>
      <c r="T1173" s="76">
        <v>384617</v>
      </c>
      <c r="U1173" s="200"/>
      <c r="V1173" s="75"/>
      <c r="W1173" s="75"/>
      <c r="X1173" s="200"/>
      <c r="Y1173" s="7"/>
      <c r="Z1173" s="31"/>
      <c r="AA1173" s="223"/>
      <c r="AB1173" s="302"/>
      <c r="AC1173" s="302"/>
      <c r="AD1173" s="302"/>
      <c r="AE1173" s="302"/>
      <c r="AF1173">
        <f t="shared" si="267"/>
        <v>0</v>
      </c>
    </row>
    <row r="1174" spans="1:32" hidden="1" x14ac:dyDescent="0.25">
      <c r="A1174" s="322"/>
      <c r="D1174" s="7"/>
      <c r="E1174" s="8"/>
      <c r="F1174" s="2"/>
      <c r="G1174" s="7"/>
      <c r="H1174" s="7"/>
      <c r="I1174" s="7"/>
      <c r="J1174" s="186"/>
      <c r="K1174" s="186"/>
      <c r="L1174" s="386"/>
      <c r="M1174" s="386"/>
      <c r="N1174" s="32"/>
      <c r="O1174" s="32"/>
      <c r="P1174" s="278"/>
      <c r="Q1174" s="233" t="s">
        <v>3259</v>
      </c>
      <c r="R1174" s="75">
        <v>13104</v>
      </c>
      <c r="S1174" s="75">
        <v>85896</v>
      </c>
      <c r="T1174" s="75">
        <v>99000</v>
      </c>
      <c r="U1174" s="200"/>
      <c r="V1174" s="75"/>
      <c r="W1174" s="75"/>
      <c r="X1174" s="200"/>
      <c r="Y1174" s="7"/>
      <c r="Z1174" s="31"/>
      <c r="AA1174" s="223"/>
      <c r="AB1174" s="302"/>
      <c r="AC1174" s="302"/>
      <c r="AD1174" s="302"/>
      <c r="AE1174" s="302"/>
      <c r="AF1174">
        <f t="shared" si="267"/>
        <v>0</v>
      </c>
    </row>
    <row r="1175" spans="1:32" hidden="1" x14ac:dyDescent="0.25">
      <c r="A1175" s="322"/>
      <c r="D1175" s="7"/>
      <c r="E1175" s="8"/>
      <c r="F1175" s="2"/>
      <c r="G1175" s="7"/>
      <c r="H1175" s="7"/>
      <c r="I1175" s="7"/>
      <c r="J1175" s="186"/>
      <c r="K1175" s="186"/>
      <c r="L1175" s="386"/>
      <c r="M1175" s="386"/>
      <c r="N1175" s="32"/>
      <c r="O1175" s="32"/>
      <c r="P1175" s="278"/>
      <c r="Q1175" s="233" t="s">
        <v>3260</v>
      </c>
      <c r="R1175" s="75"/>
      <c r="S1175" s="75">
        <v>285617</v>
      </c>
      <c r="T1175" s="75">
        <v>285617</v>
      </c>
      <c r="U1175" s="200"/>
      <c r="V1175" s="75"/>
      <c r="W1175" s="75"/>
      <c r="X1175" s="200"/>
      <c r="Y1175" s="7"/>
      <c r="Z1175" s="31"/>
      <c r="AA1175" s="223"/>
      <c r="AB1175" s="302"/>
      <c r="AC1175" s="302"/>
      <c r="AD1175" s="302"/>
      <c r="AE1175" s="302"/>
      <c r="AF1175">
        <f t="shared" si="267"/>
        <v>0</v>
      </c>
    </row>
    <row r="1176" spans="1:32" ht="15.75" hidden="1" thickBot="1" x14ac:dyDescent="0.3">
      <c r="A1176" s="322"/>
      <c r="D1176" s="7"/>
      <c r="E1176" s="8"/>
      <c r="F1176" s="2"/>
      <c r="G1176" s="7"/>
      <c r="H1176" s="7"/>
      <c r="I1176" s="7"/>
      <c r="J1176" s="186"/>
      <c r="K1176" s="186"/>
      <c r="L1176" s="386"/>
      <c r="M1176" s="386"/>
      <c r="N1176" s="32"/>
      <c r="O1176" s="32"/>
      <c r="P1176" s="278"/>
      <c r="Q1176" s="233"/>
      <c r="R1176" s="75"/>
      <c r="S1176" s="75"/>
      <c r="T1176" s="76">
        <v>384617</v>
      </c>
      <c r="U1176" s="200"/>
      <c r="V1176" s="75"/>
      <c r="W1176" s="75"/>
      <c r="X1176" s="200"/>
      <c r="Y1176" s="7"/>
      <c r="Z1176" s="31"/>
      <c r="AA1176" s="223"/>
      <c r="AB1176" s="302"/>
      <c r="AC1176" s="302"/>
      <c r="AD1176" s="302"/>
      <c r="AE1176" s="302"/>
      <c r="AF1176">
        <f t="shared" si="267"/>
        <v>0</v>
      </c>
    </row>
    <row r="1177" spans="1:32" hidden="1" x14ac:dyDescent="0.25">
      <c r="A1177" s="322"/>
      <c r="D1177" s="7"/>
      <c r="E1177" s="8"/>
      <c r="F1177" s="2"/>
      <c r="G1177" s="7"/>
      <c r="H1177" s="7"/>
      <c r="I1177" s="7"/>
      <c r="J1177" s="186"/>
      <c r="K1177" s="186"/>
      <c r="L1177" s="386"/>
      <c r="M1177" s="386"/>
      <c r="N1177" s="32"/>
      <c r="O1177" s="32"/>
      <c r="P1177" s="278"/>
      <c r="Q1177" s="233"/>
      <c r="R1177" s="75"/>
      <c r="S1177" s="75"/>
      <c r="T1177" s="75"/>
      <c r="U1177" s="200"/>
      <c r="V1177" s="75"/>
      <c r="W1177" s="75"/>
      <c r="X1177" s="200"/>
      <c r="Y1177" s="7"/>
      <c r="Z1177" s="31"/>
      <c r="AA1177" s="223"/>
      <c r="AB1177" s="302"/>
      <c r="AC1177" s="302"/>
      <c r="AD1177" s="302"/>
      <c r="AE1177" s="302"/>
      <c r="AF1177">
        <f t="shared" si="267"/>
        <v>0</v>
      </c>
    </row>
    <row r="1178" spans="1:32" ht="26.25" hidden="1" x14ac:dyDescent="0.25">
      <c r="A1178" s="322" t="s">
        <v>3261</v>
      </c>
      <c r="B1178" s="93" t="str">
        <f>IF(COUNTIF(GIS,A1178),"YES","NO")</f>
        <v>NO</v>
      </c>
      <c r="C1178" s="93" t="s">
        <v>5503</v>
      </c>
      <c r="D1178" s="4">
        <v>38435</v>
      </c>
      <c r="E1178" s="2">
        <v>38504</v>
      </c>
      <c r="F1178" s="2">
        <f t="shared" si="269"/>
        <v>42156</v>
      </c>
      <c r="G1178" s="27">
        <v>102.45</v>
      </c>
      <c r="H1178" s="7" t="s">
        <v>3262</v>
      </c>
      <c r="I1178" s="7" t="s">
        <v>79</v>
      </c>
      <c r="J1178" s="105" t="s">
        <v>5184</v>
      </c>
      <c r="K1178" s="266">
        <f>YEAR(F1178)</f>
        <v>2015</v>
      </c>
      <c r="L1178" s="381"/>
      <c r="M1178" s="381"/>
      <c r="N1178" s="115"/>
      <c r="O1178" s="32" t="s">
        <v>3263</v>
      </c>
      <c r="P1178" s="278"/>
      <c r="Q1178" s="234"/>
      <c r="S1178" s="75"/>
      <c r="T1178" s="75">
        <v>1536.75</v>
      </c>
      <c r="U1178" s="200">
        <v>206</v>
      </c>
      <c r="V1178" s="287">
        <f ca="1">IF(YEAR($W$3)-YEAR(E1178)&gt;9,10,IF(MONTH($W$3)&lt;MONTH(E1178),YEAR($W$3)-YEAR(E1178),YEAR($W$3)-YEAR(E1178)+1))</f>
        <v>10</v>
      </c>
      <c r="W1178" s="75">
        <f t="shared" ref="W1178:W1179" ca="1" si="274">IF(V1178&lt;6, ROUNDUP(G1178,0)*$W$6*V1178, ROUNDUP(G1178,0)*($W$6*5 + (V1178-5)*$W$7))</f>
        <v>1802.5</v>
      </c>
      <c r="X1178" s="200">
        <f t="shared" ref="X1178:X1179" ca="1" si="275">IF(V1178=0,T1178,((T1178-ROUNDUP(G1178,0)*1.5)+W1178))</f>
        <v>3184.75</v>
      </c>
      <c r="Y1178" s="7"/>
      <c r="Z1178" s="31">
        <v>0.1</v>
      </c>
      <c r="AA1178" s="223">
        <v>0.09</v>
      </c>
      <c r="AB1178" s="302"/>
      <c r="AC1178" s="302"/>
      <c r="AD1178" s="302"/>
      <c r="AE1178" s="302"/>
      <c r="AF1178">
        <f t="shared" si="267"/>
        <v>0</v>
      </c>
    </row>
    <row r="1179" spans="1:32" ht="26.25" hidden="1" x14ac:dyDescent="0.25">
      <c r="A1179" s="322" t="s">
        <v>3264</v>
      </c>
      <c r="B1179" s="93" t="str">
        <f>IF(COUNTIF(GIS,A1179),"YES","NO")</f>
        <v>NO</v>
      </c>
      <c r="C1179" s="93" t="s">
        <v>5503</v>
      </c>
      <c r="D1179" s="4">
        <v>38435</v>
      </c>
      <c r="E1179" s="2">
        <v>38504</v>
      </c>
      <c r="F1179" s="2">
        <f t="shared" si="269"/>
        <v>42156</v>
      </c>
      <c r="G1179" s="27">
        <v>912.84</v>
      </c>
      <c r="H1179" s="7" t="s">
        <v>3262</v>
      </c>
      <c r="I1179" s="7" t="s">
        <v>79</v>
      </c>
      <c r="J1179" s="105" t="s">
        <v>5184</v>
      </c>
      <c r="K1179" s="266">
        <f>YEAR(F1179)</f>
        <v>2015</v>
      </c>
      <c r="L1179" s="381"/>
      <c r="M1179" s="381"/>
      <c r="N1179" s="115"/>
      <c r="O1179" s="32" t="s">
        <v>3265</v>
      </c>
      <c r="P1179" s="278"/>
      <c r="Q1179" s="234"/>
      <c r="S1179" s="75"/>
      <c r="T1179" s="75">
        <v>13692.6</v>
      </c>
      <c r="U1179" s="200">
        <v>1826</v>
      </c>
      <c r="V1179" s="287">
        <f ca="1">IF(YEAR($W$3)-YEAR(E1179)&gt;9,10,IF(MONTH($W$3)&lt;MONTH(E1179),YEAR($W$3)-YEAR(E1179),YEAR($W$3)-YEAR(E1179)+1))</f>
        <v>10</v>
      </c>
      <c r="W1179" s="75">
        <f t="shared" ca="1" si="274"/>
        <v>15977.5</v>
      </c>
      <c r="X1179" s="200">
        <f t="shared" ca="1" si="275"/>
        <v>28300.6</v>
      </c>
      <c r="Y1179" s="7"/>
      <c r="Z1179" s="31">
        <v>0.1</v>
      </c>
      <c r="AA1179" s="223">
        <v>0.09</v>
      </c>
      <c r="AB1179" s="302"/>
      <c r="AC1179" s="302"/>
      <c r="AD1179" s="302"/>
      <c r="AE1179" s="302"/>
      <c r="AF1179">
        <f t="shared" si="267"/>
        <v>0</v>
      </c>
    </row>
    <row r="1180" spans="1:32" ht="15.75" hidden="1" thickBot="1" x14ac:dyDescent="0.3">
      <c r="A1180" s="322"/>
      <c r="D1180" s="7"/>
      <c r="E1180" s="8"/>
      <c r="F1180" s="2"/>
      <c r="G1180" s="7"/>
      <c r="H1180" s="7"/>
      <c r="I1180" s="7"/>
      <c r="J1180" s="105" t="s">
        <v>4825</v>
      </c>
      <c r="K1180" s="105"/>
      <c r="L1180" s="381"/>
      <c r="M1180" s="381"/>
      <c r="N1180" s="115"/>
      <c r="O1180" s="32"/>
      <c r="P1180" s="278"/>
      <c r="Q1180" s="233"/>
      <c r="T1180" s="76">
        <v>15229.35</v>
      </c>
      <c r="U1180" s="200"/>
      <c r="V1180" s="75"/>
      <c r="W1180" s="75"/>
      <c r="X1180" s="200"/>
      <c r="Y1180" s="7"/>
      <c r="Z1180" s="31"/>
      <c r="AA1180" s="223"/>
      <c r="AB1180" s="302"/>
      <c r="AC1180" s="302"/>
      <c r="AD1180" s="302"/>
      <c r="AE1180" s="302"/>
      <c r="AF1180">
        <f t="shared" si="267"/>
        <v>0</v>
      </c>
    </row>
    <row r="1181" spans="1:32" hidden="1" x14ac:dyDescent="0.25">
      <c r="A1181" s="322"/>
      <c r="D1181" s="7"/>
      <c r="E1181" s="8"/>
      <c r="F1181" s="2"/>
      <c r="G1181" s="7"/>
      <c r="H1181" s="7"/>
      <c r="I1181" s="7"/>
      <c r="J1181" s="186"/>
      <c r="K1181" s="186"/>
      <c r="L1181" s="386"/>
      <c r="M1181" s="386"/>
      <c r="N1181" s="32"/>
      <c r="O1181" s="32"/>
      <c r="P1181" s="278"/>
      <c r="Q1181" s="233"/>
      <c r="R1181" s="75"/>
      <c r="S1181" s="75"/>
      <c r="T1181" s="75"/>
      <c r="U1181" s="200"/>
      <c r="V1181" s="75"/>
      <c r="W1181" s="75"/>
      <c r="X1181" s="200"/>
      <c r="Y1181" s="7"/>
      <c r="Z1181" s="7"/>
      <c r="AA1181" s="221"/>
      <c r="AB1181" s="302"/>
      <c r="AC1181" s="302"/>
      <c r="AD1181" s="302"/>
      <c r="AE1181" s="302"/>
      <c r="AF1181">
        <f t="shared" si="267"/>
        <v>0</v>
      </c>
    </row>
    <row r="1182" spans="1:32" hidden="1" x14ac:dyDescent="0.25">
      <c r="A1182" s="322"/>
      <c r="D1182" s="7"/>
      <c r="E1182" s="8"/>
      <c r="F1182" s="2"/>
      <c r="G1182" s="7"/>
      <c r="H1182" s="10"/>
      <c r="I1182" s="7"/>
      <c r="J1182" s="186"/>
      <c r="K1182" s="186"/>
      <c r="L1182" s="386"/>
      <c r="M1182" s="386"/>
      <c r="N1182" s="32"/>
      <c r="O1182" s="32"/>
      <c r="P1182" s="278"/>
      <c r="Q1182" s="233"/>
      <c r="R1182" s="75"/>
      <c r="S1182" s="75"/>
      <c r="T1182" s="75"/>
      <c r="U1182" s="200"/>
      <c r="V1182" s="75"/>
      <c r="W1182" s="75"/>
      <c r="X1182" s="200"/>
      <c r="Y1182" s="7"/>
      <c r="Z1182" s="7"/>
      <c r="AA1182" s="221"/>
      <c r="AB1182" s="302"/>
      <c r="AC1182" s="302"/>
      <c r="AD1182" s="302"/>
      <c r="AE1182" s="302"/>
      <c r="AF1182">
        <f t="shared" si="267"/>
        <v>0</v>
      </c>
    </row>
    <row r="1183" spans="1:32" ht="26.25" hidden="1" x14ac:dyDescent="0.25">
      <c r="A1183" s="322" t="s">
        <v>3266</v>
      </c>
      <c r="B1183" s="93" t="str">
        <f t="shared" ref="B1183:B1214" si="276">IF(COUNTIF(GIS,A1183),"YES","NO")</f>
        <v>YES</v>
      </c>
      <c r="C1183" s="93" t="s">
        <v>5503</v>
      </c>
      <c r="D1183" s="4">
        <v>40619</v>
      </c>
      <c r="E1183" s="2">
        <v>40664</v>
      </c>
      <c r="F1183" s="2">
        <f t="shared" si="269"/>
        <v>44317</v>
      </c>
      <c r="G1183" s="27">
        <v>507.45</v>
      </c>
      <c r="H1183" s="7" t="s">
        <v>3267</v>
      </c>
      <c r="I1183" s="7" t="s">
        <v>308</v>
      </c>
      <c r="J1183" s="109" t="s">
        <v>1613</v>
      </c>
      <c r="K1183" s="266">
        <f t="shared" ref="K1183:K1214" si="277">YEAR(F1183)</f>
        <v>2021</v>
      </c>
      <c r="L1183" s="391" t="s">
        <v>5910</v>
      </c>
      <c r="M1183" s="391" t="s">
        <v>7595</v>
      </c>
      <c r="N1183" s="32" t="s">
        <v>3268</v>
      </c>
      <c r="O1183" s="32" t="s">
        <v>3269</v>
      </c>
      <c r="P1183" s="278" t="s">
        <v>3270</v>
      </c>
      <c r="Q1183" s="233"/>
      <c r="R1183" s="75">
        <v>1923</v>
      </c>
      <c r="S1183" s="75">
        <v>9144</v>
      </c>
      <c r="T1183" s="75">
        <v>11067</v>
      </c>
      <c r="U1183" s="200">
        <v>762</v>
      </c>
      <c r="V1183" s="287">
        <f t="shared" ref="V1183:V1214" ca="1" si="278">IF(YEAR($W$3)-YEAR(E1183)&gt;9,10,IF(MONTH($W$3)&lt;MONTH(E1183),YEAR($W$3)-YEAR(E1183),YEAR($W$3)-YEAR(E1183)+1))</f>
        <v>9</v>
      </c>
      <c r="W1183" s="75">
        <f t="shared" ref="W1183:W1214" ca="1" si="279">IF(V1183&lt;6, ROUNDUP(G1183,0)*$W$6*V1183, ROUNDUP(G1183,0)*($W$6*5 + (V1183-5)*$W$7))</f>
        <v>7874</v>
      </c>
      <c r="X1183" s="200">
        <f t="shared" ref="X1183:X1246" ca="1" si="280">IF(V1183=0,T1183,((T1183-ROUNDUP(G1183,0)*1.5)+W1183))</f>
        <v>18179</v>
      </c>
      <c r="Y1183" s="7"/>
      <c r="Z1183" s="31">
        <v>0.1</v>
      </c>
      <c r="AA1183" s="223">
        <v>0.09</v>
      </c>
      <c r="AB1183" s="302" t="s">
        <v>6317</v>
      </c>
      <c r="AC1183" s="308">
        <v>43536</v>
      </c>
      <c r="AD1183" s="309">
        <v>0.25</v>
      </c>
      <c r="AE1183" s="302" t="s">
        <v>7509</v>
      </c>
      <c r="AF1183">
        <f t="shared" si="267"/>
        <v>0</v>
      </c>
    </row>
    <row r="1184" spans="1:32" ht="39" hidden="1" x14ac:dyDescent="0.25">
      <c r="A1184" s="322" t="s">
        <v>3271</v>
      </c>
      <c r="B1184" s="93" t="str">
        <f t="shared" si="276"/>
        <v>YES</v>
      </c>
      <c r="C1184" s="93" t="s">
        <v>5503</v>
      </c>
      <c r="D1184" s="4">
        <v>40619</v>
      </c>
      <c r="E1184" s="2">
        <v>40664</v>
      </c>
      <c r="F1184" s="2">
        <f t="shared" si="269"/>
        <v>44317</v>
      </c>
      <c r="G1184" s="27">
        <v>734.12</v>
      </c>
      <c r="H1184" s="7" t="s">
        <v>3272</v>
      </c>
      <c r="I1184" s="7" t="s">
        <v>308</v>
      </c>
      <c r="J1184" s="186"/>
      <c r="K1184" s="266">
        <f t="shared" si="277"/>
        <v>2021</v>
      </c>
      <c r="L1184" s="390" t="s">
        <v>5561</v>
      </c>
      <c r="M1184" s="390" t="s">
        <v>5562</v>
      </c>
      <c r="N1184" s="32" t="s">
        <v>3273</v>
      </c>
      <c r="O1184" s="32" t="s">
        <v>3274</v>
      </c>
      <c r="P1184" s="278" t="s">
        <v>3275</v>
      </c>
      <c r="Q1184" s="233" t="s">
        <v>6289</v>
      </c>
      <c r="R1184" s="75">
        <v>2717.5</v>
      </c>
      <c r="S1184" s="75"/>
      <c r="T1184" s="75">
        <v>2717.5</v>
      </c>
      <c r="U1184" s="200">
        <v>1102.5</v>
      </c>
      <c r="V1184" s="287">
        <f t="shared" ca="1" si="278"/>
        <v>9</v>
      </c>
      <c r="W1184" s="75">
        <f t="shared" ca="1" si="279"/>
        <v>11392.5</v>
      </c>
      <c r="X1184" s="200">
        <f t="shared" ca="1" si="280"/>
        <v>13007.5</v>
      </c>
      <c r="Y1184" s="7"/>
      <c r="Z1184" s="31">
        <v>0.1</v>
      </c>
      <c r="AA1184" s="223">
        <v>0.09</v>
      </c>
      <c r="AB1184" s="302" t="s">
        <v>6290</v>
      </c>
      <c r="AC1184" s="302"/>
      <c r="AD1184" s="302"/>
      <c r="AE1184" s="302"/>
      <c r="AF1184">
        <f t="shared" si="267"/>
        <v>0</v>
      </c>
    </row>
    <row r="1185" spans="1:32" ht="51.75" hidden="1" x14ac:dyDescent="0.25">
      <c r="A1185" s="322" t="s">
        <v>3276</v>
      </c>
      <c r="B1185" s="93" t="str">
        <f t="shared" si="276"/>
        <v>YES</v>
      </c>
      <c r="C1185" s="93" t="s">
        <v>5503</v>
      </c>
      <c r="D1185" s="4">
        <v>40619</v>
      </c>
      <c r="E1185" s="2">
        <v>40664</v>
      </c>
      <c r="F1185" s="2">
        <f t="shared" si="269"/>
        <v>44317</v>
      </c>
      <c r="G1185" s="27">
        <v>34.549999999999997</v>
      </c>
      <c r="H1185" s="7" t="s">
        <v>3272</v>
      </c>
      <c r="I1185" s="7" t="s">
        <v>308</v>
      </c>
      <c r="J1185" s="186"/>
      <c r="K1185" s="266">
        <f t="shared" si="277"/>
        <v>2021</v>
      </c>
      <c r="L1185" s="390" t="s">
        <v>5561</v>
      </c>
      <c r="M1185" s="390" t="s">
        <v>5562</v>
      </c>
      <c r="N1185" s="32" t="s">
        <v>3273</v>
      </c>
      <c r="O1185" s="32" t="s">
        <v>3277</v>
      </c>
      <c r="P1185" s="278" t="s">
        <v>3278</v>
      </c>
      <c r="Q1185" s="233" t="s">
        <v>6291</v>
      </c>
      <c r="R1185" s="75">
        <v>267.5</v>
      </c>
      <c r="S1185" s="75"/>
      <c r="T1185" s="75">
        <v>267.5</v>
      </c>
      <c r="U1185" s="200">
        <v>52.5</v>
      </c>
      <c r="V1185" s="287">
        <f t="shared" ca="1" si="278"/>
        <v>9</v>
      </c>
      <c r="W1185" s="75">
        <f t="shared" ca="1" si="279"/>
        <v>542.5</v>
      </c>
      <c r="X1185" s="200">
        <f t="shared" ca="1" si="280"/>
        <v>757.5</v>
      </c>
      <c r="Y1185" s="7"/>
      <c r="Z1185" s="31">
        <v>0.1</v>
      </c>
      <c r="AA1185" s="223">
        <v>0.09</v>
      </c>
      <c r="AB1185" s="302" t="s">
        <v>6292</v>
      </c>
      <c r="AC1185" s="302"/>
      <c r="AD1185" s="302"/>
      <c r="AE1185" s="302"/>
      <c r="AF1185">
        <f t="shared" si="267"/>
        <v>0</v>
      </c>
    </row>
    <row r="1186" spans="1:32" ht="39" hidden="1" customHeight="1" x14ac:dyDescent="0.25">
      <c r="A1186" s="322" t="s">
        <v>3279</v>
      </c>
      <c r="B1186" s="93" t="str">
        <f t="shared" si="276"/>
        <v>YES</v>
      </c>
      <c r="C1186" s="93" t="s">
        <v>5503</v>
      </c>
      <c r="D1186" s="4">
        <v>40619</v>
      </c>
      <c r="E1186" s="2">
        <v>40664</v>
      </c>
      <c r="F1186" s="2">
        <f t="shared" si="269"/>
        <v>44317</v>
      </c>
      <c r="G1186" s="27">
        <v>558.03</v>
      </c>
      <c r="H1186" s="7" t="s">
        <v>287</v>
      </c>
      <c r="I1186" s="7" t="s">
        <v>72</v>
      </c>
      <c r="J1186" s="186"/>
      <c r="K1186" s="266">
        <f t="shared" si="277"/>
        <v>2021</v>
      </c>
      <c r="L1186" s="390" t="s">
        <v>5793</v>
      </c>
      <c r="M1186" s="390" t="s">
        <v>7596</v>
      </c>
      <c r="N1186" s="32" t="s">
        <v>3280</v>
      </c>
      <c r="O1186" s="32" t="s">
        <v>3281</v>
      </c>
      <c r="P1186" s="278" t="s">
        <v>3282</v>
      </c>
      <c r="Q1186" s="233"/>
      <c r="R1186" s="75">
        <v>2101.5</v>
      </c>
      <c r="S1186" s="75"/>
      <c r="T1186" s="75">
        <v>2101.5</v>
      </c>
      <c r="U1186" s="200">
        <v>838.5</v>
      </c>
      <c r="V1186" s="287">
        <f t="shared" ca="1" si="278"/>
        <v>9</v>
      </c>
      <c r="W1186" s="75">
        <f t="shared" ca="1" si="279"/>
        <v>8664.5</v>
      </c>
      <c r="X1186" s="200">
        <f t="shared" ca="1" si="280"/>
        <v>9927.5</v>
      </c>
      <c r="Y1186" s="7"/>
      <c r="Z1186" s="31">
        <v>0.1</v>
      </c>
      <c r="AA1186" s="223">
        <v>0.09</v>
      </c>
      <c r="AB1186" s="302" t="s">
        <v>6375</v>
      </c>
      <c r="AC1186" s="302"/>
      <c r="AD1186" s="302"/>
      <c r="AE1186" s="302"/>
      <c r="AF1186">
        <f t="shared" si="267"/>
        <v>0</v>
      </c>
    </row>
    <row r="1187" spans="1:32" ht="39" hidden="1" x14ac:dyDescent="0.25">
      <c r="A1187" s="322" t="s">
        <v>3283</v>
      </c>
      <c r="B1187" s="93" t="str">
        <f t="shared" si="276"/>
        <v>YES</v>
      </c>
      <c r="C1187" s="93" t="s">
        <v>5503</v>
      </c>
      <c r="D1187" s="4">
        <v>40619</v>
      </c>
      <c r="E1187" s="2">
        <v>40664</v>
      </c>
      <c r="F1187" s="2">
        <f t="shared" si="269"/>
        <v>44317</v>
      </c>
      <c r="G1187" s="27">
        <v>12.4</v>
      </c>
      <c r="H1187" s="7" t="s">
        <v>287</v>
      </c>
      <c r="I1187" s="7" t="s">
        <v>72</v>
      </c>
      <c r="J1187" s="186"/>
      <c r="K1187" s="266">
        <f t="shared" si="277"/>
        <v>2021</v>
      </c>
      <c r="L1187" s="390" t="s">
        <v>5793</v>
      </c>
      <c r="M1187" s="390" t="s">
        <v>7596</v>
      </c>
      <c r="N1187" s="32" t="s">
        <v>3280</v>
      </c>
      <c r="O1187" s="32" t="s">
        <v>3284</v>
      </c>
      <c r="P1187" s="278" t="s">
        <v>3285</v>
      </c>
      <c r="Q1187" s="233"/>
      <c r="R1187" s="75">
        <v>190.5</v>
      </c>
      <c r="S1187" s="75"/>
      <c r="T1187" s="75">
        <v>190.5</v>
      </c>
      <c r="U1187" s="200">
        <v>19.5</v>
      </c>
      <c r="V1187" s="287">
        <f t="shared" ca="1" si="278"/>
        <v>9</v>
      </c>
      <c r="W1187" s="75">
        <f t="shared" ca="1" si="279"/>
        <v>201.5</v>
      </c>
      <c r="X1187" s="200">
        <f t="shared" ca="1" si="280"/>
        <v>372.5</v>
      </c>
      <c r="Y1187" s="7"/>
      <c r="Z1187" s="31">
        <v>0.1</v>
      </c>
      <c r="AA1187" s="223">
        <v>0.09</v>
      </c>
      <c r="AB1187" s="302" t="s">
        <v>6376</v>
      </c>
      <c r="AC1187" s="302"/>
      <c r="AD1187" s="302"/>
      <c r="AE1187" s="302"/>
      <c r="AF1187">
        <f t="shared" si="267"/>
        <v>0</v>
      </c>
    </row>
    <row r="1188" spans="1:32" ht="77.25" hidden="1" x14ac:dyDescent="0.25">
      <c r="A1188" s="322" t="s">
        <v>3286</v>
      </c>
      <c r="B1188" s="93" t="str">
        <f t="shared" si="276"/>
        <v>YES</v>
      </c>
      <c r="C1188" s="93" t="s">
        <v>5503</v>
      </c>
      <c r="D1188" s="4">
        <v>40619</v>
      </c>
      <c r="E1188" s="2">
        <v>40664</v>
      </c>
      <c r="F1188" s="2">
        <f t="shared" si="269"/>
        <v>44317</v>
      </c>
      <c r="G1188" s="27">
        <v>157.47</v>
      </c>
      <c r="H1188" s="7" t="s">
        <v>287</v>
      </c>
      <c r="I1188" s="7" t="s">
        <v>72</v>
      </c>
      <c r="J1188" s="186"/>
      <c r="K1188" s="266">
        <f t="shared" si="277"/>
        <v>2021</v>
      </c>
      <c r="L1188" s="390" t="s">
        <v>5793</v>
      </c>
      <c r="M1188" s="390" t="s">
        <v>7531</v>
      </c>
      <c r="N1188" s="32" t="s">
        <v>3287</v>
      </c>
      <c r="O1188" s="32" t="s">
        <v>3288</v>
      </c>
      <c r="P1188" s="278" t="s">
        <v>3289</v>
      </c>
      <c r="Q1188" s="233"/>
      <c r="R1188" s="75">
        <v>698</v>
      </c>
      <c r="S1188" s="75"/>
      <c r="T1188" s="75">
        <v>698</v>
      </c>
      <c r="U1188" s="200">
        <v>237</v>
      </c>
      <c r="V1188" s="287">
        <f t="shared" ca="1" si="278"/>
        <v>9</v>
      </c>
      <c r="W1188" s="75">
        <f t="shared" ca="1" si="279"/>
        <v>2449</v>
      </c>
      <c r="X1188" s="200">
        <f t="shared" ca="1" si="280"/>
        <v>2910</v>
      </c>
      <c r="Y1188" s="7"/>
      <c r="Z1188" s="31">
        <v>0.1</v>
      </c>
      <c r="AA1188" s="223">
        <v>0.09</v>
      </c>
      <c r="AB1188" s="302" t="s">
        <v>6377</v>
      </c>
      <c r="AC1188" s="302"/>
      <c r="AD1188" s="302"/>
      <c r="AE1188" s="302"/>
      <c r="AF1188">
        <f t="shared" si="267"/>
        <v>0</v>
      </c>
    </row>
    <row r="1189" spans="1:32" ht="39" hidden="1" x14ac:dyDescent="0.25">
      <c r="A1189" s="322" t="s">
        <v>3290</v>
      </c>
      <c r="B1189" s="93" t="str">
        <f t="shared" si="276"/>
        <v>YES</v>
      </c>
      <c r="C1189" s="93" t="s">
        <v>5503</v>
      </c>
      <c r="D1189" s="4">
        <v>40619</v>
      </c>
      <c r="E1189" s="2">
        <v>40664</v>
      </c>
      <c r="F1189" s="2">
        <f t="shared" si="269"/>
        <v>44317</v>
      </c>
      <c r="G1189" s="27">
        <v>40</v>
      </c>
      <c r="H1189" s="7" t="s">
        <v>287</v>
      </c>
      <c r="I1189" s="7" t="s">
        <v>72</v>
      </c>
      <c r="J1189" s="186"/>
      <c r="K1189" s="266">
        <f t="shared" si="277"/>
        <v>2021</v>
      </c>
      <c r="L1189" s="390" t="s">
        <v>5793</v>
      </c>
      <c r="M1189" s="390" t="s">
        <v>7531</v>
      </c>
      <c r="N1189" s="32" t="s">
        <v>3287</v>
      </c>
      <c r="O1189" s="32" t="s">
        <v>3291</v>
      </c>
      <c r="P1189" s="278" t="s">
        <v>4828</v>
      </c>
      <c r="Q1189" s="233"/>
      <c r="R1189" s="75">
        <v>285</v>
      </c>
      <c r="S1189" s="75">
        <v>852</v>
      </c>
      <c r="T1189" s="75">
        <v>1137</v>
      </c>
      <c r="U1189" s="200">
        <v>60</v>
      </c>
      <c r="V1189" s="287">
        <f t="shared" ca="1" si="278"/>
        <v>9</v>
      </c>
      <c r="W1189" s="75">
        <f t="shared" ca="1" si="279"/>
        <v>620</v>
      </c>
      <c r="X1189" s="200">
        <f t="shared" ca="1" si="280"/>
        <v>1697</v>
      </c>
      <c r="Y1189" s="7"/>
      <c r="Z1189" s="31">
        <v>0.1</v>
      </c>
      <c r="AA1189" s="223">
        <v>0.09</v>
      </c>
      <c r="AB1189" s="302" t="s">
        <v>6378</v>
      </c>
      <c r="AC1189" s="302"/>
      <c r="AD1189" s="302"/>
      <c r="AE1189" s="302"/>
      <c r="AF1189">
        <f t="shared" si="267"/>
        <v>0</v>
      </c>
    </row>
    <row r="1190" spans="1:32" ht="51.75" hidden="1" x14ac:dyDescent="0.25">
      <c r="A1190" s="322" t="s">
        <v>3292</v>
      </c>
      <c r="B1190" s="93" t="str">
        <f t="shared" si="276"/>
        <v>YES</v>
      </c>
      <c r="C1190" s="93" t="s">
        <v>5503</v>
      </c>
      <c r="D1190" s="4">
        <v>40619</v>
      </c>
      <c r="E1190" s="2">
        <v>40664</v>
      </c>
      <c r="F1190" s="2">
        <f t="shared" si="269"/>
        <v>44317</v>
      </c>
      <c r="G1190" s="27">
        <v>522.16999999999996</v>
      </c>
      <c r="H1190" s="7" t="s">
        <v>287</v>
      </c>
      <c r="I1190" s="7" t="s">
        <v>72</v>
      </c>
      <c r="J1190" s="186"/>
      <c r="K1190" s="266">
        <f t="shared" si="277"/>
        <v>2021</v>
      </c>
      <c r="L1190" s="390" t="s">
        <v>5793</v>
      </c>
      <c r="M1190" s="390" t="s">
        <v>7531</v>
      </c>
      <c r="N1190" s="32" t="s">
        <v>3287</v>
      </c>
      <c r="O1190" s="32" t="s">
        <v>3293</v>
      </c>
      <c r="P1190" s="278" t="s">
        <v>3294</v>
      </c>
      <c r="Q1190" s="233"/>
      <c r="R1190" s="75">
        <v>1975.5</v>
      </c>
      <c r="S1190" s="75">
        <v>2092</v>
      </c>
      <c r="T1190" s="75">
        <v>4067.5</v>
      </c>
      <c r="U1190" s="200">
        <v>784.5</v>
      </c>
      <c r="V1190" s="287">
        <f t="shared" ca="1" si="278"/>
        <v>9</v>
      </c>
      <c r="W1190" s="75">
        <f t="shared" ca="1" si="279"/>
        <v>8106.5</v>
      </c>
      <c r="X1190" s="200">
        <f t="shared" ca="1" si="280"/>
        <v>11389.5</v>
      </c>
      <c r="Y1190" s="7"/>
      <c r="Z1190" s="31">
        <v>0.1</v>
      </c>
      <c r="AA1190" s="223">
        <v>0.09</v>
      </c>
      <c r="AB1190" s="302" t="s">
        <v>6379</v>
      </c>
      <c r="AC1190" s="302"/>
      <c r="AD1190" s="302"/>
      <c r="AE1190" s="302"/>
      <c r="AF1190">
        <f t="shared" si="267"/>
        <v>0</v>
      </c>
    </row>
    <row r="1191" spans="1:32" ht="51.75" hidden="1" x14ac:dyDescent="0.25">
      <c r="A1191" s="322" t="s">
        <v>3295</v>
      </c>
      <c r="B1191" s="93" t="str">
        <f t="shared" si="276"/>
        <v>YES</v>
      </c>
      <c r="C1191" s="93" t="s">
        <v>5503</v>
      </c>
      <c r="D1191" s="4">
        <v>40619</v>
      </c>
      <c r="E1191" s="2">
        <v>40664</v>
      </c>
      <c r="F1191" s="2">
        <f t="shared" si="269"/>
        <v>44317</v>
      </c>
      <c r="G1191" s="27">
        <v>767.1</v>
      </c>
      <c r="H1191" s="7" t="s">
        <v>287</v>
      </c>
      <c r="I1191" s="7" t="s">
        <v>72</v>
      </c>
      <c r="J1191" s="186"/>
      <c r="K1191" s="266">
        <f t="shared" si="277"/>
        <v>2021</v>
      </c>
      <c r="L1191" s="390" t="s">
        <v>5793</v>
      </c>
      <c r="M1191" s="390" t="s">
        <v>7531</v>
      </c>
      <c r="N1191" s="32" t="s">
        <v>3287</v>
      </c>
      <c r="O1191" s="32" t="s">
        <v>3296</v>
      </c>
      <c r="P1191" s="278" t="s">
        <v>3297</v>
      </c>
      <c r="Q1191" s="233"/>
      <c r="R1191" s="75">
        <v>2833</v>
      </c>
      <c r="S1191" s="75">
        <v>3072</v>
      </c>
      <c r="T1191" s="75">
        <v>5905</v>
      </c>
      <c r="U1191" s="200">
        <v>1152</v>
      </c>
      <c r="V1191" s="287">
        <f t="shared" ca="1" si="278"/>
        <v>9</v>
      </c>
      <c r="W1191" s="75">
        <f t="shared" ca="1" si="279"/>
        <v>11904</v>
      </c>
      <c r="X1191" s="200">
        <f t="shared" ca="1" si="280"/>
        <v>16657</v>
      </c>
      <c r="Y1191" s="7"/>
      <c r="Z1191" s="31">
        <v>0.1</v>
      </c>
      <c r="AA1191" s="223">
        <v>0.09</v>
      </c>
      <c r="AB1191" s="302" t="s">
        <v>6380</v>
      </c>
      <c r="AC1191" s="302"/>
      <c r="AD1191" s="302"/>
      <c r="AE1191" s="302"/>
      <c r="AF1191">
        <f t="shared" si="267"/>
        <v>0</v>
      </c>
    </row>
    <row r="1192" spans="1:32" ht="64.5" hidden="1" x14ac:dyDescent="0.25">
      <c r="A1192" s="322" t="s">
        <v>3298</v>
      </c>
      <c r="B1192" s="93" t="str">
        <f t="shared" si="276"/>
        <v>YES</v>
      </c>
      <c r="C1192" s="93" t="s">
        <v>5503</v>
      </c>
      <c r="D1192" s="4">
        <v>40619</v>
      </c>
      <c r="E1192" s="2">
        <v>40664</v>
      </c>
      <c r="F1192" s="2">
        <f t="shared" si="269"/>
        <v>44317</v>
      </c>
      <c r="G1192" s="27">
        <v>358.3</v>
      </c>
      <c r="H1192" s="7" t="s">
        <v>287</v>
      </c>
      <c r="I1192" s="7" t="s">
        <v>72</v>
      </c>
      <c r="J1192" s="186"/>
      <c r="K1192" s="266">
        <f t="shared" si="277"/>
        <v>2021</v>
      </c>
      <c r="L1192" s="390" t="s">
        <v>5793</v>
      </c>
      <c r="M1192" s="390" t="s">
        <v>7531</v>
      </c>
      <c r="N1192" s="32" t="s">
        <v>3287</v>
      </c>
      <c r="O1192" s="32" t="s">
        <v>3299</v>
      </c>
      <c r="P1192" s="278" t="s">
        <v>3300</v>
      </c>
      <c r="Q1192" s="233"/>
      <c r="R1192" s="75">
        <v>1401.5</v>
      </c>
      <c r="S1192" s="75">
        <v>1436</v>
      </c>
      <c r="T1192" s="75">
        <v>2837.5</v>
      </c>
      <c r="U1192" s="200">
        <v>538.5</v>
      </c>
      <c r="V1192" s="287">
        <f t="shared" ca="1" si="278"/>
        <v>9</v>
      </c>
      <c r="W1192" s="75">
        <f t="shared" ca="1" si="279"/>
        <v>5564.5</v>
      </c>
      <c r="X1192" s="200">
        <f t="shared" ca="1" si="280"/>
        <v>7863.5</v>
      </c>
      <c r="Y1192" s="7"/>
      <c r="Z1192" s="31">
        <v>0.1</v>
      </c>
      <c r="AA1192" s="223">
        <v>0.09</v>
      </c>
      <c r="AB1192" s="302" t="s">
        <v>6381</v>
      </c>
      <c r="AC1192" s="302"/>
      <c r="AD1192" s="302"/>
      <c r="AE1192" s="302"/>
      <c r="AF1192">
        <f t="shared" si="267"/>
        <v>0</v>
      </c>
    </row>
    <row r="1193" spans="1:32" ht="39" hidden="1" x14ac:dyDescent="0.25">
      <c r="A1193" s="322" t="s">
        <v>3301</v>
      </c>
      <c r="B1193" s="93" t="str">
        <f t="shared" si="276"/>
        <v>YES</v>
      </c>
      <c r="C1193" s="93" t="s">
        <v>5503</v>
      </c>
      <c r="D1193" s="4">
        <v>40619</v>
      </c>
      <c r="E1193" s="2">
        <v>40664</v>
      </c>
      <c r="F1193" s="2">
        <f t="shared" si="269"/>
        <v>44317</v>
      </c>
      <c r="G1193" s="27">
        <v>80</v>
      </c>
      <c r="H1193" s="7" t="s">
        <v>287</v>
      </c>
      <c r="I1193" s="7" t="s">
        <v>72</v>
      </c>
      <c r="J1193" s="186"/>
      <c r="K1193" s="266">
        <f t="shared" si="277"/>
        <v>2021</v>
      </c>
      <c r="L1193" s="390" t="s">
        <v>5793</v>
      </c>
      <c r="M1193" s="390" t="s">
        <v>7577</v>
      </c>
      <c r="N1193" s="32" t="s">
        <v>3302</v>
      </c>
      <c r="O1193" s="32" t="s">
        <v>3303</v>
      </c>
      <c r="P1193" s="278" t="s">
        <v>3304</v>
      </c>
      <c r="Q1193" s="233"/>
      <c r="R1193" s="75">
        <v>425</v>
      </c>
      <c r="S1193" s="75"/>
      <c r="T1193" s="75">
        <v>425</v>
      </c>
      <c r="U1193" s="200">
        <v>120</v>
      </c>
      <c r="V1193" s="287">
        <f t="shared" ca="1" si="278"/>
        <v>9</v>
      </c>
      <c r="W1193" s="75">
        <f t="shared" ca="1" si="279"/>
        <v>1240</v>
      </c>
      <c r="X1193" s="200">
        <f t="shared" ca="1" si="280"/>
        <v>1545</v>
      </c>
      <c r="Y1193" s="7"/>
      <c r="Z1193" s="31">
        <v>0.1</v>
      </c>
      <c r="AA1193" s="223">
        <v>0.09</v>
      </c>
      <c r="AB1193" s="302" t="s">
        <v>6382</v>
      </c>
      <c r="AC1193" s="302"/>
      <c r="AD1193" s="302"/>
      <c r="AE1193" s="302"/>
      <c r="AF1193">
        <f t="shared" si="267"/>
        <v>0</v>
      </c>
    </row>
    <row r="1194" spans="1:32" ht="51.75" hidden="1" x14ac:dyDescent="0.25">
      <c r="A1194" s="322" t="s">
        <v>3305</v>
      </c>
      <c r="B1194" s="93" t="str">
        <f t="shared" si="276"/>
        <v>YES</v>
      </c>
      <c r="C1194" s="93" t="s">
        <v>5503</v>
      </c>
      <c r="D1194" s="4">
        <v>40619</v>
      </c>
      <c r="E1194" s="2">
        <v>40664</v>
      </c>
      <c r="F1194" s="2">
        <f t="shared" si="269"/>
        <v>44317</v>
      </c>
      <c r="G1194" s="27">
        <v>62.454999999999998</v>
      </c>
      <c r="H1194" s="7" t="s">
        <v>3306</v>
      </c>
      <c r="I1194" s="7" t="s">
        <v>72</v>
      </c>
      <c r="J1194" s="186"/>
      <c r="K1194" s="266">
        <f t="shared" si="277"/>
        <v>2021</v>
      </c>
      <c r="L1194" s="390" t="s">
        <v>5789</v>
      </c>
      <c r="M1194" s="390" t="s">
        <v>5805</v>
      </c>
      <c r="N1194" s="32" t="s">
        <v>3307</v>
      </c>
      <c r="O1194" s="32" t="s">
        <v>3308</v>
      </c>
      <c r="P1194" s="278" t="s">
        <v>3309</v>
      </c>
      <c r="Q1194" s="233"/>
      <c r="R1194" s="75">
        <v>365.5</v>
      </c>
      <c r="S1194" s="75">
        <v>126</v>
      </c>
      <c r="T1194" s="75">
        <v>491.5</v>
      </c>
      <c r="U1194" s="200">
        <v>94.5</v>
      </c>
      <c r="V1194" s="287">
        <f t="shared" ca="1" si="278"/>
        <v>9</v>
      </c>
      <c r="W1194" s="75">
        <f t="shared" ca="1" si="279"/>
        <v>976.5</v>
      </c>
      <c r="X1194" s="200">
        <f t="shared" ca="1" si="280"/>
        <v>1373.5</v>
      </c>
      <c r="Y1194" s="7"/>
      <c r="Z1194" s="31">
        <v>0.1</v>
      </c>
      <c r="AA1194" s="223">
        <v>0.09</v>
      </c>
      <c r="AB1194" s="302" t="s">
        <v>6361</v>
      </c>
      <c r="AC1194" s="302"/>
      <c r="AD1194" s="302"/>
      <c r="AE1194" s="302"/>
      <c r="AF1194">
        <f t="shared" si="267"/>
        <v>0</v>
      </c>
    </row>
    <row r="1195" spans="1:32" ht="64.5" hidden="1" x14ac:dyDescent="0.25">
      <c r="A1195" s="322" t="s">
        <v>3310</v>
      </c>
      <c r="B1195" s="93" t="str">
        <f t="shared" si="276"/>
        <v>YES</v>
      </c>
      <c r="C1195" s="93" t="s">
        <v>5503</v>
      </c>
      <c r="D1195" s="4">
        <v>40619</v>
      </c>
      <c r="E1195" s="2">
        <v>40664</v>
      </c>
      <c r="F1195" s="2">
        <f t="shared" si="269"/>
        <v>44317</v>
      </c>
      <c r="G1195" s="27">
        <v>79</v>
      </c>
      <c r="H1195" s="7" t="s">
        <v>3306</v>
      </c>
      <c r="I1195" s="7" t="s">
        <v>72</v>
      </c>
      <c r="J1195" s="186"/>
      <c r="K1195" s="266">
        <f t="shared" si="277"/>
        <v>2021</v>
      </c>
      <c r="L1195" s="390" t="s">
        <v>5789</v>
      </c>
      <c r="M1195" s="390" t="s">
        <v>7576</v>
      </c>
      <c r="N1195" s="32" t="s">
        <v>3311</v>
      </c>
      <c r="O1195" s="32" t="s">
        <v>3312</v>
      </c>
      <c r="P1195" s="278" t="s">
        <v>3313</v>
      </c>
      <c r="Q1195" s="233"/>
      <c r="R1195" s="75">
        <v>421.5</v>
      </c>
      <c r="S1195" s="75">
        <v>316</v>
      </c>
      <c r="T1195" s="75">
        <v>737.5</v>
      </c>
      <c r="U1195" s="200">
        <v>118.5</v>
      </c>
      <c r="V1195" s="287">
        <f t="shared" ca="1" si="278"/>
        <v>9</v>
      </c>
      <c r="W1195" s="75">
        <f t="shared" ca="1" si="279"/>
        <v>1224.5</v>
      </c>
      <c r="X1195" s="200">
        <f t="shared" ca="1" si="280"/>
        <v>1843.5</v>
      </c>
      <c r="Y1195" s="7"/>
      <c r="Z1195" s="31">
        <v>0.1</v>
      </c>
      <c r="AA1195" s="223">
        <v>0.09</v>
      </c>
      <c r="AB1195" s="302" t="s">
        <v>6362</v>
      </c>
      <c r="AC1195" s="302"/>
      <c r="AD1195" s="302"/>
      <c r="AE1195" s="302"/>
      <c r="AF1195">
        <f t="shared" si="267"/>
        <v>0</v>
      </c>
    </row>
    <row r="1196" spans="1:32" ht="77.25" hidden="1" x14ac:dyDescent="0.25">
      <c r="A1196" s="322" t="s">
        <v>3314</v>
      </c>
      <c r="B1196" s="93" t="str">
        <f t="shared" si="276"/>
        <v>YES</v>
      </c>
      <c r="C1196" s="93" t="s">
        <v>5503</v>
      </c>
      <c r="D1196" s="4">
        <v>40619</v>
      </c>
      <c r="E1196" s="2">
        <v>40664</v>
      </c>
      <c r="F1196" s="2">
        <f t="shared" si="269"/>
        <v>44317</v>
      </c>
      <c r="G1196" s="27">
        <v>40</v>
      </c>
      <c r="H1196" s="7" t="s">
        <v>3306</v>
      </c>
      <c r="I1196" s="7" t="s">
        <v>72</v>
      </c>
      <c r="J1196" s="186"/>
      <c r="K1196" s="266">
        <f t="shared" si="277"/>
        <v>2021</v>
      </c>
      <c r="L1196" s="390" t="s">
        <v>5789</v>
      </c>
      <c r="M1196" s="390" t="s">
        <v>7576</v>
      </c>
      <c r="N1196" s="32" t="s">
        <v>3311</v>
      </c>
      <c r="O1196" s="32" t="s">
        <v>3315</v>
      </c>
      <c r="P1196" s="278" t="s">
        <v>3316</v>
      </c>
      <c r="Q1196" s="233"/>
      <c r="R1196" s="75">
        <v>285</v>
      </c>
      <c r="S1196" s="75"/>
      <c r="T1196" s="75">
        <v>285</v>
      </c>
      <c r="U1196" s="200">
        <v>60</v>
      </c>
      <c r="V1196" s="287">
        <f t="shared" ca="1" si="278"/>
        <v>9</v>
      </c>
      <c r="W1196" s="75">
        <f t="shared" ca="1" si="279"/>
        <v>620</v>
      </c>
      <c r="X1196" s="200">
        <f t="shared" ca="1" si="280"/>
        <v>845</v>
      </c>
      <c r="Y1196" s="7"/>
      <c r="Z1196" s="31">
        <v>0.1</v>
      </c>
      <c r="AA1196" s="223">
        <v>0.09</v>
      </c>
      <c r="AB1196" s="302" t="s">
        <v>6363</v>
      </c>
      <c r="AC1196" s="302"/>
      <c r="AD1196" s="302"/>
      <c r="AE1196" s="302"/>
      <c r="AF1196">
        <f t="shared" si="267"/>
        <v>0</v>
      </c>
    </row>
    <row r="1197" spans="1:32" ht="26.25" hidden="1" x14ac:dyDescent="0.25">
      <c r="A1197" s="322" t="s">
        <v>3317</v>
      </c>
      <c r="B1197" s="93" t="str">
        <f t="shared" si="276"/>
        <v>YES</v>
      </c>
      <c r="C1197" s="93" t="s">
        <v>5503</v>
      </c>
      <c r="D1197" s="4">
        <v>40619</v>
      </c>
      <c r="E1197" s="2">
        <v>40664</v>
      </c>
      <c r="F1197" s="2">
        <f t="shared" si="269"/>
        <v>44317</v>
      </c>
      <c r="G1197" s="27">
        <v>20</v>
      </c>
      <c r="H1197" s="7" t="s">
        <v>3306</v>
      </c>
      <c r="I1197" s="7" t="s">
        <v>72</v>
      </c>
      <c r="J1197" s="186"/>
      <c r="K1197" s="266">
        <f t="shared" si="277"/>
        <v>2021</v>
      </c>
      <c r="L1197" s="390" t="s">
        <v>5789</v>
      </c>
      <c r="M1197" s="390" t="s">
        <v>7597</v>
      </c>
      <c r="N1197" s="32" t="s">
        <v>3318</v>
      </c>
      <c r="O1197" s="32" t="s">
        <v>3319</v>
      </c>
      <c r="P1197" s="278" t="s">
        <v>3320</v>
      </c>
      <c r="Q1197" s="233"/>
      <c r="R1197" s="75">
        <v>215</v>
      </c>
      <c r="S1197" s="75">
        <v>80</v>
      </c>
      <c r="T1197" s="75">
        <v>295</v>
      </c>
      <c r="U1197" s="200">
        <v>30</v>
      </c>
      <c r="V1197" s="287">
        <f t="shared" ca="1" si="278"/>
        <v>9</v>
      </c>
      <c r="W1197" s="75">
        <f t="shared" ca="1" si="279"/>
        <v>310</v>
      </c>
      <c r="X1197" s="200">
        <f t="shared" ca="1" si="280"/>
        <v>575</v>
      </c>
      <c r="Y1197" s="7"/>
      <c r="Z1197" s="31">
        <v>0.1</v>
      </c>
      <c r="AA1197" s="223">
        <v>0.09</v>
      </c>
      <c r="AB1197" s="302" t="s">
        <v>6364</v>
      </c>
      <c r="AC1197" s="302"/>
      <c r="AD1197" s="302"/>
      <c r="AE1197" s="302"/>
      <c r="AF1197">
        <f t="shared" si="267"/>
        <v>0</v>
      </c>
    </row>
    <row r="1198" spans="1:32" ht="39" hidden="1" x14ac:dyDescent="0.25">
      <c r="A1198" s="322" t="s">
        <v>3321</v>
      </c>
      <c r="B1198" s="93" t="str">
        <f t="shared" si="276"/>
        <v>YES</v>
      </c>
      <c r="C1198" s="93" t="s">
        <v>5503</v>
      </c>
      <c r="D1198" s="4">
        <v>40619</v>
      </c>
      <c r="E1198" s="2">
        <v>40664</v>
      </c>
      <c r="F1198" s="2">
        <f t="shared" si="269"/>
        <v>44317</v>
      </c>
      <c r="G1198" s="27">
        <v>640</v>
      </c>
      <c r="H1198" s="7" t="s">
        <v>3306</v>
      </c>
      <c r="I1198" s="7" t="s">
        <v>72</v>
      </c>
      <c r="J1198" s="186"/>
      <c r="K1198" s="266">
        <f t="shared" si="277"/>
        <v>2021</v>
      </c>
      <c r="L1198" s="390" t="s">
        <v>5789</v>
      </c>
      <c r="M1198" s="390" t="s">
        <v>7598</v>
      </c>
      <c r="N1198" s="32" t="s">
        <v>3322</v>
      </c>
      <c r="O1198" s="32" t="s">
        <v>3323</v>
      </c>
      <c r="P1198" s="278" t="s">
        <v>3324</v>
      </c>
      <c r="Q1198" s="233"/>
      <c r="R1198" s="75">
        <v>2385</v>
      </c>
      <c r="S1198" s="75"/>
      <c r="T1198" s="75">
        <v>2385</v>
      </c>
      <c r="U1198" s="200">
        <v>960</v>
      </c>
      <c r="V1198" s="287">
        <f t="shared" ca="1" si="278"/>
        <v>9</v>
      </c>
      <c r="W1198" s="75">
        <f t="shared" ca="1" si="279"/>
        <v>9920</v>
      </c>
      <c r="X1198" s="200">
        <f t="shared" ca="1" si="280"/>
        <v>11345</v>
      </c>
      <c r="Y1198" s="7"/>
      <c r="Z1198" s="31">
        <v>0.1</v>
      </c>
      <c r="AA1198" s="223">
        <v>0.09</v>
      </c>
      <c r="AB1198" s="302" t="s">
        <v>6365</v>
      </c>
      <c r="AC1198" s="302"/>
      <c r="AD1198" s="302"/>
      <c r="AE1198" s="302"/>
      <c r="AF1198">
        <f t="shared" si="267"/>
        <v>0</v>
      </c>
    </row>
    <row r="1199" spans="1:32" ht="39" hidden="1" x14ac:dyDescent="0.25">
      <c r="A1199" s="322" t="s">
        <v>3325</v>
      </c>
      <c r="B1199" s="93" t="str">
        <f t="shared" si="276"/>
        <v>YES</v>
      </c>
      <c r="C1199" s="93" t="s">
        <v>5503</v>
      </c>
      <c r="D1199" s="4">
        <v>40619</v>
      </c>
      <c r="E1199" s="2">
        <v>40664</v>
      </c>
      <c r="F1199" s="2">
        <f t="shared" si="269"/>
        <v>44317</v>
      </c>
      <c r="G1199" s="27">
        <v>74</v>
      </c>
      <c r="H1199" s="7" t="s">
        <v>3326</v>
      </c>
      <c r="I1199" s="7" t="s">
        <v>72</v>
      </c>
      <c r="J1199" s="186"/>
      <c r="K1199" s="266">
        <f t="shared" si="277"/>
        <v>2021</v>
      </c>
      <c r="L1199" s="390" t="s">
        <v>5789</v>
      </c>
      <c r="M1199" s="390" t="s">
        <v>7599</v>
      </c>
      <c r="N1199" s="32" t="s">
        <v>3327</v>
      </c>
      <c r="O1199" s="32" t="s">
        <v>3328</v>
      </c>
      <c r="P1199" s="278" t="s">
        <v>3329</v>
      </c>
      <c r="Q1199" s="233"/>
      <c r="R1199" s="75">
        <v>404</v>
      </c>
      <c r="S1199" s="75"/>
      <c r="T1199" s="75">
        <v>404</v>
      </c>
      <c r="U1199" s="200">
        <v>111</v>
      </c>
      <c r="V1199" s="287">
        <f t="shared" ca="1" si="278"/>
        <v>9</v>
      </c>
      <c r="W1199" s="75">
        <f t="shared" ca="1" si="279"/>
        <v>1147</v>
      </c>
      <c r="X1199" s="200">
        <f t="shared" ca="1" si="280"/>
        <v>1440</v>
      </c>
      <c r="Y1199" s="7"/>
      <c r="Z1199" s="31">
        <v>0.1</v>
      </c>
      <c r="AA1199" s="223">
        <v>0.09</v>
      </c>
      <c r="AB1199" s="302" t="s">
        <v>6356</v>
      </c>
      <c r="AC1199" s="302"/>
      <c r="AD1199" s="302"/>
      <c r="AE1199" s="302"/>
      <c r="AF1199">
        <f t="shared" si="267"/>
        <v>0</v>
      </c>
    </row>
    <row r="1200" spans="1:32" ht="39" hidden="1" x14ac:dyDescent="0.25">
      <c r="A1200" s="322" t="s">
        <v>3330</v>
      </c>
      <c r="B1200" s="93" t="str">
        <f t="shared" si="276"/>
        <v>YES</v>
      </c>
      <c r="C1200" s="93" t="s">
        <v>5503</v>
      </c>
      <c r="D1200" s="4">
        <v>40619</v>
      </c>
      <c r="E1200" s="2">
        <v>40664</v>
      </c>
      <c r="F1200" s="2">
        <f t="shared" si="269"/>
        <v>44317</v>
      </c>
      <c r="G1200" s="27">
        <v>75.97</v>
      </c>
      <c r="H1200" s="7" t="s">
        <v>3326</v>
      </c>
      <c r="I1200" s="7" t="s">
        <v>72</v>
      </c>
      <c r="J1200" s="186"/>
      <c r="K1200" s="266">
        <f t="shared" si="277"/>
        <v>2021</v>
      </c>
      <c r="L1200" s="390" t="s">
        <v>5789</v>
      </c>
      <c r="M1200" s="390" t="s">
        <v>7599</v>
      </c>
      <c r="N1200" s="32" t="s">
        <v>3327</v>
      </c>
      <c r="O1200" s="32" t="s">
        <v>3331</v>
      </c>
      <c r="P1200" s="278" t="s">
        <v>3332</v>
      </c>
      <c r="Q1200" s="233"/>
      <c r="R1200" s="75">
        <v>411</v>
      </c>
      <c r="S1200" s="75"/>
      <c r="T1200" s="75">
        <v>411</v>
      </c>
      <c r="U1200" s="200">
        <v>114</v>
      </c>
      <c r="V1200" s="287">
        <f t="shared" ca="1" si="278"/>
        <v>9</v>
      </c>
      <c r="W1200" s="75">
        <f t="shared" ca="1" si="279"/>
        <v>1178</v>
      </c>
      <c r="X1200" s="200">
        <f t="shared" ca="1" si="280"/>
        <v>1475</v>
      </c>
      <c r="Y1200" s="7"/>
      <c r="Z1200" s="31">
        <v>0.1</v>
      </c>
      <c r="AA1200" s="223">
        <v>0.09</v>
      </c>
      <c r="AB1200" s="302" t="s">
        <v>6357</v>
      </c>
      <c r="AC1200" s="302"/>
      <c r="AD1200" s="302"/>
      <c r="AE1200" s="302"/>
      <c r="AF1200">
        <f t="shared" si="267"/>
        <v>0</v>
      </c>
    </row>
    <row r="1201" spans="1:32" hidden="1" x14ac:dyDescent="0.25">
      <c r="A1201" s="322" t="s">
        <v>3333</v>
      </c>
      <c r="B1201" s="93" t="str">
        <f t="shared" si="276"/>
        <v>YES</v>
      </c>
      <c r="C1201" s="93" t="s">
        <v>5503</v>
      </c>
      <c r="D1201" s="4">
        <v>40619</v>
      </c>
      <c r="E1201" s="2">
        <v>40664</v>
      </c>
      <c r="F1201" s="2">
        <f t="shared" si="269"/>
        <v>44317</v>
      </c>
      <c r="G1201" s="27">
        <v>66.099999999999994</v>
      </c>
      <c r="H1201" s="7" t="s">
        <v>3334</v>
      </c>
      <c r="I1201" s="7" t="s">
        <v>2186</v>
      </c>
      <c r="J1201" s="186"/>
      <c r="K1201" s="266">
        <f t="shared" si="277"/>
        <v>2021</v>
      </c>
      <c r="L1201" s="390"/>
      <c r="M1201" s="390"/>
      <c r="N1201" s="32" t="s">
        <v>3335</v>
      </c>
      <c r="O1201" s="32" t="s">
        <v>3336</v>
      </c>
      <c r="P1201" s="278"/>
      <c r="Q1201" s="233"/>
      <c r="R1201" s="75">
        <v>379.5</v>
      </c>
      <c r="S1201" s="75"/>
      <c r="T1201" s="75">
        <v>379.5</v>
      </c>
      <c r="U1201" s="200">
        <v>100.5</v>
      </c>
      <c r="V1201" s="287">
        <f t="shared" ca="1" si="278"/>
        <v>9</v>
      </c>
      <c r="W1201" s="75">
        <f t="shared" ca="1" si="279"/>
        <v>1038.5</v>
      </c>
      <c r="X1201" s="200">
        <f t="shared" ca="1" si="280"/>
        <v>1317.5</v>
      </c>
      <c r="Y1201" s="7"/>
      <c r="Z1201" s="31">
        <v>0.1</v>
      </c>
      <c r="AA1201" s="223">
        <v>0.09</v>
      </c>
      <c r="AB1201" s="302" t="s">
        <v>6991</v>
      </c>
      <c r="AC1201" s="302"/>
      <c r="AD1201" s="302"/>
      <c r="AE1201" s="302"/>
      <c r="AF1201">
        <f t="shared" si="267"/>
        <v>0</v>
      </c>
    </row>
    <row r="1202" spans="1:32" hidden="1" x14ac:dyDescent="0.25">
      <c r="A1202" s="322" t="s">
        <v>3337</v>
      </c>
      <c r="B1202" s="93" t="str">
        <f t="shared" si="276"/>
        <v>YES</v>
      </c>
      <c r="C1202" s="93" t="s">
        <v>5503</v>
      </c>
      <c r="D1202" s="4">
        <v>40619</v>
      </c>
      <c r="E1202" s="2">
        <v>40664</v>
      </c>
      <c r="F1202" s="2">
        <f t="shared" si="269"/>
        <v>44317</v>
      </c>
      <c r="G1202" s="27">
        <v>1418.9</v>
      </c>
      <c r="H1202" s="7" t="s">
        <v>3334</v>
      </c>
      <c r="I1202" s="7" t="s">
        <v>2186</v>
      </c>
      <c r="J1202" s="186"/>
      <c r="K1202" s="266">
        <f t="shared" si="277"/>
        <v>2021</v>
      </c>
      <c r="L1202" s="390"/>
      <c r="M1202" s="390"/>
      <c r="N1202" s="32" t="s">
        <v>3335</v>
      </c>
      <c r="O1202" s="32" t="s">
        <v>3338</v>
      </c>
      <c r="P1202" s="278"/>
      <c r="Q1202" s="233"/>
      <c r="R1202" s="75">
        <v>5111.5</v>
      </c>
      <c r="S1202" s="75"/>
      <c r="T1202" s="75">
        <v>5111.5</v>
      </c>
      <c r="U1202" s="200">
        <v>2128.5</v>
      </c>
      <c r="V1202" s="287">
        <f t="shared" ca="1" si="278"/>
        <v>9</v>
      </c>
      <c r="W1202" s="75">
        <f t="shared" ca="1" si="279"/>
        <v>21994.5</v>
      </c>
      <c r="X1202" s="200">
        <f t="shared" ca="1" si="280"/>
        <v>24977.5</v>
      </c>
      <c r="Y1202" s="7"/>
      <c r="Z1202" s="31">
        <v>0.1</v>
      </c>
      <c r="AA1202" s="223">
        <v>0.09</v>
      </c>
      <c r="AB1202" s="302" t="s">
        <v>6992</v>
      </c>
      <c r="AC1202" s="302"/>
      <c r="AD1202" s="302"/>
      <c r="AE1202" s="302"/>
      <c r="AF1202">
        <f t="shared" si="267"/>
        <v>0</v>
      </c>
    </row>
    <row r="1203" spans="1:32" hidden="1" x14ac:dyDescent="0.25">
      <c r="A1203" s="322" t="s">
        <v>3339</v>
      </c>
      <c r="B1203" s="93" t="str">
        <f t="shared" si="276"/>
        <v>YES</v>
      </c>
      <c r="C1203" s="93" t="s">
        <v>5503</v>
      </c>
      <c r="D1203" s="4">
        <v>40619</v>
      </c>
      <c r="E1203" s="2">
        <v>40664</v>
      </c>
      <c r="F1203" s="2">
        <f t="shared" si="269"/>
        <v>44317</v>
      </c>
      <c r="G1203" s="27">
        <v>183.7</v>
      </c>
      <c r="H1203" s="7" t="s">
        <v>3334</v>
      </c>
      <c r="I1203" s="7" t="s">
        <v>2186</v>
      </c>
      <c r="J1203" s="186"/>
      <c r="K1203" s="266">
        <f t="shared" si="277"/>
        <v>2021</v>
      </c>
      <c r="L1203" s="390"/>
      <c r="M1203" s="390"/>
      <c r="N1203" s="32" t="s">
        <v>3335</v>
      </c>
      <c r="O1203" s="32" t="s">
        <v>3340</v>
      </c>
      <c r="P1203" s="278"/>
      <c r="Q1203" s="233"/>
      <c r="R1203" s="75">
        <v>789</v>
      </c>
      <c r="S1203" s="75"/>
      <c r="T1203" s="75">
        <v>789</v>
      </c>
      <c r="U1203" s="200">
        <v>276</v>
      </c>
      <c r="V1203" s="287">
        <f t="shared" ca="1" si="278"/>
        <v>9</v>
      </c>
      <c r="W1203" s="75">
        <f t="shared" ca="1" si="279"/>
        <v>2852</v>
      </c>
      <c r="X1203" s="200">
        <f t="shared" ca="1" si="280"/>
        <v>3365</v>
      </c>
      <c r="Y1203" s="7"/>
      <c r="Z1203" s="31">
        <v>0.1</v>
      </c>
      <c r="AA1203" s="223">
        <v>0.09</v>
      </c>
      <c r="AB1203" s="302" t="s">
        <v>6993</v>
      </c>
      <c r="AC1203" s="302"/>
      <c r="AD1203" s="302"/>
      <c r="AE1203" s="302"/>
      <c r="AF1203">
        <f t="shared" si="267"/>
        <v>0</v>
      </c>
    </row>
    <row r="1204" spans="1:32" hidden="1" x14ac:dyDescent="0.25">
      <c r="A1204" s="322" t="s">
        <v>3341</v>
      </c>
      <c r="B1204" s="93" t="str">
        <f t="shared" si="276"/>
        <v>YES</v>
      </c>
      <c r="C1204" s="93" t="s">
        <v>5503</v>
      </c>
      <c r="D1204" s="4">
        <v>40619</v>
      </c>
      <c r="E1204" s="2">
        <v>40664</v>
      </c>
      <c r="F1204" s="2">
        <f t="shared" si="269"/>
        <v>44317</v>
      </c>
      <c r="G1204" s="27">
        <v>95.2</v>
      </c>
      <c r="H1204" s="7" t="s">
        <v>3342</v>
      </c>
      <c r="I1204" s="7" t="s">
        <v>2186</v>
      </c>
      <c r="J1204" s="186"/>
      <c r="K1204" s="266">
        <f t="shared" si="277"/>
        <v>2021</v>
      </c>
      <c r="L1204" s="390"/>
      <c r="M1204" s="390"/>
      <c r="N1204" s="32" t="s">
        <v>3335</v>
      </c>
      <c r="O1204" s="32" t="s">
        <v>3343</v>
      </c>
      <c r="P1204" s="278"/>
      <c r="Q1204" s="233"/>
      <c r="R1204" s="75">
        <v>481</v>
      </c>
      <c r="S1204" s="75"/>
      <c r="T1204" s="75">
        <v>481</v>
      </c>
      <c r="U1204" s="200">
        <v>144</v>
      </c>
      <c r="V1204" s="287">
        <f t="shared" ca="1" si="278"/>
        <v>9</v>
      </c>
      <c r="W1204" s="75">
        <f t="shared" ca="1" si="279"/>
        <v>1488</v>
      </c>
      <c r="X1204" s="200">
        <f t="shared" ca="1" si="280"/>
        <v>1825</v>
      </c>
      <c r="Y1204" s="7"/>
      <c r="Z1204" s="31">
        <v>0.1</v>
      </c>
      <c r="AA1204" s="223">
        <v>0.09</v>
      </c>
      <c r="AB1204" s="302" t="s">
        <v>6994</v>
      </c>
      <c r="AC1204" s="302"/>
      <c r="AD1204" s="302"/>
      <c r="AE1204" s="302"/>
      <c r="AF1204">
        <f t="shared" si="267"/>
        <v>0</v>
      </c>
    </row>
    <row r="1205" spans="1:32" ht="25.5" hidden="1" x14ac:dyDescent="0.25">
      <c r="A1205" s="322" t="s">
        <v>3344</v>
      </c>
      <c r="B1205" s="93" t="str">
        <f t="shared" si="276"/>
        <v>YES</v>
      </c>
      <c r="C1205" s="93" t="s">
        <v>5503</v>
      </c>
      <c r="D1205" s="4">
        <v>40619</v>
      </c>
      <c r="E1205" s="2">
        <v>40664</v>
      </c>
      <c r="F1205" s="2">
        <f t="shared" si="269"/>
        <v>44317</v>
      </c>
      <c r="G1205" s="27">
        <v>2069.6999999999998</v>
      </c>
      <c r="H1205" s="7" t="s">
        <v>3345</v>
      </c>
      <c r="I1205" s="7" t="s">
        <v>2186</v>
      </c>
      <c r="J1205" s="186"/>
      <c r="K1205" s="266">
        <f t="shared" si="277"/>
        <v>2021</v>
      </c>
      <c r="L1205" s="390"/>
      <c r="M1205" s="390"/>
      <c r="N1205" s="32" t="s">
        <v>3335</v>
      </c>
      <c r="O1205" s="32" t="s">
        <v>3346</v>
      </c>
      <c r="P1205" s="278"/>
      <c r="Q1205" s="233"/>
      <c r="R1205" s="75">
        <v>7390</v>
      </c>
      <c r="S1205" s="75"/>
      <c r="T1205" s="75">
        <v>7390</v>
      </c>
      <c r="U1205" s="200">
        <v>3105</v>
      </c>
      <c r="V1205" s="287">
        <f t="shared" ca="1" si="278"/>
        <v>9</v>
      </c>
      <c r="W1205" s="75">
        <f t="shared" ca="1" si="279"/>
        <v>32085</v>
      </c>
      <c r="X1205" s="200">
        <f t="shared" ca="1" si="280"/>
        <v>36370</v>
      </c>
      <c r="Y1205" s="7"/>
      <c r="Z1205" s="31">
        <v>0.1</v>
      </c>
      <c r="AA1205" s="223">
        <v>0.09</v>
      </c>
      <c r="AB1205" s="302" t="s">
        <v>6995</v>
      </c>
      <c r="AC1205" s="302"/>
      <c r="AD1205" s="302"/>
      <c r="AE1205" s="302"/>
      <c r="AF1205">
        <f t="shared" si="267"/>
        <v>0</v>
      </c>
    </row>
    <row r="1206" spans="1:32" ht="51.75" hidden="1" x14ac:dyDescent="0.25">
      <c r="A1206" s="322" t="s">
        <v>3347</v>
      </c>
      <c r="B1206" s="93" t="str">
        <f t="shared" si="276"/>
        <v>YES</v>
      </c>
      <c r="C1206" s="93" t="s">
        <v>5503</v>
      </c>
      <c r="D1206" s="4">
        <v>40619</v>
      </c>
      <c r="E1206" s="2">
        <v>40664</v>
      </c>
      <c r="F1206" s="2">
        <f t="shared" si="269"/>
        <v>44317</v>
      </c>
      <c r="G1206" s="27">
        <v>794.84</v>
      </c>
      <c r="H1206" s="7" t="s">
        <v>3348</v>
      </c>
      <c r="I1206" s="7" t="s">
        <v>79</v>
      </c>
      <c r="J1206" s="186"/>
      <c r="K1206" s="266">
        <f t="shared" si="277"/>
        <v>2021</v>
      </c>
      <c r="L1206" s="390" t="s">
        <v>7591</v>
      </c>
      <c r="M1206" s="390" t="s">
        <v>7574</v>
      </c>
      <c r="N1206" s="32" t="s">
        <v>3349</v>
      </c>
      <c r="O1206" s="32" t="s">
        <v>3350</v>
      </c>
      <c r="P1206" s="278" t="s">
        <v>3351</v>
      </c>
      <c r="Q1206" s="233"/>
      <c r="R1206" s="75">
        <v>2927.5</v>
      </c>
      <c r="S1206" s="75"/>
      <c r="T1206" s="75">
        <v>2927.5</v>
      </c>
      <c r="U1206" s="200">
        <v>1192.5</v>
      </c>
      <c r="V1206" s="287">
        <f t="shared" ca="1" si="278"/>
        <v>9</v>
      </c>
      <c r="W1206" s="75">
        <f t="shared" ca="1" si="279"/>
        <v>12322.5</v>
      </c>
      <c r="X1206" s="200">
        <f t="shared" ca="1" si="280"/>
        <v>14057.5</v>
      </c>
      <c r="Y1206" s="7"/>
      <c r="Z1206" s="31">
        <v>0.1</v>
      </c>
      <c r="AA1206" s="223">
        <v>0.09</v>
      </c>
      <c r="AB1206" s="302" t="s">
        <v>8094</v>
      </c>
      <c r="AC1206" s="302"/>
      <c r="AD1206" s="302"/>
      <c r="AE1206" s="302"/>
      <c r="AF1206">
        <f t="shared" si="267"/>
        <v>0</v>
      </c>
    </row>
    <row r="1207" spans="1:32" ht="39" hidden="1" x14ac:dyDescent="0.25">
      <c r="A1207" s="322" t="s">
        <v>3352</v>
      </c>
      <c r="B1207" s="93" t="str">
        <f t="shared" si="276"/>
        <v>YES</v>
      </c>
      <c r="C1207" s="93" t="s">
        <v>5503</v>
      </c>
      <c r="D1207" s="4">
        <v>40619</v>
      </c>
      <c r="E1207" s="2">
        <v>40664</v>
      </c>
      <c r="F1207" s="2">
        <f t="shared" si="269"/>
        <v>44317</v>
      </c>
      <c r="G1207" s="27">
        <v>80</v>
      </c>
      <c r="H1207" s="7" t="s">
        <v>3348</v>
      </c>
      <c r="I1207" s="7" t="s">
        <v>79</v>
      </c>
      <c r="J1207" s="186"/>
      <c r="K1207" s="266">
        <f t="shared" si="277"/>
        <v>2021</v>
      </c>
      <c r="L1207" s="390" t="s">
        <v>7591</v>
      </c>
      <c r="M1207" s="390" t="s">
        <v>7574</v>
      </c>
      <c r="N1207" s="32" t="s">
        <v>3349</v>
      </c>
      <c r="O1207" s="32" t="s">
        <v>3353</v>
      </c>
      <c r="P1207" s="278" t="s">
        <v>3354</v>
      </c>
      <c r="Q1207" s="233"/>
      <c r="R1207" s="75">
        <v>425</v>
      </c>
      <c r="S1207" s="75">
        <v>1600</v>
      </c>
      <c r="T1207" s="75">
        <v>2025</v>
      </c>
      <c r="U1207" s="200">
        <v>120</v>
      </c>
      <c r="V1207" s="287">
        <f t="shared" ca="1" si="278"/>
        <v>9</v>
      </c>
      <c r="W1207" s="75">
        <f t="shared" ca="1" si="279"/>
        <v>1240</v>
      </c>
      <c r="X1207" s="200">
        <f t="shared" ca="1" si="280"/>
        <v>3145</v>
      </c>
      <c r="Y1207" s="7"/>
      <c r="Z1207" s="31">
        <v>0.1</v>
      </c>
      <c r="AA1207" s="223">
        <v>0.09</v>
      </c>
      <c r="AB1207" s="302" t="s">
        <v>8095</v>
      </c>
      <c r="AC1207" s="302"/>
      <c r="AD1207" s="302"/>
      <c r="AE1207" s="302"/>
      <c r="AF1207">
        <f t="shared" si="267"/>
        <v>0</v>
      </c>
    </row>
    <row r="1208" spans="1:32" ht="51.75" hidden="1" x14ac:dyDescent="0.25">
      <c r="A1208" s="322" t="s">
        <v>3355</v>
      </c>
      <c r="B1208" s="93" t="str">
        <f t="shared" si="276"/>
        <v>YES</v>
      </c>
      <c r="C1208" s="93" t="s">
        <v>5503</v>
      </c>
      <c r="D1208" s="4">
        <v>40619</v>
      </c>
      <c r="E1208" s="2">
        <v>40664</v>
      </c>
      <c r="F1208" s="2">
        <f t="shared" si="269"/>
        <v>44317</v>
      </c>
      <c r="G1208" s="27">
        <v>1112</v>
      </c>
      <c r="H1208" s="7" t="s">
        <v>3348</v>
      </c>
      <c r="I1208" s="7" t="s">
        <v>79</v>
      </c>
      <c r="J1208" s="186"/>
      <c r="K1208" s="266">
        <f t="shared" si="277"/>
        <v>2021</v>
      </c>
      <c r="L1208" s="390" t="s">
        <v>7591</v>
      </c>
      <c r="M1208" s="390" t="s">
        <v>7574</v>
      </c>
      <c r="N1208" s="32" t="s">
        <v>3349</v>
      </c>
      <c r="O1208" s="32" t="s">
        <v>3356</v>
      </c>
      <c r="P1208" s="278" t="s">
        <v>3357</v>
      </c>
      <c r="Q1208" s="233"/>
      <c r="R1208" s="75">
        <v>4037</v>
      </c>
      <c r="S1208" s="75">
        <v>22240</v>
      </c>
      <c r="T1208" s="75">
        <v>26277</v>
      </c>
      <c r="U1208" s="200">
        <v>1668</v>
      </c>
      <c r="V1208" s="287">
        <f t="shared" ca="1" si="278"/>
        <v>9</v>
      </c>
      <c r="W1208" s="75">
        <f t="shared" ca="1" si="279"/>
        <v>17236</v>
      </c>
      <c r="X1208" s="200">
        <f t="shared" ca="1" si="280"/>
        <v>41845</v>
      </c>
      <c r="Y1208" s="7"/>
      <c r="Z1208" s="31">
        <v>0.1</v>
      </c>
      <c r="AA1208" s="223">
        <v>0.09</v>
      </c>
      <c r="AB1208" s="302" t="s">
        <v>8096</v>
      </c>
      <c r="AC1208" s="302"/>
      <c r="AD1208" s="302"/>
      <c r="AE1208" s="302"/>
      <c r="AF1208">
        <f t="shared" si="267"/>
        <v>0</v>
      </c>
    </row>
    <row r="1209" spans="1:32" ht="39" hidden="1" x14ac:dyDescent="0.25">
      <c r="A1209" s="322" t="s">
        <v>3358</v>
      </c>
      <c r="B1209" s="93" t="str">
        <f t="shared" si="276"/>
        <v>YES</v>
      </c>
      <c r="C1209" s="93" t="s">
        <v>5503</v>
      </c>
      <c r="D1209" s="4">
        <v>40619</v>
      </c>
      <c r="E1209" s="2">
        <v>40664</v>
      </c>
      <c r="F1209" s="2">
        <f t="shared" si="269"/>
        <v>44317</v>
      </c>
      <c r="G1209" s="27">
        <v>477.66</v>
      </c>
      <c r="H1209" s="7" t="s">
        <v>3348</v>
      </c>
      <c r="I1209" s="7" t="s">
        <v>79</v>
      </c>
      <c r="J1209" s="186"/>
      <c r="K1209" s="266">
        <f t="shared" si="277"/>
        <v>2021</v>
      </c>
      <c r="L1209" s="390" t="s">
        <v>7591</v>
      </c>
      <c r="M1209" s="390" t="s">
        <v>7574</v>
      </c>
      <c r="N1209" s="32" t="s">
        <v>3349</v>
      </c>
      <c r="O1209" s="32" t="s">
        <v>3359</v>
      </c>
      <c r="P1209" s="278" t="s">
        <v>3360</v>
      </c>
      <c r="Q1209" s="233"/>
      <c r="R1209" s="75">
        <v>1818</v>
      </c>
      <c r="S1209" s="75">
        <v>15296</v>
      </c>
      <c r="T1209" s="75">
        <v>17114</v>
      </c>
      <c r="U1209" s="200">
        <v>717</v>
      </c>
      <c r="V1209" s="287">
        <f t="shared" ca="1" si="278"/>
        <v>9</v>
      </c>
      <c r="W1209" s="75">
        <f t="shared" ca="1" si="279"/>
        <v>7409</v>
      </c>
      <c r="X1209" s="200">
        <f t="shared" ca="1" si="280"/>
        <v>23806</v>
      </c>
      <c r="Y1209" s="7"/>
      <c r="Z1209" s="31">
        <v>0.1</v>
      </c>
      <c r="AA1209" s="223">
        <v>0.09</v>
      </c>
      <c r="AB1209" s="302" t="s">
        <v>8088</v>
      </c>
      <c r="AC1209" s="302"/>
      <c r="AD1209" s="302"/>
      <c r="AE1209" s="302"/>
      <c r="AF1209">
        <f t="shared" si="267"/>
        <v>0</v>
      </c>
    </row>
    <row r="1210" spans="1:32" ht="39" hidden="1" x14ac:dyDescent="0.25">
      <c r="A1210" s="322" t="s">
        <v>3361</v>
      </c>
      <c r="B1210" s="93" t="str">
        <f t="shared" si="276"/>
        <v>YES</v>
      </c>
      <c r="C1210" s="93" t="s">
        <v>5503</v>
      </c>
      <c r="D1210" s="4">
        <v>40619</v>
      </c>
      <c r="E1210" s="2">
        <v>40664</v>
      </c>
      <c r="F1210" s="2">
        <f t="shared" si="269"/>
        <v>44317</v>
      </c>
      <c r="G1210" s="27">
        <v>793.21</v>
      </c>
      <c r="H1210" s="7" t="s">
        <v>3348</v>
      </c>
      <c r="I1210" s="7" t="s">
        <v>79</v>
      </c>
      <c r="J1210" s="186"/>
      <c r="K1210" s="266">
        <f t="shared" si="277"/>
        <v>2021</v>
      </c>
      <c r="L1210" s="390" t="s">
        <v>7591</v>
      </c>
      <c r="M1210" s="390" t="s">
        <v>7574</v>
      </c>
      <c r="N1210" s="32" t="s">
        <v>3362</v>
      </c>
      <c r="O1210" s="32" t="s">
        <v>3363</v>
      </c>
      <c r="P1210" s="278" t="s">
        <v>3364</v>
      </c>
      <c r="Q1210" s="233"/>
      <c r="R1210" s="75">
        <v>2924</v>
      </c>
      <c r="S1210" s="75">
        <v>15880</v>
      </c>
      <c r="T1210" s="75">
        <v>18804</v>
      </c>
      <c r="U1210" s="200">
        <v>1191</v>
      </c>
      <c r="V1210" s="287">
        <f t="shared" ca="1" si="278"/>
        <v>9</v>
      </c>
      <c r="W1210" s="75">
        <f t="shared" ca="1" si="279"/>
        <v>12307</v>
      </c>
      <c r="X1210" s="200">
        <f t="shared" ca="1" si="280"/>
        <v>29920</v>
      </c>
      <c r="Y1210" s="7"/>
      <c r="Z1210" s="31">
        <v>0.1</v>
      </c>
      <c r="AA1210" s="223">
        <v>0.09</v>
      </c>
      <c r="AB1210" s="302" t="s">
        <v>8089</v>
      </c>
      <c r="AC1210" s="302"/>
      <c r="AD1210" s="302"/>
      <c r="AE1210" s="302"/>
      <c r="AF1210">
        <f t="shared" si="267"/>
        <v>0</v>
      </c>
    </row>
    <row r="1211" spans="1:32" ht="51.75" hidden="1" x14ac:dyDescent="0.25">
      <c r="A1211" s="322" t="s">
        <v>3365</v>
      </c>
      <c r="B1211" s="93" t="str">
        <f t="shared" si="276"/>
        <v>YES</v>
      </c>
      <c r="C1211" s="93" t="s">
        <v>5503</v>
      </c>
      <c r="D1211" s="4">
        <v>40619</v>
      </c>
      <c r="E1211" s="2">
        <v>40664</v>
      </c>
      <c r="F1211" s="2">
        <f t="shared" si="269"/>
        <v>44317</v>
      </c>
      <c r="G1211" s="27">
        <v>1071.9100000000001</v>
      </c>
      <c r="H1211" s="7" t="s">
        <v>3348</v>
      </c>
      <c r="I1211" s="7" t="s">
        <v>79</v>
      </c>
      <c r="J1211" s="105" t="s">
        <v>7833</v>
      </c>
      <c r="K1211" s="266">
        <f t="shared" si="277"/>
        <v>2021</v>
      </c>
      <c r="L1211" s="390" t="s">
        <v>5863</v>
      </c>
      <c r="M1211" s="390" t="s">
        <v>5840</v>
      </c>
      <c r="N1211" s="32" t="s">
        <v>3366</v>
      </c>
      <c r="O1211" s="32" t="s">
        <v>3367</v>
      </c>
      <c r="P1211" s="278" t="s">
        <v>3368</v>
      </c>
      <c r="Q1211" s="233"/>
      <c r="R1211" s="75">
        <v>3897</v>
      </c>
      <c r="S1211" s="75"/>
      <c r="T1211" s="75">
        <v>3897</v>
      </c>
      <c r="U1211" s="200">
        <v>1608</v>
      </c>
      <c r="V1211" s="287">
        <f t="shared" ca="1" si="278"/>
        <v>9</v>
      </c>
      <c r="W1211" s="75">
        <f t="shared" ca="1" si="279"/>
        <v>16616</v>
      </c>
      <c r="X1211" s="200">
        <f t="shared" ca="1" si="280"/>
        <v>18905</v>
      </c>
      <c r="Y1211" s="7"/>
      <c r="Z1211" s="31">
        <v>0.1</v>
      </c>
      <c r="AA1211" s="223">
        <v>0.09</v>
      </c>
      <c r="AB1211" s="302"/>
      <c r="AC1211" s="302"/>
      <c r="AD1211" s="302"/>
      <c r="AE1211" s="302"/>
      <c r="AF1211">
        <f t="shared" si="267"/>
        <v>0</v>
      </c>
    </row>
    <row r="1212" spans="1:32" ht="64.5" hidden="1" customHeight="1" x14ac:dyDescent="0.25">
      <c r="A1212" s="322" t="s">
        <v>3369</v>
      </c>
      <c r="B1212" s="93" t="str">
        <f t="shared" si="276"/>
        <v>YES</v>
      </c>
      <c r="C1212" s="93" t="s">
        <v>5503</v>
      </c>
      <c r="D1212" s="4">
        <v>40619</v>
      </c>
      <c r="E1212" s="2">
        <v>40664</v>
      </c>
      <c r="F1212" s="2">
        <f t="shared" si="269"/>
        <v>44317</v>
      </c>
      <c r="G1212" s="27">
        <v>1083.6500000000001</v>
      </c>
      <c r="H1212" s="7" t="s">
        <v>3348</v>
      </c>
      <c r="I1212" s="7" t="s">
        <v>79</v>
      </c>
      <c r="J1212" s="186"/>
      <c r="K1212" s="266">
        <f t="shared" si="277"/>
        <v>2021</v>
      </c>
      <c r="L1212" s="390" t="s">
        <v>5863</v>
      </c>
      <c r="M1212" s="390" t="s">
        <v>5840</v>
      </c>
      <c r="N1212" s="32" t="s">
        <v>3366</v>
      </c>
      <c r="O1212" s="32" t="s">
        <v>3370</v>
      </c>
      <c r="P1212" s="278" t="s">
        <v>3371</v>
      </c>
      <c r="Q1212" s="233"/>
      <c r="R1212" s="75">
        <v>3939</v>
      </c>
      <c r="S1212" s="75"/>
      <c r="T1212" s="75">
        <v>3939</v>
      </c>
      <c r="U1212" s="200">
        <v>1626</v>
      </c>
      <c r="V1212" s="287">
        <f t="shared" ca="1" si="278"/>
        <v>9</v>
      </c>
      <c r="W1212" s="75">
        <f t="shared" ca="1" si="279"/>
        <v>16802</v>
      </c>
      <c r="X1212" s="200">
        <f t="shared" ca="1" si="280"/>
        <v>19115</v>
      </c>
      <c r="Y1212" s="7"/>
      <c r="Z1212" s="31">
        <v>0.1</v>
      </c>
      <c r="AA1212" s="223">
        <v>0.09</v>
      </c>
      <c r="AB1212" s="302" t="s">
        <v>8090</v>
      </c>
      <c r="AC1212" s="302"/>
      <c r="AD1212" s="302"/>
      <c r="AE1212" s="302"/>
      <c r="AF1212">
        <f t="shared" si="267"/>
        <v>0</v>
      </c>
    </row>
    <row r="1213" spans="1:32" ht="39" hidden="1" x14ac:dyDescent="0.25">
      <c r="A1213" s="322" t="s">
        <v>3372</v>
      </c>
      <c r="B1213" s="93" t="str">
        <f t="shared" si="276"/>
        <v>YES</v>
      </c>
      <c r="C1213" s="93" t="s">
        <v>5503</v>
      </c>
      <c r="D1213" s="4">
        <v>40619</v>
      </c>
      <c r="E1213" s="2">
        <v>40664</v>
      </c>
      <c r="F1213" s="2">
        <f t="shared" si="269"/>
        <v>44317</v>
      </c>
      <c r="G1213" s="27">
        <v>179.05</v>
      </c>
      <c r="H1213" s="7" t="s">
        <v>3348</v>
      </c>
      <c r="I1213" s="7" t="s">
        <v>79</v>
      </c>
      <c r="J1213" s="186"/>
      <c r="K1213" s="266">
        <f t="shared" si="277"/>
        <v>2021</v>
      </c>
      <c r="L1213" s="390" t="s">
        <v>5863</v>
      </c>
      <c r="M1213" s="390" t="s">
        <v>5840</v>
      </c>
      <c r="N1213" s="32" t="s">
        <v>3366</v>
      </c>
      <c r="O1213" s="32" t="s">
        <v>3373</v>
      </c>
      <c r="P1213" s="278" t="s">
        <v>3374</v>
      </c>
      <c r="Q1213" s="233"/>
      <c r="R1213" s="75">
        <v>775</v>
      </c>
      <c r="S1213" s="75"/>
      <c r="T1213" s="75">
        <v>775</v>
      </c>
      <c r="U1213" s="200">
        <v>270</v>
      </c>
      <c r="V1213" s="287">
        <f t="shared" ca="1" si="278"/>
        <v>9</v>
      </c>
      <c r="W1213" s="75">
        <f t="shared" ca="1" si="279"/>
        <v>2790</v>
      </c>
      <c r="X1213" s="200">
        <f t="shared" ca="1" si="280"/>
        <v>3295</v>
      </c>
      <c r="Y1213" s="7"/>
      <c r="Z1213" s="31">
        <v>0.1</v>
      </c>
      <c r="AA1213" s="223">
        <v>0.09</v>
      </c>
      <c r="AB1213" s="302" t="s">
        <v>8091</v>
      </c>
      <c r="AC1213" s="302"/>
      <c r="AD1213" s="302"/>
      <c r="AE1213" s="302"/>
      <c r="AF1213">
        <f t="shared" si="267"/>
        <v>0</v>
      </c>
    </row>
    <row r="1214" spans="1:32" ht="51.75" hidden="1" x14ac:dyDescent="0.25">
      <c r="A1214" s="322" t="s">
        <v>3375</v>
      </c>
      <c r="B1214" s="93" t="str">
        <f t="shared" si="276"/>
        <v>YES</v>
      </c>
      <c r="C1214" s="93" t="s">
        <v>5503</v>
      </c>
      <c r="D1214" s="4">
        <v>40619</v>
      </c>
      <c r="E1214" s="2">
        <v>40664</v>
      </c>
      <c r="F1214" s="2">
        <f t="shared" si="269"/>
        <v>44317</v>
      </c>
      <c r="G1214" s="27">
        <v>655.28</v>
      </c>
      <c r="H1214" s="7" t="s">
        <v>3348</v>
      </c>
      <c r="I1214" s="7" t="s">
        <v>79</v>
      </c>
      <c r="J1214" s="186"/>
      <c r="K1214" s="266">
        <f t="shared" si="277"/>
        <v>2021</v>
      </c>
      <c r="L1214" s="390" t="s">
        <v>5863</v>
      </c>
      <c r="M1214" s="390" t="s">
        <v>5840</v>
      </c>
      <c r="N1214" s="32" t="s">
        <v>3366</v>
      </c>
      <c r="O1214" s="32" t="s">
        <v>3376</v>
      </c>
      <c r="P1214" s="278" t="s">
        <v>3377</v>
      </c>
      <c r="Q1214" s="233"/>
      <c r="R1214" s="75">
        <v>2441</v>
      </c>
      <c r="S1214" s="75"/>
      <c r="T1214" s="75">
        <v>2441</v>
      </c>
      <c r="U1214" s="200">
        <v>984</v>
      </c>
      <c r="V1214" s="287">
        <f t="shared" ca="1" si="278"/>
        <v>9</v>
      </c>
      <c r="W1214" s="75">
        <f t="shared" ca="1" si="279"/>
        <v>10168</v>
      </c>
      <c r="X1214" s="200">
        <f t="shared" ca="1" si="280"/>
        <v>11625</v>
      </c>
      <c r="Y1214" s="7"/>
      <c r="Z1214" s="31">
        <v>0.1</v>
      </c>
      <c r="AA1214" s="223">
        <v>0.09</v>
      </c>
      <c r="AB1214" s="302" t="s">
        <v>8092</v>
      </c>
      <c r="AC1214" s="302"/>
      <c r="AD1214" s="302"/>
      <c r="AE1214" s="302"/>
      <c r="AF1214">
        <f t="shared" si="267"/>
        <v>0</v>
      </c>
    </row>
    <row r="1215" spans="1:32" ht="51.75" hidden="1" x14ac:dyDescent="0.25">
      <c r="A1215" s="322" t="s">
        <v>3378</v>
      </c>
      <c r="B1215" s="93" t="str">
        <f t="shared" ref="B1215:B1246" si="281">IF(COUNTIF(GIS,A1215),"YES","NO")</f>
        <v>YES</v>
      </c>
      <c r="C1215" s="93" t="s">
        <v>5503</v>
      </c>
      <c r="D1215" s="4">
        <v>40619</v>
      </c>
      <c r="E1215" s="2">
        <v>40664</v>
      </c>
      <c r="F1215" s="2">
        <f t="shared" si="269"/>
        <v>44317</v>
      </c>
      <c r="G1215" s="27">
        <v>976.88</v>
      </c>
      <c r="H1215" s="7" t="s">
        <v>2831</v>
      </c>
      <c r="I1215" s="7" t="s">
        <v>79</v>
      </c>
      <c r="J1215" s="186"/>
      <c r="K1215" s="266">
        <f t="shared" ref="K1215:K1246" si="282">YEAR(F1215)</f>
        <v>2021</v>
      </c>
      <c r="L1215" s="390" t="s">
        <v>5875</v>
      </c>
      <c r="M1215" s="390" t="s">
        <v>7574</v>
      </c>
      <c r="N1215" s="32" t="s">
        <v>3380</v>
      </c>
      <c r="O1215" s="32" t="s">
        <v>3381</v>
      </c>
      <c r="P1215" s="278" t="s">
        <v>3382</v>
      </c>
      <c r="Q1215" s="233"/>
      <c r="R1215" s="75">
        <v>3564.5</v>
      </c>
      <c r="S1215" s="75"/>
      <c r="T1215" s="75">
        <v>3564.5</v>
      </c>
      <c r="U1215" s="200">
        <v>1465.5</v>
      </c>
      <c r="V1215" s="287">
        <f t="shared" ref="V1215:V1246" ca="1" si="283">IF(YEAR($W$3)-YEAR(E1215)&gt;9,10,IF(MONTH($W$3)&lt;MONTH(E1215),YEAR($W$3)-YEAR(E1215),YEAR($W$3)-YEAR(E1215)+1))</f>
        <v>9</v>
      </c>
      <c r="W1215" s="75">
        <f t="shared" ref="W1215:W1246" ca="1" si="284">IF(V1215&lt;6, ROUNDUP(G1215,0)*$W$6*V1215, ROUNDUP(G1215,0)*($W$6*5 + (V1215-5)*$W$7))</f>
        <v>15143.5</v>
      </c>
      <c r="X1215" s="200">
        <f t="shared" ca="1" si="280"/>
        <v>17242.5</v>
      </c>
      <c r="Y1215" s="7"/>
      <c r="Z1215" s="31">
        <v>0.1</v>
      </c>
      <c r="AA1215" s="223">
        <v>0.09</v>
      </c>
      <c r="AB1215" s="302" t="s">
        <v>6996</v>
      </c>
      <c r="AC1215" s="302"/>
      <c r="AD1215" s="302"/>
      <c r="AE1215" s="302"/>
      <c r="AF1215">
        <f t="shared" si="267"/>
        <v>0</v>
      </c>
    </row>
    <row r="1216" spans="1:32" ht="51.75" hidden="1" x14ac:dyDescent="0.25">
      <c r="A1216" s="322" t="s">
        <v>3383</v>
      </c>
      <c r="B1216" s="93" t="str">
        <f t="shared" si="281"/>
        <v>YES</v>
      </c>
      <c r="C1216" s="93" t="s">
        <v>5503</v>
      </c>
      <c r="D1216" s="4">
        <v>40619</v>
      </c>
      <c r="E1216" s="2">
        <v>40664</v>
      </c>
      <c r="F1216" s="2">
        <f t="shared" si="269"/>
        <v>44317</v>
      </c>
      <c r="G1216" s="27">
        <v>761.76</v>
      </c>
      <c r="H1216" s="7" t="s">
        <v>2831</v>
      </c>
      <c r="I1216" s="7" t="s">
        <v>79</v>
      </c>
      <c r="J1216" s="186"/>
      <c r="K1216" s="266">
        <f t="shared" si="282"/>
        <v>2021</v>
      </c>
      <c r="L1216" s="390" t="s">
        <v>5875</v>
      </c>
      <c r="M1216" s="390" t="s">
        <v>7574</v>
      </c>
      <c r="N1216" s="32" t="s">
        <v>3380</v>
      </c>
      <c r="O1216" s="32" t="s">
        <v>3384</v>
      </c>
      <c r="P1216" s="278" t="s">
        <v>3385</v>
      </c>
      <c r="Q1216" s="233"/>
      <c r="R1216" s="75">
        <v>2812</v>
      </c>
      <c r="S1216" s="75"/>
      <c r="T1216" s="75">
        <v>2812</v>
      </c>
      <c r="U1216" s="200">
        <v>1143</v>
      </c>
      <c r="V1216" s="287">
        <f t="shared" ca="1" si="283"/>
        <v>9</v>
      </c>
      <c r="W1216" s="75">
        <f t="shared" ca="1" si="284"/>
        <v>11811</v>
      </c>
      <c r="X1216" s="200">
        <f t="shared" ca="1" si="280"/>
        <v>13480</v>
      </c>
      <c r="Y1216" s="7"/>
      <c r="Z1216" s="31">
        <v>0.1</v>
      </c>
      <c r="AA1216" s="223">
        <v>0.09</v>
      </c>
      <c r="AB1216" s="302" t="s">
        <v>6997</v>
      </c>
      <c r="AC1216" s="302"/>
      <c r="AD1216" s="302"/>
      <c r="AE1216" s="302"/>
      <c r="AF1216">
        <f t="shared" si="267"/>
        <v>0</v>
      </c>
    </row>
    <row r="1217" spans="1:32" ht="39" hidden="1" x14ac:dyDescent="0.25">
      <c r="A1217" s="322" t="s">
        <v>3386</v>
      </c>
      <c r="B1217" s="93" t="str">
        <f t="shared" si="281"/>
        <v>YES</v>
      </c>
      <c r="C1217" s="93" t="s">
        <v>5503</v>
      </c>
      <c r="D1217" s="4">
        <v>40619</v>
      </c>
      <c r="E1217" s="2">
        <v>40664</v>
      </c>
      <c r="F1217" s="2">
        <f t="shared" si="269"/>
        <v>44317</v>
      </c>
      <c r="G1217" s="27">
        <v>1079.17</v>
      </c>
      <c r="H1217" s="7" t="s">
        <v>2831</v>
      </c>
      <c r="I1217" s="7" t="s">
        <v>79</v>
      </c>
      <c r="J1217" s="186"/>
      <c r="K1217" s="266">
        <f t="shared" si="282"/>
        <v>2021</v>
      </c>
      <c r="L1217" s="390" t="s">
        <v>5875</v>
      </c>
      <c r="M1217" s="390" t="s">
        <v>7574</v>
      </c>
      <c r="N1217" s="32" t="s">
        <v>3380</v>
      </c>
      <c r="O1217" s="32" t="s">
        <v>3387</v>
      </c>
      <c r="P1217" s="278" t="s">
        <v>3385</v>
      </c>
      <c r="Q1217" s="233"/>
      <c r="R1217" s="75">
        <v>3925</v>
      </c>
      <c r="S1217" s="75"/>
      <c r="T1217" s="75">
        <v>3925</v>
      </c>
      <c r="U1217" s="200">
        <v>1620</v>
      </c>
      <c r="V1217" s="287">
        <f t="shared" ca="1" si="283"/>
        <v>9</v>
      </c>
      <c r="W1217" s="75">
        <f t="shared" ca="1" si="284"/>
        <v>16740</v>
      </c>
      <c r="X1217" s="200">
        <f t="shared" ca="1" si="280"/>
        <v>19045</v>
      </c>
      <c r="Y1217" s="7"/>
      <c r="Z1217" s="31">
        <v>0.1</v>
      </c>
      <c r="AA1217" s="223">
        <v>0.09</v>
      </c>
      <c r="AB1217" s="302" t="s">
        <v>6998</v>
      </c>
      <c r="AC1217" s="302"/>
      <c r="AD1217" s="302"/>
      <c r="AE1217" s="302"/>
      <c r="AF1217">
        <f t="shared" si="267"/>
        <v>0</v>
      </c>
    </row>
    <row r="1218" spans="1:32" ht="26.25" hidden="1" x14ac:dyDescent="0.25">
      <c r="A1218" s="322" t="s">
        <v>3388</v>
      </c>
      <c r="B1218" s="93" t="str">
        <f t="shared" si="281"/>
        <v>YES</v>
      </c>
      <c r="C1218" s="93" t="s">
        <v>5503</v>
      </c>
      <c r="D1218" s="4">
        <v>40619</v>
      </c>
      <c r="E1218" s="2">
        <v>40664</v>
      </c>
      <c r="F1218" s="2">
        <f t="shared" si="269"/>
        <v>44317</v>
      </c>
      <c r="G1218" s="27">
        <v>19.829999999999998</v>
      </c>
      <c r="H1218" s="7" t="s">
        <v>2831</v>
      </c>
      <c r="I1218" s="7" t="s">
        <v>79</v>
      </c>
      <c r="J1218" s="186"/>
      <c r="K1218" s="266">
        <f t="shared" si="282"/>
        <v>2021</v>
      </c>
      <c r="L1218" s="390" t="s">
        <v>5875</v>
      </c>
      <c r="M1218" s="390" t="s">
        <v>7574</v>
      </c>
      <c r="N1218" s="32" t="s">
        <v>3380</v>
      </c>
      <c r="O1218" s="32" t="s">
        <v>3389</v>
      </c>
      <c r="P1218" s="278" t="s">
        <v>3385</v>
      </c>
      <c r="Q1218" s="233"/>
      <c r="R1218" s="75">
        <v>215</v>
      </c>
      <c r="S1218" s="75"/>
      <c r="T1218" s="75">
        <v>215</v>
      </c>
      <c r="U1218" s="200">
        <v>30</v>
      </c>
      <c r="V1218" s="287">
        <f t="shared" ca="1" si="283"/>
        <v>9</v>
      </c>
      <c r="W1218" s="75">
        <f t="shared" ca="1" si="284"/>
        <v>310</v>
      </c>
      <c r="X1218" s="200">
        <f t="shared" ca="1" si="280"/>
        <v>495</v>
      </c>
      <c r="Y1218" s="7"/>
      <c r="Z1218" s="31">
        <v>0.1</v>
      </c>
      <c r="AA1218" s="223">
        <v>0.09</v>
      </c>
      <c r="AB1218" s="302" t="s">
        <v>6999</v>
      </c>
      <c r="AC1218" s="302"/>
      <c r="AD1218" s="302"/>
      <c r="AE1218" s="302"/>
      <c r="AF1218">
        <f t="shared" si="267"/>
        <v>0</v>
      </c>
    </row>
    <row r="1219" spans="1:32" ht="51.75" hidden="1" x14ac:dyDescent="0.25">
      <c r="A1219" s="322" t="s">
        <v>3390</v>
      </c>
      <c r="B1219" s="93" t="str">
        <f t="shared" si="281"/>
        <v>YES</v>
      </c>
      <c r="C1219" s="93" t="s">
        <v>5503</v>
      </c>
      <c r="D1219" s="4">
        <v>40619</v>
      </c>
      <c r="E1219" s="2">
        <v>40664</v>
      </c>
      <c r="F1219" s="2">
        <f t="shared" si="269"/>
        <v>44317</v>
      </c>
      <c r="G1219" s="27">
        <v>1283.5899999999999</v>
      </c>
      <c r="H1219" s="7" t="s">
        <v>2831</v>
      </c>
      <c r="I1219" s="7" t="s">
        <v>79</v>
      </c>
      <c r="J1219" s="186"/>
      <c r="K1219" s="266">
        <f t="shared" si="282"/>
        <v>2021</v>
      </c>
      <c r="L1219" s="390" t="s">
        <v>5875</v>
      </c>
      <c r="M1219" s="390" t="s">
        <v>7574</v>
      </c>
      <c r="N1219" s="32" t="s">
        <v>3380</v>
      </c>
      <c r="O1219" s="32" t="s">
        <v>3391</v>
      </c>
      <c r="P1219" s="278" t="s">
        <v>3392</v>
      </c>
      <c r="Q1219" s="233"/>
      <c r="R1219" s="75">
        <v>4639</v>
      </c>
      <c r="S1219" s="75"/>
      <c r="T1219" s="75">
        <v>4639</v>
      </c>
      <c r="U1219" s="200">
        <v>1926</v>
      </c>
      <c r="V1219" s="287">
        <f t="shared" ca="1" si="283"/>
        <v>9</v>
      </c>
      <c r="W1219" s="75">
        <f t="shared" ca="1" si="284"/>
        <v>19902</v>
      </c>
      <c r="X1219" s="200">
        <f t="shared" ca="1" si="280"/>
        <v>22615</v>
      </c>
      <c r="Y1219" s="7"/>
      <c r="Z1219" s="31">
        <v>0.1</v>
      </c>
      <c r="AA1219" s="223">
        <v>0.09</v>
      </c>
      <c r="AB1219" s="302" t="s">
        <v>7000</v>
      </c>
      <c r="AC1219" s="302"/>
      <c r="AD1219" s="302"/>
      <c r="AE1219" s="302"/>
      <c r="AF1219">
        <f t="shared" si="267"/>
        <v>0</v>
      </c>
    </row>
    <row r="1220" spans="1:32" ht="51.75" hidden="1" x14ac:dyDescent="0.25">
      <c r="A1220" s="322" t="s">
        <v>3393</v>
      </c>
      <c r="B1220" s="93" t="str">
        <f t="shared" si="281"/>
        <v>YES</v>
      </c>
      <c r="C1220" s="93" t="s">
        <v>5503</v>
      </c>
      <c r="D1220" s="4">
        <v>40619</v>
      </c>
      <c r="E1220" s="2">
        <v>40664</v>
      </c>
      <c r="F1220" s="2">
        <f t="shared" si="269"/>
        <v>44317</v>
      </c>
      <c r="G1220" s="27">
        <v>848.11</v>
      </c>
      <c r="H1220" s="7" t="s">
        <v>2831</v>
      </c>
      <c r="I1220" s="7" t="s">
        <v>79</v>
      </c>
      <c r="J1220" s="186"/>
      <c r="K1220" s="266">
        <f t="shared" si="282"/>
        <v>2021</v>
      </c>
      <c r="L1220" s="390" t="s">
        <v>5875</v>
      </c>
      <c r="M1220" s="390" t="s">
        <v>7574</v>
      </c>
      <c r="N1220" s="32" t="s">
        <v>3380</v>
      </c>
      <c r="O1220" s="32" t="s">
        <v>3394</v>
      </c>
      <c r="P1220" s="278" t="s">
        <v>3395</v>
      </c>
      <c r="Q1220" s="233"/>
      <c r="R1220" s="75">
        <v>3116.5</v>
      </c>
      <c r="S1220" s="75"/>
      <c r="T1220" s="75">
        <v>3116.5</v>
      </c>
      <c r="U1220" s="200">
        <v>1273.5</v>
      </c>
      <c r="V1220" s="287">
        <f t="shared" ca="1" si="283"/>
        <v>9</v>
      </c>
      <c r="W1220" s="75">
        <f t="shared" ca="1" si="284"/>
        <v>13159.5</v>
      </c>
      <c r="X1220" s="200">
        <f t="shared" ca="1" si="280"/>
        <v>15002.5</v>
      </c>
      <c r="Y1220" s="7"/>
      <c r="Z1220" s="31">
        <v>0.1</v>
      </c>
      <c r="AA1220" s="223">
        <v>0.09</v>
      </c>
      <c r="AB1220" s="302" t="s">
        <v>7001</v>
      </c>
      <c r="AC1220" s="302"/>
      <c r="AD1220" s="302"/>
      <c r="AE1220" s="302"/>
      <c r="AF1220">
        <f t="shared" si="267"/>
        <v>0</v>
      </c>
    </row>
    <row r="1221" spans="1:32" ht="51.75" hidden="1" x14ac:dyDescent="0.25">
      <c r="A1221" s="322" t="s">
        <v>3396</v>
      </c>
      <c r="B1221" s="93" t="str">
        <f t="shared" si="281"/>
        <v>YES</v>
      </c>
      <c r="C1221" s="93" t="s">
        <v>5503</v>
      </c>
      <c r="D1221" s="4">
        <v>40619</v>
      </c>
      <c r="E1221" s="2">
        <v>40664</v>
      </c>
      <c r="F1221" s="2">
        <f t="shared" si="269"/>
        <v>44317</v>
      </c>
      <c r="G1221" s="27">
        <v>802.2</v>
      </c>
      <c r="H1221" s="7" t="s">
        <v>2831</v>
      </c>
      <c r="I1221" s="7" t="s">
        <v>79</v>
      </c>
      <c r="J1221" s="186"/>
      <c r="K1221" s="266">
        <f t="shared" si="282"/>
        <v>2021</v>
      </c>
      <c r="L1221" s="390" t="s">
        <v>5875</v>
      </c>
      <c r="M1221" s="390" t="s">
        <v>7574</v>
      </c>
      <c r="N1221" s="32" t="s">
        <v>3380</v>
      </c>
      <c r="O1221" s="32" t="s">
        <v>3397</v>
      </c>
      <c r="P1221" s="278" t="s">
        <v>3398</v>
      </c>
      <c r="Q1221" s="233"/>
      <c r="R1221" s="75">
        <v>2955.5</v>
      </c>
      <c r="S1221" s="75"/>
      <c r="T1221" s="75">
        <v>2955.5</v>
      </c>
      <c r="U1221" s="200">
        <v>1204.5</v>
      </c>
      <c r="V1221" s="287">
        <f t="shared" ca="1" si="283"/>
        <v>9</v>
      </c>
      <c r="W1221" s="75">
        <f t="shared" ca="1" si="284"/>
        <v>12446.5</v>
      </c>
      <c r="X1221" s="200">
        <f t="shared" ca="1" si="280"/>
        <v>14197.5</v>
      </c>
      <c r="Y1221" s="7"/>
      <c r="Z1221" s="31">
        <v>0.1</v>
      </c>
      <c r="AA1221" s="223">
        <v>0.09</v>
      </c>
      <c r="AB1221" s="302" t="s">
        <v>7002</v>
      </c>
      <c r="AC1221" s="302"/>
      <c r="AD1221" s="302"/>
      <c r="AE1221" s="302"/>
      <c r="AF1221">
        <f t="shared" si="267"/>
        <v>0</v>
      </c>
    </row>
    <row r="1222" spans="1:32" ht="26.25" hidden="1" x14ac:dyDescent="0.25">
      <c r="A1222" s="322" t="s">
        <v>3399</v>
      </c>
      <c r="B1222" s="93" t="str">
        <f t="shared" si="281"/>
        <v>YES</v>
      </c>
      <c r="C1222" s="93" t="s">
        <v>5503</v>
      </c>
      <c r="D1222" s="4">
        <v>40619</v>
      </c>
      <c r="E1222" s="2">
        <v>40664</v>
      </c>
      <c r="F1222" s="2">
        <f t="shared" si="269"/>
        <v>44317</v>
      </c>
      <c r="G1222" s="27">
        <v>1239.46</v>
      </c>
      <c r="H1222" s="7" t="s">
        <v>2831</v>
      </c>
      <c r="I1222" s="7" t="s">
        <v>79</v>
      </c>
      <c r="J1222" s="186"/>
      <c r="K1222" s="266">
        <f t="shared" si="282"/>
        <v>2021</v>
      </c>
      <c r="L1222" s="390" t="s">
        <v>5875</v>
      </c>
      <c r="M1222" s="390" t="s">
        <v>7574</v>
      </c>
      <c r="N1222" s="32" t="s">
        <v>3380</v>
      </c>
      <c r="O1222" s="32" t="s">
        <v>3400</v>
      </c>
      <c r="P1222" s="278" t="s">
        <v>3385</v>
      </c>
      <c r="Q1222" s="233"/>
      <c r="R1222" s="75">
        <v>4485</v>
      </c>
      <c r="S1222" s="75"/>
      <c r="T1222" s="75">
        <v>4485</v>
      </c>
      <c r="U1222" s="200">
        <v>1860</v>
      </c>
      <c r="V1222" s="287">
        <f t="shared" ca="1" si="283"/>
        <v>9</v>
      </c>
      <c r="W1222" s="75">
        <f t="shared" ca="1" si="284"/>
        <v>19220</v>
      </c>
      <c r="X1222" s="200">
        <f t="shared" ca="1" si="280"/>
        <v>21845</v>
      </c>
      <c r="Y1222" s="7"/>
      <c r="Z1222" s="31">
        <v>0.1</v>
      </c>
      <c r="AA1222" s="223">
        <v>0.09</v>
      </c>
      <c r="AB1222" s="302" t="s">
        <v>7003</v>
      </c>
      <c r="AC1222" s="302"/>
      <c r="AD1222" s="302"/>
      <c r="AE1222" s="302"/>
      <c r="AF1222">
        <f t="shared" si="267"/>
        <v>0</v>
      </c>
    </row>
    <row r="1223" spans="1:32" ht="51.75" hidden="1" x14ac:dyDescent="0.25">
      <c r="A1223" s="322" t="s">
        <v>3401</v>
      </c>
      <c r="B1223" s="93" t="str">
        <f t="shared" si="281"/>
        <v>YES</v>
      </c>
      <c r="C1223" s="93" t="s">
        <v>5503</v>
      </c>
      <c r="D1223" s="4">
        <v>40619</v>
      </c>
      <c r="E1223" s="2">
        <v>40664</v>
      </c>
      <c r="F1223" s="2">
        <f t="shared" si="269"/>
        <v>44317</v>
      </c>
      <c r="G1223" s="27">
        <v>1453.53</v>
      </c>
      <c r="H1223" s="7" t="s">
        <v>2831</v>
      </c>
      <c r="I1223" s="7" t="s">
        <v>79</v>
      </c>
      <c r="J1223" s="186"/>
      <c r="K1223" s="266">
        <f t="shared" si="282"/>
        <v>2021</v>
      </c>
      <c r="L1223" s="390" t="s">
        <v>5875</v>
      </c>
      <c r="M1223" s="390" t="s">
        <v>7574</v>
      </c>
      <c r="N1223" s="32" t="s">
        <v>3380</v>
      </c>
      <c r="O1223" s="32" t="s">
        <v>3402</v>
      </c>
      <c r="P1223" s="278" t="s">
        <v>3403</v>
      </c>
      <c r="Q1223" s="233"/>
      <c r="R1223" s="75">
        <v>5234</v>
      </c>
      <c r="S1223" s="75"/>
      <c r="T1223" s="75">
        <v>5234</v>
      </c>
      <c r="U1223" s="200">
        <v>2181</v>
      </c>
      <c r="V1223" s="287">
        <f t="shared" ca="1" si="283"/>
        <v>9</v>
      </c>
      <c r="W1223" s="75">
        <f t="shared" ca="1" si="284"/>
        <v>22537</v>
      </c>
      <c r="X1223" s="200">
        <f t="shared" ca="1" si="280"/>
        <v>25590</v>
      </c>
      <c r="Y1223" s="7"/>
      <c r="Z1223" s="31">
        <v>0.1</v>
      </c>
      <c r="AA1223" s="223">
        <v>0.09</v>
      </c>
      <c r="AB1223" s="302" t="s">
        <v>7004</v>
      </c>
      <c r="AC1223" s="302"/>
      <c r="AD1223" s="302"/>
      <c r="AE1223" s="302"/>
      <c r="AF1223">
        <f t="shared" si="267"/>
        <v>0</v>
      </c>
    </row>
    <row r="1224" spans="1:32" ht="26.25" hidden="1" x14ac:dyDescent="0.25">
      <c r="A1224" s="322" t="s">
        <v>3404</v>
      </c>
      <c r="B1224" s="93" t="str">
        <f t="shared" si="281"/>
        <v>YES</v>
      </c>
      <c r="C1224" s="93" t="s">
        <v>5503</v>
      </c>
      <c r="D1224" s="4">
        <v>40619</v>
      </c>
      <c r="E1224" s="2">
        <v>40664</v>
      </c>
      <c r="F1224" s="2">
        <f t="shared" si="269"/>
        <v>44317</v>
      </c>
      <c r="G1224" s="27">
        <v>1107.43</v>
      </c>
      <c r="H1224" s="7" t="s">
        <v>2831</v>
      </c>
      <c r="I1224" s="7" t="s">
        <v>79</v>
      </c>
      <c r="J1224" s="186"/>
      <c r="K1224" s="266">
        <f t="shared" si="282"/>
        <v>2021</v>
      </c>
      <c r="L1224" s="390" t="s">
        <v>5875</v>
      </c>
      <c r="M1224" s="390" t="s">
        <v>7574</v>
      </c>
      <c r="N1224" s="32" t="s">
        <v>3405</v>
      </c>
      <c r="O1224" s="32" t="s">
        <v>3406</v>
      </c>
      <c r="P1224" s="278" t="s">
        <v>3385</v>
      </c>
      <c r="Q1224" s="233"/>
      <c r="R1224" s="75">
        <v>4023</v>
      </c>
      <c r="S1224" s="75"/>
      <c r="T1224" s="75">
        <v>4023</v>
      </c>
      <c r="U1224" s="200">
        <v>1662</v>
      </c>
      <c r="V1224" s="287">
        <f t="shared" ca="1" si="283"/>
        <v>9</v>
      </c>
      <c r="W1224" s="75">
        <f t="shared" ca="1" si="284"/>
        <v>17174</v>
      </c>
      <c r="X1224" s="200">
        <f t="shared" ca="1" si="280"/>
        <v>19535</v>
      </c>
      <c r="Y1224" s="7"/>
      <c r="Z1224" s="31">
        <v>0.1</v>
      </c>
      <c r="AA1224" s="223">
        <v>0.09</v>
      </c>
      <c r="AB1224" s="302" t="s">
        <v>7005</v>
      </c>
      <c r="AC1224" s="302"/>
      <c r="AD1224" s="302"/>
      <c r="AE1224" s="302"/>
      <c r="AF1224">
        <f t="shared" si="267"/>
        <v>0</v>
      </c>
    </row>
    <row r="1225" spans="1:32" ht="51.75" hidden="1" x14ac:dyDescent="0.25">
      <c r="A1225" s="322" t="s">
        <v>3407</v>
      </c>
      <c r="B1225" s="93" t="str">
        <f t="shared" si="281"/>
        <v>YES</v>
      </c>
      <c r="C1225" s="93" t="s">
        <v>5503</v>
      </c>
      <c r="D1225" s="4">
        <v>40619</v>
      </c>
      <c r="E1225" s="2">
        <v>40664</v>
      </c>
      <c r="F1225" s="2">
        <f t="shared" si="269"/>
        <v>44317</v>
      </c>
      <c r="G1225" s="27">
        <v>323.39</v>
      </c>
      <c r="H1225" s="7" t="s">
        <v>2831</v>
      </c>
      <c r="I1225" s="7" t="s">
        <v>79</v>
      </c>
      <c r="J1225" s="186"/>
      <c r="K1225" s="266">
        <f t="shared" si="282"/>
        <v>2021</v>
      </c>
      <c r="L1225" s="390" t="s">
        <v>5789</v>
      </c>
      <c r="M1225" s="390" t="s">
        <v>5508</v>
      </c>
      <c r="N1225" s="32" t="s">
        <v>3408</v>
      </c>
      <c r="O1225" s="32" t="s">
        <v>3409</v>
      </c>
      <c r="P1225" s="278" t="s">
        <v>3410</v>
      </c>
      <c r="Q1225" s="233"/>
      <c r="R1225" s="75">
        <v>1279</v>
      </c>
      <c r="S1225" s="75"/>
      <c r="T1225" s="75">
        <v>1279</v>
      </c>
      <c r="U1225" s="200">
        <v>486</v>
      </c>
      <c r="V1225" s="287">
        <f t="shared" ca="1" si="283"/>
        <v>9</v>
      </c>
      <c r="W1225" s="75">
        <f t="shared" ca="1" si="284"/>
        <v>5022</v>
      </c>
      <c r="X1225" s="200">
        <f t="shared" ca="1" si="280"/>
        <v>5815</v>
      </c>
      <c r="Y1225" s="7"/>
      <c r="Z1225" s="31">
        <v>0.1</v>
      </c>
      <c r="AA1225" s="223">
        <v>0.09</v>
      </c>
      <c r="AB1225" s="302" t="s">
        <v>7006</v>
      </c>
      <c r="AC1225" s="302"/>
      <c r="AD1225" s="302"/>
      <c r="AE1225" s="302"/>
      <c r="AF1225">
        <f t="shared" si="267"/>
        <v>0</v>
      </c>
    </row>
    <row r="1226" spans="1:32" ht="90" hidden="1" customHeight="1" x14ac:dyDescent="0.25">
      <c r="A1226" s="322" t="s">
        <v>3411</v>
      </c>
      <c r="B1226" s="93" t="str">
        <f t="shared" si="281"/>
        <v>YES</v>
      </c>
      <c r="C1226" s="93" t="s">
        <v>5503</v>
      </c>
      <c r="D1226" s="4">
        <v>40619</v>
      </c>
      <c r="E1226" s="2">
        <v>40664</v>
      </c>
      <c r="F1226" s="2">
        <f t="shared" si="269"/>
        <v>44317</v>
      </c>
      <c r="G1226" s="27">
        <v>1219.1199999999999</v>
      </c>
      <c r="H1226" s="7" t="s">
        <v>2831</v>
      </c>
      <c r="I1226" s="7" t="s">
        <v>79</v>
      </c>
      <c r="J1226" s="186"/>
      <c r="K1226" s="266">
        <f t="shared" si="282"/>
        <v>2021</v>
      </c>
      <c r="L1226" s="390" t="s">
        <v>5789</v>
      </c>
      <c r="M1226" s="390" t="s">
        <v>5508</v>
      </c>
      <c r="N1226" s="32" t="s">
        <v>3408</v>
      </c>
      <c r="O1226" s="32" t="s">
        <v>3412</v>
      </c>
      <c r="P1226" s="278" t="s">
        <v>3413</v>
      </c>
      <c r="Q1226" s="233"/>
      <c r="R1226" s="75">
        <v>4415</v>
      </c>
      <c r="S1226" s="75"/>
      <c r="T1226" s="75">
        <v>4415</v>
      </c>
      <c r="U1226" s="200">
        <v>1830</v>
      </c>
      <c r="V1226" s="287">
        <f t="shared" ca="1" si="283"/>
        <v>9</v>
      </c>
      <c r="W1226" s="75">
        <f t="shared" ca="1" si="284"/>
        <v>18910</v>
      </c>
      <c r="X1226" s="200">
        <f t="shared" ca="1" si="280"/>
        <v>21495</v>
      </c>
      <c r="Y1226" s="7"/>
      <c r="Z1226" s="31">
        <v>0.1</v>
      </c>
      <c r="AA1226" s="223">
        <v>0.09</v>
      </c>
      <c r="AB1226" s="302" t="s">
        <v>7007</v>
      </c>
      <c r="AC1226" s="302"/>
      <c r="AD1226" s="302"/>
      <c r="AE1226" s="302"/>
      <c r="AF1226">
        <f t="shared" si="267"/>
        <v>0</v>
      </c>
    </row>
    <row r="1227" spans="1:32" ht="51.75" hidden="1" x14ac:dyDescent="0.25">
      <c r="A1227" s="322" t="s">
        <v>3414</v>
      </c>
      <c r="B1227" s="93" t="str">
        <f t="shared" si="281"/>
        <v>YES</v>
      </c>
      <c r="C1227" s="93" t="s">
        <v>5503</v>
      </c>
      <c r="D1227" s="4">
        <v>40619</v>
      </c>
      <c r="E1227" s="2">
        <v>40664</v>
      </c>
      <c r="F1227" s="2">
        <f t="shared" si="269"/>
        <v>44317</v>
      </c>
      <c r="G1227" s="27">
        <v>80</v>
      </c>
      <c r="H1227" s="7" t="s">
        <v>2831</v>
      </c>
      <c r="I1227" s="7" t="s">
        <v>79</v>
      </c>
      <c r="J1227" s="186"/>
      <c r="K1227" s="266">
        <f t="shared" si="282"/>
        <v>2021</v>
      </c>
      <c r="L1227" s="390" t="s">
        <v>5789</v>
      </c>
      <c r="M1227" s="390" t="s">
        <v>5508</v>
      </c>
      <c r="N1227" s="32" t="s">
        <v>3408</v>
      </c>
      <c r="O1227" s="32" t="s">
        <v>3415</v>
      </c>
      <c r="P1227" s="278" t="s">
        <v>3416</v>
      </c>
      <c r="Q1227" s="233"/>
      <c r="R1227" s="75">
        <v>425</v>
      </c>
      <c r="S1227" s="75"/>
      <c r="T1227" s="75">
        <v>425</v>
      </c>
      <c r="U1227" s="200">
        <v>120</v>
      </c>
      <c r="V1227" s="287">
        <f t="shared" ca="1" si="283"/>
        <v>9</v>
      </c>
      <c r="W1227" s="75">
        <f t="shared" ca="1" si="284"/>
        <v>1240</v>
      </c>
      <c r="X1227" s="200">
        <f t="shared" ca="1" si="280"/>
        <v>1545</v>
      </c>
      <c r="Y1227" s="7"/>
      <c r="Z1227" s="31">
        <v>0.1</v>
      </c>
      <c r="AA1227" s="223">
        <v>0.09</v>
      </c>
      <c r="AB1227" s="302" t="s">
        <v>7008</v>
      </c>
      <c r="AC1227" s="302"/>
      <c r="AD1227" s="302"/>
      <c r="AE1227" s="302"/>
      <c r="AF1227">
        <f t="shared" ref="AF1227:AF1290" si="285">COUNTIF(FilterList,A1227)</f>
        <v>0</v>
      </c>
    </row>
    <row r="1228" spans="1:32" ht="26.25" hidden="1" x14ac:dyDescent="0.25">
      <c r="A1228" s="322" t="s">
        <v>3417</v>
      </c>
      <c r="B1228" s="93" t="str">
        <f t="shared" si="281"/>
        <v>YES</v>
      </c>
      <c r="C1228" s="93" t="s">
        <v>5503</v>
      </c>
      <c r="D1228" s="4">
        <v>40619</v>
      </c>
      <c r="E1228" s="2">
        <v>40664</v>
      </c>
      <c r="F1228" s="2">
        <f t="shared" ref="F1228:F1291" si="286">DATE(YEAR(E1228)+10,MONTH(E1228),DAY(E1228))</f>
        <v>44317</v>
      </c>
      <c r="G1228" s="27">
        <v>299.45</v>
      </c>
      <c r="H1228" s="7" t="s">
        <v>2831</v>
      </c>
      <c r="I1228" s="7" t="s">
        <v>79</v>
      </c>
      <c r="J1228" s="186"/>
      <c r="K1228" s="266">
        <f t="shared" si="282"/>
        <v>2021</v>
      </c>
      <c r="L1228" s="390" t="s">
        <v>5789</v>
      </c>
      <c r="M1228" s="390" t="s">
        <v>5508</v>
      </c>
      <c r="N1228" s="32" t="s">
        <v>3408</v>
      </c>
      <c r="O1228" s="32" t="s">
        <v>3418</v>
      </c>
      <c r="P1228" s="278" t="s">
        <v>3419</v>
      </c>
      <c r="Q1228" s="233"/>
      <c r="R1228" s="75">
        <v>1195</v>
      </c>
      <c r="S1228" s="75"/>
      <c r="T1228" s="75">
        <v>1195</v>
      </c>
      <c r="U1228" s="200">
        <v>450</v>
      </c>
      <c r="V1228" s="287">
        <f t="shared" ca="1" si="283"/>
        <v>9</v>
      </c>
      <c r="W1228" s="75">
        <f t="shared" ca="1" si="284"/>
        <v>4650</v>
      </c>
      <c r="X1228" s="200">
        <f t="shared" ca="1" si="280"/>
        <v>5395</v>
      </c>
      <c r="Y1228" s="7"/>
      <c r="Z1228" s="31">
        <v>0.1</v>
      </c>
      <c r="AA1228" s="223">
        <v>0.09</v>
      </c>
      <c r="AB1228" s="302" t="s">
        <v>7009</v>
      </c>
      <c r="AC1228" s="302"/>
      <c r="AD1228" s="302"/>
      <c r="AE1228" s="302"/>
      <c r="AF1228">
        <f t="shared" si="285"/>
        <v>0</v>
      </c>
    </row>
    <row r="1229" spans="1:32" hidden="1" x14ac:dyDescent="0.25">
      <c r="A1229" s="322" t="s">
        <v>3420</v>
      </c>
      <c r="B1229" s="93" t="str">
        <f t="shared" si="281"/>
        <v>YES</v>
      </c>
      <c r="C1229" s="93" t="s">
        <v>5503</v>
      </c>
      <c r="D1229" s="4">
        <v>40619</v>
      </c>
      <c r="E1229" s="2">
        <v>40664</v>
      </c>
      <c r="F1229" s="2">
        <f t="shared" si="286"/>
        <v>44317</v>
      </c>
      <c r="G1229" s="27">
        <v>79.14</v>
      </c>
      <c r="H1229" s="7" t="s">
        <v>2831</v>
      </c>
      <c r="I1229" s="7" t="s">
        <v>79</v>
      </c>
      <c r="J1229" s="186"/>
      <c r="K1229" s="266">
        <f t="shared" si="282"/>
        <v>2021</v>
      </c>
      <c r="L1229" s="390" t="s">
        <v>5789</v>
      </c>
      <c r="M1229" s="390" t="s">
        <v>5508</v>
      </c>
      <c r="N1229" s="32" t="s">
        <v>3408</v>
      </c>
      <c r="O1229" s="32" t="s">
        <v>3421</v>
      </c>
      <c r="P1229" s="278" t="s">
        <v>3422</v>
      </c>
      <c r="Q1229" s="233"/>
      <c r="R1229" s="75">
        <v>425</v>
      </c>
      <c r="S1229" s="75"/>
      <c r="T1229" s="75">
        <v>425</v>
      </c>
      <c r="U1229" s="200">
        <v>120</v>
      </c>
      <c r="V1229" s="287">
        <f t="shared" ca="1" si="283"/>
        <v>9</v>
      </c>
      <c r="W1229" s="75">
        <f t="shared" ca="1" si="284"/>
        <v>1240</v>
      </c>
      <c r="X1229" s="200">
        <f t="shared" ca="1" si="280"/>
        <v>1545</v>
      </c>
      <c r="Y1229" s="7"/>
      <c r="Z1229" s="31">
        <v>0.1</v>
      </c>
      <c r="AA1229" s="223">
        <v>0.09</v>
      </c>
      <c r="AB1229" s="302" t="s">
        <v>7010</v>
      </c>
      <c r="AC1229" s="302"/>
      <c r="AD1229" s="302"/>
      <c r="AE1229" s="302"/>
      <c r="AF1229">
        <f t="shared" si="285"/>
        <v>0</v>
      </c>
    </row>
    <row r="1230" spans="1:32" ht="64.5" hidden="1" customHeight="1" x14ac:dyDescent="0.25">
      <c r="A1230" s="322" t="s">
        <v>3423</v>
      </c>
      <c r="B1230" s="93" t="str">
        <f t="shared" si="281"/>
        <v>YES</v>
      </c>
      <c r="C1230" s="93" t="s">
        <v>5503</v>
      </c>
      <c r="D1230" s="4">
        <v>40619</v>
      </c>
      <c r="E1230" s="2">
        <v>40664</v>
      </c>
      <c r="F1230" s="2">
        <f t="shared" si="286"/>
        <v>44317</v>
      </c>
      <c r="G1230" s="27">
        <v>77.25</v>
      </c>
      <c r="H1230" s="7" t="s">
        <v>2831</v>
      </c>
      <c r="I1230" s="7" t="s">
        <v>79</v>
      </c>
      <c r="J1230" s="186"/>
      <c r="K1230" s="266">
        <f t="shared" si="282"/>
        <v>2021</v>
      </c>
      <c r="L1230" s="390" t="s">
        <v>5789</v>
      </c>
      <c r="M1230" s="390" t="s">
        <v>7541</v>
      </c>
      <c r="N1230" s="32" t="s">
        <v>3424</v>
      </c>
      <c r="O1230" s="32" t="s">
        <v>3425</v>
      </c>
      <c r="P1230" s="278" t="s">
        <v>3426</v>
      </c>
      <c r="Q1230" s="233"/>
      <c r="R1230" s="75">
        <v>418</v>
      </c>
      <c r="S1230" s="75"/>
      <c r="T1230" s="75">
        <v>418</v>
      </c>
      <c r="U1230" s="200">
        <v>117</v>
      </c>
      <c r="V1230" s="287">
        <f t="shared" ca="1" si="283"/>
        <v>9</v>
      </c>
      <c r="W1230" s="75">
        <f t="shared" ca="1" si="284"/>
        <v>1209</v>
      </c>
      <c r="X1230" s="200">
        <f t="shared" ca="1" si="280"/>
        <v>1510</v>
      </c>
      <c r="Y1230" s="7"/>
      <c r="Z1230" s="31">
        <v>0.1</v>
      </c>
      <c r="AA1230" s="223">
        <v>0.09</v>
      </c>
      <c r="AB1230" s="302" t="s">
        <v>7011</v>
      </c>
      <c r="AC1230" s="302"/>
      <c r="AD1230" s="302"/>
      <c r="AE1230" s="302"/>
      <c r="AF1230">
        <f t="shared" si="285"/>
        <v>0</v>
      </c>
    </row>
    <row r="1231" spans="1:32" ht="64.5" hidden="1" x14ac:dyDescent="0.25">
      <c r="A1231" s="322" t="s">
        <v>3427</v>
      </c>
      <c r="B1231" s="93" t="str">
        <f t="shared" si="281"/>
        <v>YES</v>
      </c>
      <c r="C1231" s="93" t="s">
        <v>5503</v>
      </c>
      <c r="D1231" s="4">
        <v>40619</v>
      </c>
      <c r="E1231" s="2">
        <v>40664</v>
      </c>
      <c r="F1231" s="2">
        <f t="shared" si="286"/>
        <v>44317</v>
      </c>
      <c r="G1231" s="27">
        <v>513.38</v>
      </c>
      <c r="H1231" s="7" t="s">
        <v>3428</v>
      </c>
      <c r="I1231" s="7" t="s">
        <v>79</v>
      </c>
      <c r="J1231" s="186"/>
      <c r="K1231" s="266">
        <f t="shared" si="282"/>
        <v>2021</v>
      </c>
      <c r="L1231" s="390" t="s">
        <v>5789</v>
      </c>
      <c r="M1231" s="390" t="s">
        <v>7541</v>
      </c>
      <c r="N1231" s="32" t="s">
        <v>3424</v>
      </c>
      <c r="O1231" s="32" t="s">
        <v>3429</v>
      </c>
      <c r="P1231" s="278" t="s">
        <v>3430</v>
      </c>
      <c r="Q1231" s="233"/>
      <c r="R1231" s="75">
        <v>1944</v>
      </c>
      <c r="S1231" s="75"/>
      <c r="T1231" s="75">
        <v>1944</v>
      </c>
      <c r="U1231" s="200">
        <v>771</v>
      </c>
      <c r="V1231" s="287">
        <f t="shared" ca="1" si="283"/>
        <v>9</v>
      </c>
      <c r="W1231" s="75">
        <f t="shared" ca="1" si="284"/>
        <v>7967</v>
      </c>
      <c r="X1231" s="200">
        <f t="shared" ca="1" si="280"/>
        <v>9140</v>
      </c>
      <c r="Y1231" s="7"/>
      <c r="Z1231" s="31">
        <v>0.1</v>
      </c>
      <c r="AA1231" s="223">
        <v>0.09</v>
      </c>
      <c r="AB1231" s="302" t="s">
        <v>7012</v>
      </c>
      <c r="AC1231" s="308">
        <v>43451</v>
      </c>
      <c r="AD1231" s="309">
        <v>0.25</v>
      </c>
      <c r="AE1231" s="302" t="s">
        <v>6259</v>
      </c>
      <c r="AF1231">
        <f t="shared" si="285"/>
        <v>0</v>
      </c>
    </row>
    <row r="1232" spans="1:32" ht="51.75" hidden="1" x14ac:dyDescent="0.25">
      <c r="A1232" s="322" t="s">
        <v>3431</v>
      </c>
      <c r="B1232" s="93" t="str">
        <f t="shared" si="281"/>
        <v>YES</v>
      </c>
      <c r="C1232" s="93" t="s">
        <v>5503</v>
      </c>
      <c r="D1232" s="4">
        <v>40619</v>
      </c>
      <c r="E1232" s="2">
        <v>40664</v>
      </c>
      <c r="F1232" s="2">
        <f t="shared" si="286"/>
        <v>44317</v>
      </c>
      <c r="G1232" s="27">
        <v>301.67</v>
      </c>
      <c r="H1232" s="7" t="s">
        <v>2831</v>
      </c>
      <c r="I1232" s="7" t="s">
        <v>79</v>
      </c>
      <c r="J1232" s="186"/>
      <c r="K1232" s="266">
        <f t="shared" si="282"/>
        <v>2021</v>
      </c>
      <c r="L1232" s="390" t="s">
        <v>5789</v>
      </c>
      <c r="M1232" s="390" t="s">
        <v>7541</v>
      </c>
      <c r="N1232" s="32" t="s">
        <v>3424</v>
      </c>
      <c r="O1232" s="32" t="s">
        <v>3432</v>
      </c>
      <c r="P1232" s="278" t="s">
        <v>3433</v>
      </c>
      <c r="Q1232" s="233"/>
      <c r="R1232" s="75">
        <v>1202</v>
      </c>
      <c r="S1232" s="75"/>
      <c r="T1232" s="75">
        <v>1202</v>
      </c>
      <c r="U1232" s="200">
        <v>453</v>
      </c>
      <c r="V1232" s="287">
        <f t="shared" ca="1" si="283"/>
        <v>9</v>
      </c>
      <c r="W1232" s="75">
        <f t="shared" ca="1" si="284"/>
        <v>4681</v>
      </c>
      <c r="X1232" s="200">
        <f t="shared" ca="1" si="280"/>
        <v>5430</v>
      </c>
      <c r="Y1232" s="7"/>
      <c r="Z1232" s="31">
        <v>0.1</v>
      </c>
      <c r="AA1232" s="223">
        <v>0.09</v>
      </c>
      <c r="AB1232" s="302" t="s">
        <v>7013</v>
      </c>
      <c r="AC1232" s="302"/>
      <c r="AD1232" s="302"/>
      <c r="AE1232" s="302"/>
      <c r="AF1232">
        <f t="shared" si="285"/>
        <v>0</v>
      </c>
    </row>
    <row r="1233" spans="1:32" ht="26.25" hidden="1" x14ac:dyDescent="0.25">
      <c r="A1233" s="322" t="s">
        <v>3434</v>
      </c>
      <c r="B1233" s="93" t="str">
        <f t="shared" si="281"/>
        <v>YES</v>
      </c>
      <c r="C1233" s="93" t="s">
        <v>5503</v>
      </c>
      <c r="D1233" s="4">
        <v>40619</v>
      </c>
      <c r="E1233" s="2">
        <v>40664</v>
      </c>
      <c r="F1233" s="2">
        <f t="shared" si="286"/>
        <v>44317</v>
      </c>
      <c r="G1233" s="27">
        <v>37.56</v>
      </c>
      <c r="H1233" s="7" t="s">
        <v>2831</v>
      </c>
      <c r="I1233" s="7" t="s">
        <v>79</v>
      </c>
      <c r="J1233" s="186"/>
      <c r="K1233" s="266">
        <f t="shared" si="282"/>
        <v>2021</v>
      </c>
      <c r="L1233" s="390" t="s">
        <v>5789</v>
      </c>
      <c r="M1233" s="390" t="s">
        <v>7541</v>
      </c>
      <c r="N1233" s="32" t="s">
        <v>3424</v>
      </c>
      <c r="O1233" s="32" t="s">
        <v>3435</v>
      </c>
      <c r="P1233" s="278" t="s">
        <v>3436</v>
      </c>
      <c r="Q1233" s="233"/>
      <c r="R1233" s="75">
        <v>278</v>
      </c>
      <c r="S1233" s="75"/>
      <c r="T1233" s="75">
        <v>278</v>
      </c>
      <c r="U1233" s="200">
        <v>57</v>
      </c>
      <c r="V1233" s="287">
        <f t="shared" ca="1" si="283"/>
        <v>9</v>
      </c>
      <c r="W1233" s="75">
        <f t="shared" ca="1" si="284"/>
        <v>589</v>
      </c>
      <c r="X1233" s="200">
        <f t="shared" ca="1" si="280"/>
        <v>810</v>
      </c>
      <c r="Y1233" s="7"/>
      <c r="Z1233" s="31">
        <v>0.1</v>
      </c>
      <c r="AA1233" s="223">
        <v>0.09</v>
      </c>
      <c r="AB1233" s="302" t="s">
        <v>7014</v>
      </c>
      <c r="AC1233" s="302"/>
      <c r="AD1233" s="302"/>
      <c r="AE1233" s="302"/>
      <c r="AF1233">
        <f t="shared" si="285"/>
        <v>0</v>
      </c>
    </row>
    <row r="1234" spans="1:32" ht="51.75" hidden="1" x14ac:dyDescent="0.25">
      <c r="A1234" s="322" t="s">
        <v>3437</v>
      </c>
      <c r="B1234" s="93" t="str">
        <f t="shared" si="281"/>
        <v>YES</v>
      </c>
      <c r="C1234" s="93" t="s">
        <v>5503</v>
      </c>
      <c r="D1234" s="4">
        <v>40619</v>
      </c>
      <c r="E1234" s="2">
        <v>40664</v>
      </c>
      <c r="F1234" s="2">
        <f t="shared" si="286"/>
        <v>44317</v>
      </c>
      <c r="G1234" s="27">
        <v>100</v>
      </c>
      <c r="H1234" s="7" t="s">
        <v>2831</v>
      </c>
      <c r="I1234" s="7" t="s">
        <v>79</v>
      </c>
      <c r="J1234" s="186"/>
      <c r="K1234" s="266">
        <f t="shared" si="282"/>
        <v>2021</v>
      </c>
      <c r="L1234" s="390" t="s">
        <v>5789</v>
      </c>
      <c r="M1234" s="390" t="s">
        <v>7541</v>
      </c>
      <c r="N1234" s="32" t="s">
        <v>3424</v>
      </c>
      <c r="O1234" s="32" t="s">
        <v>3438</v>
      </c>
      <c r="P1234" s="278" t="s">
        <v>3439</v>
      </c>
      <c r="Q1234" s="233"/>
      <c r="R1234" s="75">
        <v>495</v>
      </c>
      <c r="S1234" s="75"/>
      <c r="T1234" s="75">
        <v>495</v>
      </c>
      <c r="U1234" s="200">
        <v>150</v>
      </c>
      <c r="V1234" s="287">
        <f t="shared" ca="1" si="283"/>
        <v>9</v>
      </c>
      <c r="W1234" s="75">
        <f t="shared" ca="1" si="284"/>
        <v>1550</v>
      </c>
      <c r="X1234" s="200">
        <f t="shared" ca="1" si="280"/>
        <v>1895</v>
      </c>
      <c r="Y1234" s="7"/>
      <c r="Z1234" s="31">
        <v>0.1</v>
      </c>
      <c r="AA1234" s="223">
        <v>0.09</v>
      </c>
      <c r="AB1234" s="302" t="s">
        <v>7015</v>
      </c>
      <c r="AC1234" s="302"/>
      <c r="AD1234" s="302"/>
      <c r="AE1234" s="302"/>
      <c r="AF1234">
        <f t="shared" si="285"/>
        <v>0</v>
      </c>
    </row>
    <row r="1235" spans="1:32" ht="64.5" hidden="1" x14ac:dyDescent="0.25">
      <c r="A1235" s="322" t="s">
        <v>3440</v>
      </c>
      <c r="B1235" s="93" t="str">
        <f t="shared" si="281"/>
        <v>YES</v>
      </c>
      <c r="C1235" s="93" t="s">
        <v>5503</v>
      </c>
      <c r="D1235" s="4">
        <v>40619</v>
      </c>
      <c r="E1235" s="2">
        <v>40664</v>
      </c>
      <c r="F1235" s="2">
        <f t="shared" si="286"/>
        <v>44317</v>
      </c>
      <c r="G1235" s="27">
        <v>332.91</v>
      </c>
      <c r="H1235" s="7" t="s">
        <v>2831</v>
      </c>
      <c r="I1235" s="7" t="s">
        <v>79</v>
      </c>
      <c r="J1235" s="186"/>
      <c r="K1235" s="266">
        <f t="shared" si="282"/>
        <v>2021</v>
      </c>
      <c r="L1235" s="390" t="s">
        <v>5507</v>
      </c>
      <c r="M1235" s="390" t="s">
        <v>5508</v>
      </c>
      <c r="N1235" s="32" t="s">
        <v>3441</v>
      </c>
      <c r="O1235" s="32" t="s">
        <v>3442</v>
      </c>
      <c r="P1235" s="278" t="s">
        <v>3443</v>
      </c>
      <c r="Q1235" s="233"/>
      <c r="R1235" s="75">
        <v>1310.5</v>
      </c>
      <c r="S1235" s="75"/>
      <c r="T1235" s="75">
        <v>1310.5</v>
      </c>
      <c r="U1235" s="200">
        <v>499.5</v>
      </c>
      <c r="V1235" s="287">
        <f t="shared" ca="1" si="283"/>
        <v>9</v>
      </c>
      <c r="W1235" s="75">
        <f t="shared" ca="1" si="284"/>
        <v>5161.5</v>
      </c>
      <c r="X1235" s="200">
        <f t="shared" ca="1" si="280"/>
        <v>5972.5</v>
      </c>
      <c r="Y1235" s="7"/>
      <c r="Z1235" s="31">
        <v>0.1</v>
      </c>
      <c r="AA1235" s="223">
        <v>0.09</v>
      </c>
      <c r="AB1235" s="302" t="s">
        <v>7016</v>
      </c>
      <c r="AC1235" s="302"/>
      <c r="AD1235" s="302"/>
      <c r="AE1235" s="302"/>
      <c r="AF1235">
        <f t="shared" si="285"/>
        <v>0</v>
      </c>
    </row>
    <row r="1236" spans="1:32" ht="51.75" hidden="1" x14ac:dyDescent="0.25">
      <c r="A1236" s="322" t="s">
        <v>3444</v>
      </c>
      <c r="B1236" s="93" t="str">
        <f t="shared" si="281"/>
        <v>YES</v>
      </c>
      <c r="C1236" s="93" t="s">
        <v>5503</v>
      </c>
      <c r="D1236" s="4">
        <v>40619</v>
      </c>
      <c r="E1236" s="2">
        <v>40664</v>
      </c>
      <c r="F1236" s="2">
        <f t="shared" si="286"/>
        <v>44317</v>
      </c>
      <c r="G1236" s="27">
        <v>642.48</v>
      </c>
      <c r="H1236" s="93" t="s">
        <v>5808</v>
      </c>
      <c r="I1236" s="7" t="s">
        <v>79</v>
      </c>
      <c r="J1236" s="186"/>
      <c r="K1236" s="266">
        <f t="shared" si="282"/>
        <v>2021</v>
      </c>
      <c r="L1236" s="390" t="s">
        <v>5561</v>
      </c>
      <c r="M1236" s="390" t="s">
        <v>5508</v>
      </c>
      <c r="N1236" s="32" t="s">
        <v>3445</v>
      </c>
      <c r="O1236" s="32" t="s">
        <v>3446</v>
      </c>
      <c r="P1236" s="278" t="s">
        <v>3447</v>
      </c>
      <c r="Q1236" s="233"/>
      <c r="R1236" s="75">
        <v>2395.5</v>
      </c>
      <c r="S1236" s="75">
        <v>593489</v>
      </c>
      <c r="T1236" s="75">
        <v>595884.5</v>
      </c>
      <c r="U1236" s="200">
        <v>964.5</v>
      </c>
      <c r="V1236" s="287">
        <f t="shared" ca="1" si="283"/>
        <v>9</v>
      </c>
      <c r="W1236" s="75">
        <f t="shared" ca="1" si="284"/>
        <v>9966.5</v>
      </c>
      <c r="X1236" s="200">
        <f t="shared" ca="1" si="280"/>
        <v>604886.5</v>
      </c>
      <c r="Y1236" s="7"/>
      <c r="Z1236" s="31">
        <v>0.1</v>
      </c>
      <c r="AA1236" s="223">
        <v>0.09</v>
      </c>
      <c r="AB1236" s="302" t="s">
        <v>7017</v>
      </c>
      <c r="AC1236" s="302"/>
      <c r="AD1236" s="302"/>
      <c r="AE1236" s="302"/>
      <c r="AF1236">
        <f t="shared" si="285"/>
        <v>0</v>
      </c>
    </row>
    <row r="1237" spans="1:32" ht="90" hidden="1" x14ac:dyDescent="0.25">
      <c r="A1237" s="322" t="s">
        <v>3448</v>
      </c>
      <c r="B1237" s="93" t="str">
        <f t="shared" si="281"/>
        <v>YES</v>
      </c>
      <c r="C1237" s="93" t="s">
        <v>5503</v>
      </c>
      <c r="D1237" s="4">
        <v>40619</v>
      </c>
      <c r="E1237" s="2">
        <v>40664</v>
      </c>
      <c r="F1237" s="2">
        <f t="shared" si="286"/>
        <v>44317</v>
      </c>
      <c r="G1237" s="27">
        <v>160</v>
      </c>
      <c r="H1237" s="7" t="s">
        <v>2514</v>
      </c>
      <c r="I1237" s="9" t="s">
        <v>1050</v>
      </c>
      <c r="J1237" s="186"/>
      <c r="K1237" s="266">
        <f t="shared" si="282"/>
        <v>2021</v>
      </c>
      <c r="L1237" s="390" t="s">
        <v>7533</v>
      </c>
      <c r="M1237" s="390" t="s">
        <v>5577</v>
      </c>
      <c r="N1237" s="32" t="s">
        <v>3449</v>
      </c>
      <c r="O1237" s="32" t="s">
        <v>3450</v>
      </c>
      <c r="P1237" s="278" t="s">
        <v>3451</v>
      </c>
      <c r="Q1237" s="233"/>
      <c r="R1237" s="75">
        <v>705</v>
      </c>
      <c r="S1237" s="75"/>
      <c r="T1237" s="75">
        <v>705</v>
      </c>
      <c r="U1237" s="200">
        <v>240</v>
      </c>
      <c r="V1237" s="287">
        <f t="shared" ca="1" si="283"/>
        <v>9</v>
      </c>
      <c r="W1237" s="75">
        <f t="shared" ca="1" si="284"/>
        <v>2480</v>
      </c>
      <c r="X1237" s="200">
        <f t="shared" ca="1" si="280"/>
        <v>2945</v>
      </c>
      <c r="Y1237" s="7"/>
      <c r="Z1237" s="31">
        <v>0.1</v>
      </c>
      <c r="AA1237" s="223">
        <v>0.09</v>
      </c>
      <c r="AB1237" s="302" t="s">
        <v>7018</v>
      </c>
      <c r="AC1237" s="302"/>
      <c r="AD1237" s="302"/>
      <c r="AE1237" s="302"/>
      <c r="AF1237">
        <f t="shared" si="285"/>
        <v>0</v>
      </c>
    </row>
    <row r="1238" spans="1:32" ht="39" hidden="1" x14ac:dyDescent="0.25">
      <c r="A1238" s="322" t="s">
        <v>3452</v>
      </c>
      <c r="B1238" s="93" t="str">
        <f t="shared" si="281"/>
        <v>YES</v>
      </c>
      <c r="C1238" s="93" t="s">
        <v>5503</v>
      </c>
      <c r="D1238" s="4">
        <v>40619</v>
      </c>
      <c r="E1238" s="2">
        <v>40664</v>
      </c>
      <c r="F1238" s="2">
        <f t="shared" si="286"/>
        <v>44317</v>
      </c>
      <c r="G1238" s="27">
        <v>407</v>
      </c>
      <c r="H1238" s="7" t="s">
        <v>3453</v>
      </c>
      <c r="I1238" s="7" t="s">
        <v>86</v>
      </c>
      <c r="J1238" s="186"/>
      <c r="K1238" s="266">
        <f t="shared" si="282"/>
        <v>2021</v>
      </c>
      <c r="L1238" s="301" t="s">
        <v>5793</v>
      </c>
      <c r="M1238" s="301" t="s">
        <v>5562</v>
      </c>
      <c r="N1238" s="32" t="s">
        <v>3454</v>
      </c>
      <c r="O1238" s="32" t="s">
        <v>3455</v>
      </c>
      <c r="P1238" s="278" t="s">
        <v>3456</v>
      </c>
      <c r="Q1238" s="233"/>
      <c r="R1238" s="75">
        <v>1569.5</v>
      </c>
      <c r="S1238" s="75"/>
      <c r="T1238" s="75">
        <v>1569.5</v>
      </c>
      <c r="U1238" s="200">
        <v>610.5</v>
      </c>
      <c r="V1238" s="287">
        <f t="shared" ca="1" si="283"/>
        <v>9</v>
      </c>
      <c r="W1238" s="75">
        <f t="shared" ca="1" si="284"/>
        <v>6308.5</v>
      </c>
      <c r="X1238" s="200">
        <f t="shared" ca="1" si="280"/>
        <v>7267.5</v>
      </c>
      <c r="Y1238" s="7"/>
      <c r="Z1238" s="31">
        <v>0.1</v>
      </c>
      <c r="AA1238" s="223">
        <v>0.09</v>
      </c>
      <c r="AB1238" s="302" t="s">
        <v>7019</v>
      </c>
      <c r="AC1238" s="302"/>
      <c r="AD1238" s="302"/>
      <c r="AE1238" s="302"/>
      <c r="AF1238">
        <f t="shared" si="285"/>
        <v>0</v>
      </c>
    </row>
    <row r="1239" spans="1:32" ht="51.75" hidden="1" x14ac:dyDescent="0.25">
      <c r="A1239" s="322" t="s">
        <v>3457</v>
      </c>
      <c r="B1239" s="93" t="str">
        <f t="shared" si="281"/>
        <v>YES</v>
      </c>
      <c r="C1239" s="93" t="s">
        <v>5503</v>
      </c>
      <c r="D1239" s="4">
        <v>40619</v>
      </c>
      <c r="E1239" s="2">
        <v>40664</v>
      </c>
      <c r="F1239" s="2">
        <f t="shared" si="286"/>
        <v>44317</v>
      </c>
      <c r="G1239" s="27">
        <v>1011.72</v>
      </c>
      <c r="H1239" s="7" t="s">
        <v>3453</v>
      </c>
      <c r="I1239" s="7" t="s">
        <v>86</v>
      </c>
      <c r="J1239" s="186"/>
      <c r="K1239" s="266">
        <f t="shared" si="282"/>
        <v>2021</v>
      </c>
      <c r="L1239" s="301" t="s">
        <v>5519</v>
      </c>
      <c r="M1239" s="301" t="s">
        <v>5556</v>
      </c>
      <c r="N1239" s="32" t="s">
        <v>3458</v>
      </c>
      <c r="O1239" s="32" t="s">
        <v>3459</v>
      </c>
      <c r="P1239" s="278" t="s">
        <v>3460</v>
      </c>
      <c r="Q1239" s="233"/>
      <c r="R1239" s="75">
        <v>3687</v>
      </c>
      <c r="S1239" s="75"/>
      <c r="T1239" s="75">
        <v>3687</v>
      </c>
      <c r="U1239" s="200">
        <v>1518</v>
      </c>
      <c r="V1239" s="287">
        <f t="shared" ca="1" si="283"/>
        <v>9</v>
      </c>
      <c r="W1239" s="75">
        <f t="shared" ca="1" si="284"/>
        <v>15686</v>
      </c>
      <c r="X1239" s="200">
        <f t="shared" ca="1" si="280"/>
        <v>17855</v>
      </c>
      <c r="Y1239" s="7"/>
      <c r="Z1239" s="31">
        <v>0.1</v>
      </c>
      <c r="AA1239" s="223">
        <v>0.09</v>
      </c>
      <c r="AB1239" s="302" t="s">
        <v>7020</v>
      </c>
      <c r="AC1239" s="302"/>
      <c r="AD1239" s="302"/>
      <c r="AE1239" s="302"/>
      <c r="AF1239">
        <f t="shared" si="285"/>
        <v>0</v>
      </c>
    </row>
    <row r="1240" spans="1:32" ht="39" hidden="1" x14ac:dyDescent="0.25">
      <c r="A1240" s="322" t="s">
        <v>3461</v>
      </c>
      <c r="B1240" s="93" t="str">
        <f t="shared" si="281"/>
        <v>YES</v>
      </c>
      <c r="C1240" s="93" t="s">
        <v>5503</v>
      </c>
      <c r="D1240" s="4">
        <v>40619</v>
      </c>
      <c r="E1240" s="2">
        <v>40664</v>
      </c>
      <c r="F1240" s="2">
        <f t="shared" si="286"/>
        <v>44317</v>
      </c>
      <c r="G1240" s="27">
        <v>555.62</v>
      </c>
      <c r="H1240" s="7" t="s">
        <v>3453</v>
      </c>
      <c r="I1240" s="7" t="s">
        <v>86</v>
      </c>
      <c r="J1240" s="186"/>
      <c r="K1240" s="266">
        <f t="shared" si="282"/>
        <v>2021</v>
      </c>
      <c r="L1240" s="301" t="s">
        <v>5519</v>
      </c>
      <c r="M1240" s="301" t="s">
        <v>5562</v>
      </c>
      <c r="N1240" s="32" t="s">
        <v>3462</v>
      </c>
      <c r="O1240" s="32" t="s">
        <v>3463</v>
      </c>
      <c r="P1240" s="278" t="s">
        <v>3464</v>
      </c>
      <c r="Q1240" s="233"/>
      <c r="R1240" s="75">
        <v>2091</v>
      </c>
      <c r="S1240" s="75"/>
      <c r="T1240" s="75">
        <v>2091</v>
      </c>
      <c r="U1240" s="200">
        <v>834</v>
      </c>
      <c r="V1240" s="287">
        <f t="shared" ca="1" si="283"/>
        <v>9</v>
      </c>
      <c r="W1240" s="75">
        <f t="shared" ca="1" si="284"/>
        <v>8618</v>
      </c>
      <c r="X1240" s="200">
        <f t="shared" ca="1" si="280"/>
        <v>9875</v>
      </c>
      <c r="Y1240" s="7"/>
      <c r="Z1240" s="31">
        <v>0.1</v>
      </c>
      <c r="AA1240" s="223">
        <v>0.09</v>
      </c>
      <c r="AB1240" s="302" t="s">
        <v>7021</v>
      </c>
      <c r="AC1240" s="302"/>
      <c r="AD1240" s="302"/>
      <c r="AE1240" s="302"/>
      <c r="AF1240">
        <f t="shared" si="285"/>
        <v>0</v>
      </c>
    </row>
    <row r="1241" spans="1:32" ht="39" hidden="1" x14ac:dyDescent="0.25">
      <c r="A1241" s="322" t="s">
        <v>3465</v>
      </c>
      <c r="B1241" s="93" t="str">
        <f t="shared" si="281"/>
        <v>YES</v>
      </c>
      <c r="C1241" s="93" t="s">
        <v>5503</v>
      </c>
      <c r="D1241" s="4">
        <v>40619</v>
      </c>
      <c r="E1241" s="2">
        <v>40664</v>
      </c>
      <c r="F1241" s="2">
        <f t="shared" si="286"/>
        <v>44317</v>
      </c>
      <c r="G1241" s="27">
        <v>591.4</v>
      </c>
      <c r="H1241" s="7" t="s">
        <v>3453</v>
      </c>
      <c r="I1241" s="7" t="s">
        <v>86</v>
      </c>
      <c r="J1241" s="186"/>
      <c r="K1241" s="266">
        <f t="shared" si="282"/>
        <v>2021</v>
      </c>
      <c r="L1241" s="301" t="s">
        <v>5519</v>
      </c>
      <c r="M1241" s="301" t="s">
        <v>5562</v>
      </c>
      <c r="N1241" s="32" t="s">
        <v>3462</v>
      </c>
      <c r="O1241" s="32" t="s">
        <v>3466</v>
      </c>
      <c r="P1241" s="278" t="s">
        <v>3464</v>
      </c>
      <c r="Q1241" s="233"/>
      <c r="R1241" s="75">
        <v>2217</v>
      </c>
      <c r="S1241" s="75"/>
      <c r="T1241" s="75">
        <v>2217</v>
      </c>
      <c r="U1241" s="200">
        <v>888</v>
      </c>
      <c r="V1241" s="287">
        <f t="shared" ca="1" si="283"/>
        <v>9</v>
      </c>
      <c r="W1241" s="75">
        <f t="shared" ca="1" si="284"/>
        <v>9176</v>
      </c>
      <c r="X1241" s="200">
        <f t="shared" ca="1" si="280"/>
        <v>10505</v>
      </c>
      <c r="Y1241" s="7"/>
      <c r="Z1241" s="31">
        <v>0.1</v>
      </c>
      <c r="AA1241" s="223">
        <v>0.09</v>
      </c>
      <c r="AB1241" s="302" t="s">
        <v>7022</v>
      </c>
      <c r="AC1241" s="302"/>
      <c r="AD1241" s="302"/>
      <c r="AE1241" s="302"/>
      <c r="AF1241">
        <f t="shared" si="285"/>
        <v>0</v>
      </c>
    </row>
    <row r="1242" spans="1:32" ht="39" hidden="1" x14ac:dyDescent="0.25">
      <c r="A1242" s="322" t="s">
        <v>3467</v>
      </c>
      <c r="B1242" s="93" t="str">
        <f t="shared" si="281"/>
        <v>YES</v>
      </c>
      <c r="C1242" s="93" t="s">
        <v>5503</v>
      </c>
      <c r="D1242" s="4">
        <v>40619</v>
      </c>
      <c r="E1242" s="2">
        <v>40664</v>
      </c>
      <c r="F1242" s="2">
        <f t="shared" si="286"/>
        <v>44317</v>
      </c>
      <c r="G1242" s="27">
        <v>726.54</v>
      </c>
      <c r="H1242" s="7" t="s">
        <v>3453</v>
      </c>
      <c r="I1242" s="7" t="s">
        <v>86</v>
      </c>
      <c r="J1242" s="186"/>
      <c r="K1242" s="266">
        <f t="shared" si="282"/>
        <v>2021</v>
      </c>
      <c r="L1242" s="301" t="s">
        <v>5519</v>
      </c>
      <c r="M1242" s="301" t="s">
        <v>5562</v>
      </c>
      <c r="N1242" s="32" t="s">
        <v>3462</v>
      </c>
      <c r="O1242" s="32" t="s">
        <v>3468</v>
      </c>
      <c r="P1242" s="278" t="s">
        <v>3464</v>
      </c>
      <c r="Q1242" s="233"/>
      <c r="R1242" s="75">
        <v>2689.5</v>
      </c>
      <c r="S1242" s="75"/>
      <c r="T1242" s="75">
        <v>2689.5</v>
      </c>
      <c r="U1242" s="200">
        <v>1090.5</v>
      </c>
      <c r="V1242" s="287">
        <f t="shared" ca="1" si="283"/>
        <v>9</v>
      </c>
      <c r="W1242" s="75">
        <f t="shared" ca="1" si="284"/>
        <v>11268.5</v>
      </c>
      <c r="X1242" s="200">
        <f t="shared" ca="1" si="280"/>
        <v>12867.5</v>
      </c>
      <c r="Y1242" s="7"/>
      <c r="Z1242" s="31">
        <v>0.1</v>
      </c>
      <c r="AA1242" s="223">
        <v>0.09</v>
      </c>
      <c r="AB1242" s="302" t="s">
        <v>7023</v>
      </c>
      <c r="AC1242" s="302"/>
      <c r="AD1242" s="302"/>
      <c r="AE1242" s="302"/>
      <c r="AF1242">
        <f t="shared" si="285"/>
        <v>0</v>
      </c>
    </row>
    <row r="1243" spans="1:32" ht="39" hidden="1" x14ac:dyDescent="0.25">
      <c r="A1243" s="322" t="s">
        <v>3469</v>
      </c>
      <c r="B1243" s="93" t="str">
        <f t="shared" si="281"/>
        <v>YES</v>
      </c>
      <c r="C1243" s="93" t="s">
        <v>5503</v>
      </c>
      <c r="D1243" s="4">
        <v>40619</v>
      </c>
      <c r="E1243" s="2">
        <v>40664</v>
      </c>
      <c r="F1243" s="2">
        <f t="shared" si="286"/>
        <v>44317</v>
      </c>
      <c r="G1243" s="27">
        <v>757.18</v>
      </c>
      <c r="H1243" s="7" t="s">
        <v>3453</v>
      </c>
      <c r="I1243" s="7" t="s">
        <v>86</v>
      </c>
      <c r="J1243" s="186"/>
      <c r="K1243" s="266">
        <f t="shared" si="282"/>
        <v>2021</v>
      </c>
      <c r="L1243" s="301" t="s">
        <v>5519</v>
      </c>
      <c r="M1243" s="301" t="s">
        <v>5562</v>
      </c>
      <c r="N1243" s="32" t="s">
        <v>3462</v>
      </c>
      <c r="O1243" s="32" t="s">
        <v>3470</v>
      </c>
      <c r="P1243" s="278" t="s">
        <v>3464</v>
      </c>
      <c r="Q1243" s="233"/>
      <c r="R1243" s="75">
        <v>2798</v>
      </c>
      <c r="S1243" s="75"/>
      <c r="T1243" s="75">
        <v>2798</v>
      </c>
      <c r="U1243" s="200">
        <v>1137</v>
      </c>
      <c r="V1243" s="287">
        <f t="shared" ca="1" si="283"/>
        <v>9</v>
      </c>
      <c r="W1243" s="75">
        <f t="shared" ca="1" si="284"/>
        <v>11749</v>
      </c>
      <c r="X1243" s="200">
        <f t="shared" ca="1" si="280"/>
        <v>13410</v>
      </c>
      <c r="Y1243" s="7"/>
      <c r="Z1243" s="31">
        <v>0.1</v>
      </c>
      <c r="AA1243" s="223">
        <v>0.09</v>
      </c>
      <c r="AB1243" s="302" t="s">
        <v>7024</v>
      </c>
      <c r="AC1243" s="302"/>
      <c r="AD1243" s="302"/>
      <c r="AE1243" s="302"/>
      <c r="AF1243">
        <f t="shared" si="285"/>
        <v>0</v>
      </c>
    </row>
    <row r="1244" spans="1:32" ht="51.75" hidden="1" x14ac:dyDescent="0.25">
      <c r="A1244" s="322" t="s">
        <v>3471</v>
      </c>
      <c r="B1244" s="93" t="str">
        <f t="shared" si="281"/>
        <v>YES</v>
      </c>
      <c r="C1244" s="93" t="s">
        <v>5503</v>
      </c>
      <c r="D1244" s="4">
        <v>40619</v>
      </c>
      <c r="E1244" s="2">
        <v>40664</v>
      </c>
      <c r="F1244" s="2">
        <f t="shared" si="286"/>
        <v>44317</v>
      </c>
      <c r="G1244" s="27">
        <v>1918.38</v>
      </c>
      <c r="H1244" s="7" t="s">
        <v>3472</v>
      </c>
      <c r="I1244" s="7" t="s">
        <v>86</v>
      </c>
      <c r="J1244" s="105" t="s">
        <v>6208</v>
      </c>
      <c r="K1244" s="266">
        <f t="shared" si="282"/>
        <v>2021</v>
      </c>
      <c r="L1244" s="301" t="s">
        <v>7579</v>
      </c>
      <c r="M1244" s="301" t="s">
        <v>7537</v>
      </c>
      <c r="N1244" s="32" t="s">
        <v>3473</v>
      </c>
      <c r="O1244" s="32" t="s">
        <v>3474</v>
      </c>
      <c r="P1244" s="278" t="s">
        <v>3475</v>
      </c>
      <c r="Q1244" s="233"/>
      <c r="R1244" s="75">
        <v>6861.5</v>
      </c>
      <c r="S1244" s="75"/>
      <c r="T1244" s="75">
        <v>6861.5</v>
      </c>
      <c r="U1244" s="200">
        <v>2878.5</v>
      </c>
      <c r="V1244" s="287">
        <f t="shared" ca="1" si="283"/>
        <v>9</v>
      </c>
      <c r="W1244" s="75">
        <f t="shared" ca="1" si="284"/>
        <v>29744.5</v>
      </c>
      <c r="X1244" s="200">
        <f t="shared" ca="1" si="280"/>
        <v>33727.5</v>
      </c>
      <c r="Y1244" s="7"/>
      <c r="Z1244" s="31">
        <v>0.1</v>
      </c>
      <c r="AA1244" s="223">
        <v>0.09</v>
      </c>
      <c r="AB1244" s="302"/>
      <c r="AC1244" s="302"/>
      <c r="AD1244" s="302"/>
      <c r="AE1244" s="302"/>
      <c r="AF1244">
        <f t="shared" si="285"/>
        <v>0</v>
      </c>
    </row>
    <row r="1245" spans="1:32" ht="51.75" hidden="1" x14ac:dyDescent="0.25">
      <c r="A1245" s="322" t="s">
        <v>3476</v>
      </c>
      <c r="B1245" s="93" t="str">
        <f t="shared" si="281"/>
        <v>YES</v>
      </c>
      <c r="C1245" s="93" t="s">
        <v>5503</v>
      </c>
      <c r="D1245" s="4">
        <v>40619</v>
      </c>
      <c r="E1245" s="2">
        <v>40664</v>
      </c>
      <c r="F1245" s="2">
        <f t="shared" si="286"/>
        <v>44317</v>
      </c>
      <c r="G1245" s="27">
        <v>1040.6500000000001</v>
      </c>
      <c r="H1245" s="7" t="s">
        <v>3472</v>
      </c>
      <c r="I1245" s="7" t="s">
        <v>86</v>
      </c>
      <c r="J1245" s="105" t="s">
        <v>6208</v>
      </c>
      <c r="K1245" s="266">
        <f t="shared" si="282"/>
        <v>2021</v>
      </c>
      <c r="L1245" s="301" t="s">
        <v>7579</v>
      </c>
      <c r="M1245" s="301" t="s">
        <v>7537</v>
      </c>
      <c r="N1245" s="32" t="s">
        <v>3473</v>
      </c>
      <c r="O1245" s="32" t="s">
        <v>3477</v>
      </c>
      <c r="P1245" s="278" t="s">
        <v>3475</v>
      </c>
      <c r="Q1245" s="233"/>
      <c r="R1245" s="75">
        <v>3788.5</v>
      </c>
      <c r="S1245" s="75"/>
      <c r="T1245" s="75">
        <v>3788.5</v>
      </c>
      <c r="U1245" s="200">
        <v>1561.5</v>
      </c>
      <c r="V1245" s="287">
        <f t="shared" ca="1" si="283"/>
        <v>9</v>
      </c>
      <c r="W1245" s="75">
        <f t="shared" ca="1" si="284"/>
        <v>16135.5</v>
      </c>
      <c r="X1245" s="200">
        <f t="shared" ca="1" si="280"/>
        <v>18362.5</v>
      </c>
      <c r="Y1245" s="7"/>
      <c r="Z1245" s="31">
        <v>0.1</v>
      </c>
      <c r="AA1245" s="223">
        <v>0.09</v>
      </c>
      <c r="AB1245" s="302"/>
      <c r="AC1245" s="302"/>
      <c r="AD1245" s="302"/>
      <c r="AE1245" s="302"/>
      <c r="AF1245">
        <f t="shared" si="285"/>
        <v>0</v>
      </c>
    </row>
    <row r="1246" spans="1:32" ht="51.75" hidden="1" x14ac:dyDescent="0.25">
      <c r="A1246" s="322" t="s">
        <v>3478</v>
      </c>
      <c r="B1246" s="93" t="str">
        <f t="shared" si="281"/>
        <v>YES</v>
      </c>
      <c r="C1246" s="93" t="s">
        <v>5503</v>
      </c>
      <c r="D1246" s="4">
        <v>40619</v>
      </c>
      <c r="E1246" s="2">
        <v>40664</v>
      </c>
      <c r="F1246" s="2">
        <f t="shared" si="286"/>
        <v>44317</v>
      </c>
      <c r="G1246" s="27">
        <v>1280.4000000000001</v>
      </c>
      <c r="H1246" s="7" t="s">
        <v>3472</v>
      </c>
      <c r="I1246" s="7" t="s">
        <v>86</v>
      </c>
      <c r="J1246" s="105" t="s">
        <v>6208</v>
      </c>
      <c r="K1246" s="266">
        <f t="shared" si="282"/>
        <v>2021</v>
      </c>
      <c r="L1246" s="301" t="s">
        <v>7579</v>
      </c>
      <c r="M1246" s="301" t="s">
        <v>7537</v>
      </c>
      <c r="N1246" s="32" t="s">
        <v>3473</v>
      </c>
      <c r="O1246" s="32" t="s">
        <v>3479</v>
      </c>
      <c r="P1246" s="278" t="s">
        <v>3475</v>
      </c>
      <c r="Q1246" s="233"/>
      <c r="R1246" s="75">
        <v>4628.5</v>
      </c>
      <c r="S1246" s="75">
        <v>5124</v>
      </c>
      <c r="T1246" s="75">
        <v>9752.5</v>
      </c>
      <c r="U1246" s="200">
        <v>1921.5</v>
      </c>
      <c r="V1246" s="287">
        <f t="shared" ca="1" si="283"/>
        <v>9</v>
      </c>
      <c r="W1246" s="75">
        <f t="shared" ca="1" si="284"/>
        <v>19855.5</v>
      </c>
      <c r="X1246" s="200">
        <f t="shared" ca="1" si="280"/>
        <v>27686.5</v>
      </c>
      <c r="Y1246" s="7"/>
      <c r="Z1246" s="31">
        <v>0.1</v>
      </c>
      <c r="AA1246" s="223">
        <v>0.09</v>
      </c>
      <c r="AB1246" s="302"/>
      <c r="AC1246" s="302"/>
      <c r="AD1246" s="302"/>
      <c r="AE1246" s="302"/>
      <c r="AF1246">
        <f t="shared" si="285"/>
        <v>0</v>
      </c>
    </row>
    <row r="1247" spans="1:32" ht="51.75" hidden="1" x14ac:dyDescent="0.25">
      <c r="A1247" s="322" t="s">
        <v>3480</v>
      </c>
      <c r="B1247" s="93" t="str">
        <f t="shared" ref="B1247:B1273" si="287">IF(COUNTIF(GIS,A1247),"YES","NO")</f>
        <v>YES</v>
      </c>
      <c r="C1247" s="93" t="s">
        <v>5503</v>
      </c>
      <c r="D1247" s="4">
        <v>40619</v>
      </c>
      <c r="E1247" s="2">
        <v>40664</v>
      </c>
      <c r="F1247" s="2">
        <f t="shared" si="286"/>
        <v>44317</v>
      </c>
      <c r="G1247" s="27">
        <v>1280.4000000000001</v>
      </c>
      <c r="H1247" s="7" t="s">
        <v>3472</v>
      </c>
      <c r="I1247" s="7" t="s">
        <v>86</v>
      </c>
      <c r="J1247" s="105" t="s">
        <v>6208</v>
      </c>
      <c r="K1247" s="266">
        <f t="shared" ref="K1247:K1273" si="288">YEAR(F1247)</f>
        <v>2021</v>
      </c>
      <c r="L1247" s="301" t="s">
        <v>7579</v>
      </c>
      <c r="M1247" s="301" t="s">
        <v>7537</v>
      </c>
      <c r="N1247" s="32" t="s">
        <v>3473</v>
      </c>
      <c r="O1247" s="32" t="s">
        <v>3481</v>
      </c>
      <c r="P1247" s="278" t="s">
        <v>3475</v>
      </c>
      <c r="Q1247" s="233"/>
      <c r="R1247" s="75">
        <v>4628.5</v>
      </c>
      <c r="S1247" s="75"/>
      <c r="T1247" s="75">
        <v>4628.5</v>
      </c>
      <c r="U1247" s="200">
        <v>1921.5</v>
      </c>
      <c r="V1247" s="287">
        <f t="shared" ref="V1247:V1273" ca="1" si="289">IF(YEAR($W$3)-YEAR(E1247)&gt;9,10,IF(MONTH($W$3)&lt;MONTH(E1247),YEAR($W$3)-YEAR(E1247),YEAR($W$3)-YEAR(E1247)+1))</f>
        <v>9</v>
      </c>
      <c r="W1247" s="75">
        <f t="shared" ref="W1247:W1273" ca="1" si="290">IF(V1247&lt;6, ROUNDUP(G1247,0)*$W$6*V1247, ROUNDUP(G1247,0)*($W$6*5 + (V1247-5)*$W$7))</f>
        <v>19855.5</v>
      </c>
      <c r="X1247" s="200">
        <f t="shared" ref="X1247:X1273" ca="1" si="291">IF(V1247=0,T1247,((T1247-ROUNDUP(G1247,0)*1.5)+W1247))</f>
        <v>22562.5</v>
      </c>
      <c r="Y1247" s="7"/>
      <c r="Z1247" s="31">
        <v>0.1</v>
      </c>
      <c r="AA1247" s="223">
        <v>0.09</v>
      </c>
      <c r="AB1247" s="302"/>
      <c r="AC1247" s="302"/>
      <c r="AD1247" s="302"/>
      <c r="AE1247" s="302"/>
      <c r="AF1247">
        <f t="shared" si="285"/>
        <v>0</v>
      </c>
    </row>
    <row r="1248" spans="1:32" ht="51.75" hidden="1" x14ac:dyDescent="0.25">
      <c r="A1248" s="322" t="s">
        <v>3482</v>
      </c>
      <c r="B1248" s="93" t="str">
        <f t="shared" si="287"/>
        <v>YES</v>
      </c>
      <c r="C1248" s="93" t="s">
        <v>5503</v>
      </c>
      <c r="D1248" s="4">
        <v>40619</v>
      </c>
      <c r="E1248" s="2">
        <v>40664</v>
      </c>
      <c r="F1248" s="2">
        <f t="shared" si="286"/>
        <v>44317</v>
      </c>
      <c r="G1248" s="27">
        <v>1080.28</v>
      </c>
      <c r="H1248" s="7" t="s">
        <v>3472</v>
      </c>
      <c r="I1248" s="7" t="s">
        <v>86</v>
      </c>
      <c r="J1248" s="105" t="s">
        <v>6208</v>
      </c>
      <c r="K1248" s="266">
        <f t="shared" si="288"/>
        <v>2021</v>
      </c>
      <c r="L1248" s="301" t="s">
        <v>7579</v>
      </c>
      <c r="M1248" s="301" t="s">
        <v>7537</v>
      </c>
      <c r="N1248" s="32" t="s">
        <v>3473</v>
      </c>
      <c r="O1248" s="32" t="s">
        <v>3483</v>
      </c>
      <c r="P1248" s="278" t="s">
        <v>3475</v>
      </c>
      <c r="Q1248" s="233"/>
      <c r="R1248" s="75">
        <v>3928.5</v>
      </c>
      <c r="S1248" s="75"/>
      <c r="T1248" s="75">
        <v>3928.5</v>
      </c>
      <c r="U1248" s="200">
        <v>1621.5</v>
      </c>
      <c r="V1248" s="287">
        <f t="shared" ca="1" si="289"/>
        <v>9</v>
      </c>
      <c r="W1248" s="75">
        <f t="shared" ca="1" si="290"/>
        <v>16755.5</v>
      </c>
      <c r="X1248" s="200">
        <f t="shared" ca="1" si="291"/>
        <v>19062.5</v>
      </c>
      <c r="Y1248" s="7"/>
      <c r="Z1248" s="31">
        <v>0.1</v>
      </c>
      <c r="AA1248" s="223">
        <v>0.09</v>
      </c>
      <c r="AB1248" s="302"/>
      <c r="AC1248" s="302"/>
      <c r="AD1248" s="302"/>
      <c r="AE1248" s="302"/>
      <c r="AF1248">
        <f t="shared" si="285"/>
        <v>0</v>
      </c>
    </row>
    <row r="1249" spans="1:32" hidden="1" x14ac:dyDescent="0.25">
      <c r="A1249" s="322" t="s">
        <v>3484</v>
      </c>
      <c r="B1249" s="93" t="str">
        <f t="shared" si="287"/>
        <v>YES</v>
      </c>
      <c r="C1249" s="93" t="s">
        <v>5503</v>
      </c>
      <c r="D1249" s="4">
        <v>40619</v>
      </c>
      <c r="E1249" s="2">
        <v>40664</v>
      </c>
      <c r="F1249" s="2">
        <f t="shared" si="286"/>
        <v>44317</v>
      </c>
      <c r="G1249" s="27">
        <v>1198.4000000000001</v>
      </c>
      <c r="H1249" s="7" t="s">
        <v>3472</v>
      </c>
      <c r="I1249" s="7" t="s">
        <v>86</v>
      </c>
      <c r="J1249" s="105" t="s">
        <v>6208</v>
      </c>
      <c r="K1249" s="266">
        <f t="shared" si="288"/>
        <v>2021</v>
      </c>
      <c r="L1249" s="301" t="s">
        <v>7579</v>
      </c>
      <c r="M1249" s="301" t="s">
        <v>7537</v>
      </c>
      <c r="N1249" s="32" t="s">
        <v>3473</v>
      </c>
      <c r="O1249" s="32" t="s">
        <v>3485</v>
      </c>
      <c r="P1249" s="278" t="s">
        <v>3486</v>
      </c>
      <c r="Q1249" s="233"/>
      <c r="R1249" s="75">
        <v>4341.5</v>
      </c>
      <c r="S1249" s="75">
        <v>4796</v>
      </c>
      <c r="T1249" s="75">
        <v>9137.5</v>
      </c>
      <c r="U1249" s="200">
        <v>1798.5</v>
      </c>
      <c r="V1249" s="287">
        <f t="shared" ca="1" si="289"/>
        <v>9</v>
      </c>
      <c r="W1249" s="75">
        <f t="shared" ca="1" si="290"/>
        <v>18584.5</v>
      </c>
      <c r="X1249" s="200">
        <f t="shared" ca="1" si="291"/>
        <v>25923.5</v>
      </c>
      <c r="Y1249" s="7"/>
      <c r="Z1249" s="31">
        <v>0.1</v>
      </c>
      <c r="AA1249" s="223">
        <v>0.09</v>
      </c>
      <c r="AB1249" s="302"/>
      <c r="AC1249" s="302"/>
      <c r="AD1249" s="302"/>
      <c r="AE1249" s="302"/>
      <c r="AF1249">
        <f t="shared" si="285"/>
        <v>0</v>
      </c>
    </row>
    <row r="1250" spans="1:32" hidden="1" x14ac:dyDescent="0.25">
      <c r="A1250" s="322" t="s">
        <v>3487</v>
      </c>
      <c r="B1250" s="93" t="str">
        <f t="shared" si="287"/>
        <v>YES</v>
      </c>
      <c r="C1250" s="93" t="s">
        <v>5503</v>
      </c>
      <c r="D1250" s="4">
        <v>40619</v>
      </c>
      <c r="E1250" s="2">
        <v>40664</v>
      </c>
      <c r="F1250" s="2">
        <f t="shared" si="286"/>
        <v>44317</v>
      </c>
      <c r="G1250" s="27">
        <v>915.46</v>
      </c>
      <c r="H1250" s="7" t="s">
        <v>3472</v>
      </c>
      <c r="I1250" s="7" t="s">
        <v>86</v>
      </c>
      <c r="J1250" s="105" t="s">
        <v>6208</v>
      </c>
      <c r="K1250" s="266">
        <f t="shared" si="288"/>
        <v>2021</v>
      </c>
      <c r="L1250" s="301" t="s">
        <v>7579</v>
      </c>
      <c r="M1250" s="301" t="s">
        <v>7537</v>
      </c>
      <c r="N1250" s="32" t="s">
        <v>3473</v>
      </c>
      <c r="O1250" s="32" t="s">
        <v>3485</v>
      </c>
      <c r="P1250" s="278" t="s">
        <v>3486</v>
      </c>
      <c r="Q1250" s="233"/>
      <c r="R1250" s="75">
        <v>3351</v>
      </c>
      <c r="S1250" s="75"/>
      <c r="T1250" s="75">
        <v>3351</v>
      </c>
      <c r="U1250" s="200">
        <v>1374</v>
      </c>
      <c r="V1250" s="287">
        <f t="shared" ca="1" si="289"/>
        <v>9</v>
      </c>
      <c r="W1250" s="75">
        <f t="shared" ca="1" si="290"/>
        <v>14198</v>
      </c>
      <c r="X1250" s="200">
        <f t="shared" ca="1" si="291"/>
        <v>16175</v>
      </c>
      <c r="Y1250" s="7"/>
      <c r="Z1250" s="31">
        <v>0.1</v>
      </c>
      <c r="AA1250" s="223">
        <v>0.09</v>
      </c>
      <c r="AB1250" s="302"/>
      <c r="AC1250" s="302"/>
      <c r="AD1250" s="302"/>
      <c r="AE1250" s="302"/>
      <c r="AF1250">
        <f t="shared" si="285"/>
        <v>0</v>
      </c>
    </row>
    <row r="1251" spans="1:32" ht="51.75" hidden="1" x14ac:dyDescent="0.25">
      <c r="A1251" s="322" t="s">
        <v>3488</v>
      </c>
      <c r="B1251" s="93" t="str">
        <f t="shared" si="287"/>
        <v>YES</v>
      </c>
      <c r="C1251" s="93" t="s">
        <v>5503</v>
      </c>
      <c r="D1251" s="4">
        <v>40619</v>
      </c>
      <c r="E1251" s="2">
        <v>40664</v>
      </c>
      <c r="F1251" s="2">
        <f t="shared" si="286"/>
        <v>44317</v>
      </c>
      <c r="G1251" s="27">
        <v>1280</v>
      </c>
      <c r="H1251" s="7" t="s">
        <v>3472</v>
      </c>
      <c r="I1251" s="7" t="s">
        <v>86</v>
      </c>
      <c r="J1251" s="105" t="s">
        <v>6208</v>
      </c>
      <c r="K1251" s="266">
        <f t="shared" si="288"/>
        <v>2021</v>
      </c>
      <c r="L1251" s="301" t="s">
        <v>7579</v>
      </c>
      <c r="M1251" s="301" t="s">
        <v>7537</v>
      </c>
      <c r="N1251" s="32" t="s">
        <v>3473</v>
      </c>
      <c r="O1251" s="32" t="s">
        <v>3489</v>
      </c>
      <c r="P1251" s="278" t="s">
        <v>3475</v>
      </c>
      <c r="Q1251" s="233"/>
      <c r="R1251" s="75">
        <v>4625</v>
      </c>
      <c r="S1251" s="75"/>
      <c r="T1251" s="75">
        <v>4625</v>
      </c>
      <c r="U1251" s="200">
        <v>1920</v>
      </c>
      <c r="V1251" s="287">
        <f t="shared" ca="1" si="289"/>
        <v>9</v>
      </c>
      <c r="W1251" s="75">
        <f t="shared" ca="1" si="290"/>
        <v>19840</v>
      </c>
      <c r="X1251" s="200">
        <f t="shared" ca="1" si="291"/>
        <v>22545</v>
      </c>
      <c r="Y1251" s="7"/>
      <c r="Z1251" s="31">
        <v>0.1</v>
      </c>
      <c r="AA1251" s="223">
        <v>0.09</v>
      </c>
      <c r="AB1251" s="302"/>
      <c r="AC1251" s="302"/>
      <c r="AD1251" s="302"/>
      <c r="AE1251" s="302"/>
      <c r="AF1251">
        <f t="shared" si="285"/>
        <v>0</v>
      </c>
    </row>
    <row r="1252" spans="1:32" ht="26.25" hidden="1" x14ac:dyDescent="0.25">
      <c r="A1252" s="322" t="s">
        <v>3490</v>
      </c>
      <c r="B1252" s="93" t="str">
        <f t="shared" si="287"/>
        <v>YES</v>
      </c>
      <c r="C1252" s="93" t="s">
        <v>5503</v>
      </c>
      <c r="D1252" s="4">
        <v>40619</v>
      </c>
      <c r="E1252" s="2">
        <v>40664</v>
      </c>
      <c r="F1252" s="2">
        <f t="shared" si="286"/>
        <v>44317</v>
      </c>
      <c r="G1252" s="27">
        <v>1204.8019999999999</v>
      </c>
      <c r="H1252" s="7" t="s">
        <v>3472</v>
      </c>
      <c r="I1252" s="7" t="s">
        <v>86</v>
      </c>
      <c r="J1252" s="105" t="s">
        <v>6208</v>
      </c>
      <c r="K1252" s="266">
        <f t="shared" si="288"/>
        <v>2021</v>
      </c>
      <c r="L1252" s="301" t="s">
        <v>7579</v>
      </c>
      <c r="M1252" s="301" t="s">
        <v>6140</v>
      </c>
      <c r="N1252" s="32" t="s">
        <v>3491</v>
      </c>
      <c r="O1252" s="32" t="s">
        <v>3485</v>
      </c>
      <c r="P1252" s="278" t="s">
        <v>3486</v>
      </c>
      <c r="Q1252" s="233"/>
      <c r="R1252" s="75">
        <v>4362.5</v>
      </c>
      <c r="S1252" s="75"/>
      <c r="T1252" s="75">
        <v>4362.5</v>
      </c>
      <c r="U1252" s="200">
        <v>1807.5</v>
      </c>
      <c r="V1252" s="287">
        <f t="shared" ca="1" si="289"/>
        <v>9</v>
      </c>
      <c r="W1252" s="75">
        <f t="shared" ca="1" si="290"/>
        <v>18677.5</v>
      </c>
      <c r="X1252" s="200">
        <f t="shared" ca="1" si="291"/>
        <v>21232.5</v>
      </c>
      <c r="Y1252" s="7"/>
      <c r="Z1252" s="31">
        <v>0.1</v>
      </c>
      <c r="AA1252" s="223">
        <v>0.09</v>
      </c>
      <c r="AB1252" s="302"/>
      <c r="AC1252" s="302"/>
      <c r="AD1252" s="302"/>
      <c r="AE1252" s="302"/>
      <c r="AF1252">
        <f t="shared" si="285"/>
        <v>0</v>
      </c>
    </row>
    <row r="1253" spans="1:32" ht="51.75" hidden="1" x14ac:dyDescent="0.25">
      <c r="A1253" s="322" t="s">
        <v>3492</v>
      </c>
      <c r="B1253" s="93" t="str">
        <f t="shared" si="287"/>
        <v>YES</v>
      </c>
      <c r="C1253" s="93" t="s">
        <v>5503</v>
      </c>
      <c r="D1253" s="4">
        <v>40619</v>
      </c>
      <c r="E1253" s="2">
        <v>40664</v>
      </c>
      <c r="F1253" s="2">
        <f t="shared" si="286"/>
        <v>44317</v>
      </c>
      <c r="G1253" s="27">
        <v>40</v>
      </c>
      <c r="H1253" s="7" t="s">
        <v>3472</v>
      </c>
      <c r="I1253" s="7" t="s">
        <v>86</v>
      </c>
      <c r="J1253" s="105" t="s">
        <v>6208</v>
      </c>
      <c r="K1253" s="266">
        <f t="shared" si="288"/>
        <v>2021</v>
      </c>
      <c r="L1253" s="301" t="s">
        <v>7579</v>
      </c>
      <c r="M1253" s="301" t="s">
        <v>6140</v>
      </c>
      <c r="N1253" s="32" t="s">
        <v>3491</v>
      </c>
      <c r="O1253" s="32" t="s">
        <v>3493</v>
      </c>
      <c r="P1253" s="278" t="s">
        <v>3494</v>
      </c>
      <c r="Q1253" s="233"/>
      <c r="R1253" s="75">
        <v>285</v>
      </c>
      <c r="S1253" s="75"/>
      <c r="T1253" s="75">
        <v>285</v>
      </c>
      <c r="U1253" s="200">
        <v>60</v>
      </c>
      <c r="V1253" s="287">
        <f t="shared" ca="1" si="289"/>
        <v>9</v>
      </c>
      <c r="W1253" s="75">
        <f t="shared" ca="1" si="290"/>
        <v>620</v>
      </c>
      <c r="X1253" s="200">
        <f t="shared" ca="1" si="291"/>
        <v>845</v>
      </c>
      <c r="Y1253" s="7"/>
      <c r="Z1253" s="31">
        <v>0.1</v>
      </c>
      <c r="AA1253" s="223">
        <v>0.09</v>
      </c>
      <c r="AB1253" s="302"/>
      <c r="AC1253" s="302"/>
      <c r="AD1253" s="302"/>
      <c r="AE1253" s="302"/>
      <c r="AF1253">
        <f t="shared" si="285"/>
        <v>0</v>
      </c>
    </row>
    <row r="1254" spans="1:32" ht="26.25" hidden="1" x14ac:dyDescent="0.25">
      <c r="A1254" s="322" t="s">
        <v>3495</v>
      </c>
      <c r="B1254" s="93" t="str">
        <f t="shared" si="287"/>
        <v>YES</v>
      </c>
      <c r="C1254" s="93" t="s">
        <v>5503</v>
      </c>
      <c r="D1254" s="4">
        <v>40619</v>
      </c>
      <c r="E1254" s="2">
        <v>40664</v>
      </c>
      <c r="F1254" s="2">
        <f t="shared" si="286"/>
        <v>44317</v>
      </c>
      <c r="G1254" s="27">
        <v>1030</v>
      </c>
      <c r="H1254" s="7" t="s">
        <v>3472</v>
      </c>
      <c r="I1254" s="7" t="s">
        <v>86</v>
      </c>
      <c r="J1254" s="105" t="s">
        <v>6208</v>
      </c>
      <c r="K1254" s="266">
        <f t="shared" si="288"/>
        <v>2021</v>
      </c>
      <c r="L1254" s="301" t="s">
        <v>7579</v>
      </c>
      <c r="M1254" s="301" t="s">
        <v>6140</v>
      </c>
      <c r="N1254" s="32" t="s">
        <v>3491</v>
      </c>
      <c r="O1254" s="32" t="s">
        <v>3485</v>
      </c>
      <c r="P1254" s="278" t="s">
        <v>3486</v>
      </c>
      <c r="Q1254" s="233"/>
      <c r="R1254" s="75">
        <v>3750</v>
      </c>
      <c r="S1254" s="75"/>
      <c r="T1254" s="75">
        <v>3750</v>
      </c>
      <c r="U1254" s="200">
        <v>1545</v>
      </c>
      <c r="V1254" s="287">
        <f t="shared" ca="1" si="289"/>
        <v>9</v>
      </c>
      <c r="W1254" s="75">
        <f t="shared" ca="1" si="290"/>
        <v>15965</v>
      </c>
      <c r="X1254" s="200">
        <f t="shared" ca="1" si="291"/>
        <v>18170</v>
      </c>
      <c r="Y1254" s="7"/>
      <c r="Z1254" s="31">
        <v>0.1</v>
      </c>
      <c r="AA1254" s="223">
        <v>0.09</v>
      </c>
      <c r="AB1254" s="302"/>
      <c r="AC1254" s="302"/>
      <c r="AD1254" s="302"/>
      <c r="AE1254" s="302"/>
      <c r="AF1254">
        <f t="shared" si="285"/>
        <v>0</v>
      </c>
    </row>
    <row r="1255" spans="1:32" ht="39" hidden="1" x14ac:dyDescent="0.25">
      <c r="A1255" s="322" t="s">
        <v>3496</v>
      </c>
      <c r="B1255" s="93" t="str">
        <f t="shared" si="287"/>
        <v>YES</v>
      </c>
      <c r="C1255" s="93" t="s">
        <v>5503</v>
      </c>
      <c r="D1255" s="4">
        <v>40619</v>
      </c>
      <c r="E1255" s="2">
        <v>40664</v>
      </c>
      <c r="F1255" s="2">
        <f t="shared" si="286"/>
        <v>44317</v>
      </c>
      <c r="G1255" s="27">
        <v>921.24</v>
      </c>
      <c r="H1255" s="7" t="s">
        <v>3472</v>
      </c>
      <c r="I1255" s="7" t="s">
        <v>86</v>
      </c>
      <c r="J1255" s="105" t="s">
        <v>6208</v>
      </c>
      <c r="K1255" s="266">
        <f t="shared" si="288"/>
        <v>2021</v>
      </c>
      <c r="L1255" s="301" t="s">
        <v>7579</v>
      </c>
      <c r="M1255" s="301" t="s">
        <v>6140</v>
      </c>
      <c r="N1255" s="32" t="s">
        <v>3491</v>
      </c>
      <c r="O1255" s="32" t="s">
        <v>3497</v>
      </c>
      <c r="P1255" s="278" t="s">
        <v>3464</v>
      </c>
      <c r="Q1255" s="233"/>
      <c r="R1255" s="75">
        <v>3372</v>
      </c>
      <c r="S1255" s="75"/>
      <c r="T1255" s="75">
        <v>3372</v>
      </c>
      <c r="U1255" s="200">
        <v>1383</v>
      </c>
      <c r="V1255" s="287">
        <f t="shared" ca="1" si="289"/>
        <v>9</v>
      </c>
      <c r="W1255" s="75">
        <f t="shared" ca="1" si="290"/>
        <v>14291</v>
      </c>
      <c r="X1255" s="200">
        <f t="shared" ca="1" si="291"/>
        <v>16280</v>
      </c>
      <c r="Y1255" s="7"/>
      <c r="Z1255" s="31">
        <v>0.1</v>
      </c>
      <c r="AA1255" s="223">
        <v>0.09</v>
      </c>
      <c r="AB1255" s="302"/>
      <c r="AC1255" s="302"/>
      <c r="AD1255" s="302"/>
      <c r="AE1255" s="302"/>
      <c r="AF1255">
        <f t="shared" si="285"/>
        <v>0</v>
      </c>
    </row>
    <row r="1256" spans="1:32" ht="26.25" hidden="1" x14ac:dyDescent="0.25">
      <c r="A1256" s="322" t="s">
        <v>3498</v>
      </c>
      <c r="B1256" s="93" t="str">
        <f t="shared" si="287"/>
        <v>YES</v>
      </c>
      <c r="C1256" s="93" t="s">
        <v>5503</v>
      </c>
      <c r="D1256" s="4">
        <v>40619</v>
      </c>
      <c r="E1256" s="2">
        <v>40664</v>
      </c>
      <c r="F1256" s="2">
        <f t="shared" si="286"/>
        <v>44317</v>
      </c>
      <c r="G1256" s="27">
        <v>692.28899999999999</v>
      </c>
      <c r="H1256" s="7" t="s">
        <v>3472</v>
      </c>
      <c r="I1256" s="7" t="s">
        <v>86</v>
      </c>
      <c r="J1256" s="105" t="s">
        <v>6208</v>
      </c>
      <c r="K1256" s="266">
        <f t="shared" si="288"/>
        <v>2021</v>
      </c>
      <c r="L1256" s="301" t="s">
        <v>7579</v>
      </c>
      <c r="M1256" s="301" t="s">
        <v>6140</v>
      </c>
      <c r="N1256" s="32" t="s">
        <v>3491</v>
      </c>
      <c r="O1256" s="32" t="s">
        <v>3485</v>
      </c>
      <c r="P1256" s="278" t="s">
        <v>3486</v>
      </c>
      <c r="Q1256" s="233"/>
      <c r="R1256" s="75">
        <v>2570.5</v>
      </c>
      <c r="S1256" s="75"/>
      <c r="T1256" s="75">
        <v>2570.5</v>
      </c>
      <c r="U1256" s="200">
        <v>1039.5</v>
      </c>
      <c r="V1256" s="287">
        <f t="shared" ca="1" si="289"/>
        <v>9</v>
      </c>
      <c r="W1256" s="75">
        <f t="shared" ca="1" si="290"/>
        <v>10741.5</v>
      </c>
      <c r="X1256" s="200">
        <f t="shared" ca="1" si="291"/>
        <v>12272.5</v>
      </c>
      <c r="Y1256" s="7"/>
      <c r="Z1256" s="31">
        <v>0.1</v>
      </c>
      <c r="AA1256" s="223">
        <v>0.09</v>
      </c>
      <c r="AB1256" s="302"/>
      <c r="AC1256" s="302"/>
      <c r="AD1256" s="302"/>
      <c r="AE1256" s="302"/>
      <c r="AF1256">
        <f t="shared" si="285"/>
        <v>0</v>
      </c>
    </row>
    <row r="1257" spans="1:32" ht="51.75" hidden="1" x14ac:dyDescent="0.25">
      <c r="A1257" s="322" t="s">
        <v>3499</v>
      </c>
      <c r="B1257" s="93" t="str">
        <f t="shared" si="287"/>
        <v>YES</v>
      </c>
      <c r="C1257" s="93" t="s">
        <v>5503</v>
      </c>
      <c r="D1257" s="4">
        <v>40619</v>
      </c>
      <c r="E1257" s="2">
        <v>40664</v>
      </c>
      <c r="F1257" s="2">
        <f t="shared" si="286"/>
        <v>44317</v>
      </c>
      <c r="G1257" s="27">
        <v>64.281000000000006</v>
      </c>
      <c r="H1257" s="7" t="s">
        <v>3472</v>
      </c>
      <c r="I1257" s="7" t="s">
        <v>86</v>
      </c>
      <c r="J1257" s="105" t="s">
        <v>6208</v>
      </c>
      <c r="K1257" s="266">
        <f t="shared" si="288"/>
        <v>2021</v>
      </c>
      <c r="L1257" s="301" t="s">
        <v>7579</v>
      </c>
      <c r="M1257" s="301" t="s">
        <v>6140</v>
      </c>
      <c r="N1257" s="32" t="s">
        <v>3491</v>
      </c>
      <c r="O1257" s="32" t="s">
        <v>3500</v>
      </c>
      <c r="P1257" s="278" t="s">
        <v>3494</v>
      </c>
      <c r="Q1257" s="233"/>
      <c r="R1257" s="75">
        <v>372.5</v>
      </c>
      <c r="S1257" s="75"/>
      <c r="T1257" s="75">
        <v>372.5</v>
      </c>
      <c r="U1257" s="200">
        <v>97.5</v>
      </c>
      <c r="V1257" s="287">
        <f t="shared" ca="1" si="289"/>
        <v>9</v>
      </c>
      <c r="W1257" s="75">
        <f t="shared" ca="1" si="290"/>
        <v>1007.5</v>
      </c>
      <c r="X1257" s="200">
        <f t="shared" ca="1" si="291"/>
        <v>1282.5</v>
      </c>
      <c r="Y1257" s="7"/>
      <c r="Z1257" s="31">
        <v>0.1</v>
      </c>
      <c r="AA1257" s="223">
        <v>0.09</v>
      </c>
      <c r="AB1257" s="302"/>
      <c r="AC1257" s="302"/>
      <c r="AD1257" s="302"/>
      <c r="AE1257" s="302"/>
      <c r="AF1257">
        <f t="shared" si="285"/>
        <v>0</v>
      </c>
    </row>
    <row r="1258" spans="1:32" ht="26.25" hidden="1" x14ac:dyDescent="0.25">
      <c r="A1258" s="322" t="s">
        <v>3501</v>
      </c>
      <c r="B1258" s="93" t="str">
        <f t="shared" si="287"/>
        <v>YES</v>
      </c>
      <c r="C1258" s="93" t="s">
        <v>5503</v>
      </c>
      <c r="D1258" s="4">
        <v>40619</v>
      </c>
      <c r="E1258" s="2">
        <v>40664</v>
      </c>
      <c r="F1258" s="2">
        <f t="shared" si="286"/>
        <v>44317</v>
      </c>
      <c r="G1258" s="27">
        <v>914.11</v>
      </c>
      <c r="H1258" s="7" t="s">
        <v>3472</v>
      </c>
      <c r="I1258" s="7" t="s">
        <v>86</v>
      </c>
      <c r="J1258" s="105" t="s">
        <v>6208</v>
      </c>
      <c r="K1258" s="266">
        <f t="shared" si="288"/>
        <v>2021</v>
      </c>
      <c r="L1258" s="301" t="s">
        <v>7579</v>
      </c>
      <c r="M1258" s="301" t="s">
        <v>6140</v>
      </c>
      <c r="N1258" s="32" t="s">
        <v>3491</v>
      </c>
      <c r="O1258" s="32" t="s">
        <v>3485</v>
      </c>
      <c r="P1258" s="278" t="s">
        <v>3486</v>
      </c>
      <c r="Q1258" s="233"/>
      <c r="R1258" s="75">
        <v>3347.5</v>
      </c>
      <c r="S1258" s="75"/>
      <c r="T1258" s="75">
        <v>3347.5</v>
      </c>
      <c r="U1258" s="200">
        <v>1372.5</v>
      </c>
      <c r="V1258" s="287">
        <f t="shared" ca="1" si="289"/>
        <v>9</v>
      </c>
      <c r="W1258" s="75">
        <f t="shared" ca="1" si="290"/>
        <v>14182.5</v>
      </c>
      <c r="X1258" s="200">
        <f t="shared" ca="1" si="291"/>
        <v>16157.5</v>
      </c>
      <c r="Y1258" s="7"/>
      <c r="Z1258" s="31">
        <v>0.1</v>
      </c>
      <c r="AA1258" s="223">
        <v>0.09</v>
      </c>
      <c r="AB1258" s="302"/>
      <c r="AC1258" s="302"/>
      <c r="AD1258" s="302"/>
      <c r="AE1258" s="302"/>
      <c r="AF1258">
        <f t="shared" si="285"/>
        <v>0</v>
      </c>
    </row>
    <row r="1259" spans="1:32" ht="39" hidden="1" x14ac:dyDescent="0.25">
      <c r="A1259" s="322" t="s">
        <v>3502</v>
      </c>
      <c r="B1259" s="93" t="str">
        <f t="shared" si="287"/>
        <v>YES</v>
      </c>
      <c r="C1259" s="93" t="s">
        <v>5503</v>
      </c>
      <c r="D1259" s="4">
        <v>40619</v>
      </c>
      <c r="E1259" s="2">
        <v>40664</v>
      </c>
      <c r="F1259" s="2">
        <f t="shared" si="286"/>
        <v>44317</v>
      </c>
      <c r="G1259" s="27">
        <v>40</v>
      </c>
      <c r="H1259" s="7" t="s">
        <v>3472</v>
      </c>
      <c r="I1259" s="7" t="s">
        <v>86</v>
      </c>
      <c r="J1259" s="105" t="s">
        <v>6208</v>
      </c>
      <c r="K1259" s="266">
        <f t="shared" si="288"/>
        <v>2021</v>
      </c>
      <c r="L1259" s="301" t="s">
        <v>7579</v>
      </c>
      <c r="M1259" s="301" t="s">
        <v>6140</v>
      </c>
      <c r="N1259" s="32" t="s">
        <v>3491</v>
      </c>
      <c r="O1259" s="32" t="s">
        <v>3503</v>
      </c>
      <c r="P1259" s="278" t="s">
        <v>3464</v>
      </c>
      <c r="Q1259" s="233"/>
      <c r="R1259" s="75">
        <v>285</v>
      </c>
      <c r="S1259" s="75">
        <v>160</v>
      </c>
      <c r="T1259" s="75">
        <v>445</v>
      </c>
      <c r="U1259" s="200">
        <v>60</v>
      </c>
      <c r="V1259" s="287">
        <f t="shared" ca="1" si="289"/>
        <v>9</v>
      </c>
      <c r="W1259" s="75">
        <f t="shared" ca="1" si="290"/>
        <v>620</v>
      </c>
      <c r="X1259" s="200">
        <f t="shared" ca="1" si="291"/>
        <v>1005</v>
      </c>
      <c r="Y1259" s="7"/>
      <c r="Z1259" s="31">
        <v>0.1</v>
      </c>
      <c r="AA1259" s="223">
        <v>0.09</v>
      </c>
      <c r="AB1259" s="302"/>
      <c r="AC1259" s="302"/>
      <c r="AD1259" s="302"/>
      <c r="AE1259" s="302"/>
      <c r="AF1259">
        <f t="shared" si="285"/>
        <v>0</v>
      </c>
    </row>
    <row r="1260" spans="1:32" ht="26.25" hidden="1" x14ac:dyDescent="0.25">
      <c r="A1260" s="322" t="s">
        <v>3504</v>
      </c>
      <c r="B1260" s="93" t="str">
        <f t="shared" si="287"/>
        <v>YES</v>
      </c>
      <c r="C1260" s="93" t="s">
        <v>5505</v>
      </c>
      <c r="D1260" s="4">
        <v>40619</v>
      </c>
      <c r="E1260" s="2">
        <v>40664</v>
      </c>
      <c r="F1260" s="2">
        <f t="shared" si="286"/>
        <v>44317</v>
      </c>
      <c r="G1260" s="27">
        <v>760.76</v>
      </c>
      <c r="H1260" s="7" t="s">
        <v>3505</v>
      </c>
      <c r="I1260" s="7" t="s">
        <v>86</v>
      </c>
      <c r="J1260" s="105" t="s">
        <v>7732</v>
      </c>
      <c r="K1260" s="266">
        <f t="shared" si="288"/>
        <v>2021</v>
      </c>
      <c r="L1260" s="301" t="s">
        <v>7579</v>
      </c>
      <c r="M1260" s="301" t="s">
        <v>7542</v>
      </c>
      <c r="N1260" s="32" t="s">
        <v>3506</v>
      </c>
      <c r="O1260" s="32" t="s">
        <v>3485</v>
      </c>
      <c r="P1260" s="278" t="s">
        <v>3486</v>
      </c>
      <c r="Q1260" s="233"/>
      <c r="R1260" s="75">
        <v>2808.5</v>
      </c>
      <c r="S1260" s="75">
        <v>4566</v>
      </c>
      <c r="T1260" s="75">
        <v>7374.5</v>
      </c>
      <c r="U1260" s="200">
        <v>1141.5</v>
      </c>
      <c r="V1260" s="287">
        <f t="shared" ca="1" si="289"/>
        <v>9</v>
      </c>
      <c r="W1260" s="75">
        <f t="shared" ca="1" si="290"/>
        <v>11795.5</v>
      </c>
      <c r="X1260" s="200">
        <f t="shared" ca="1" si="291"/>
        <v>18028.5</v>
      </c>
      <c r="Y1260" s="7"/>
      <c r="Z1260" s="31">
        <v>0.1</v>
      </c>
      <c r="AA1260" s="223">
        <v>0.09</v>
      </c>
      <c r="AB1260" s="302"/>
      <c r="AC1260" s="302"/>
      <c r="AD1260" s="302"/>
      <c r="AE1260" s="302"/>
      <c r="AF1260">
        <f t="shared" si="285"/>
        <v>0</v>
      </c>
    </row>
    <row r="1261" spans="1:32" ht="39" hidden="1" x14ac:dyDescent="0.25">
      <c r="A1261" s="322" t="s">
        <v>3507</v>
      </c>
      <c r="B1261" s="93" t="str">
        <f t="shared" si="287"/>
        <v>YES</v>
      </c>
      <c r="C1261" s="93" t="s">
        <v>5505</v>
      </c>
      <c r="D1261" s="4">
        <v>40619</v>
      </c>
      <c r="E1261" s="2">
        <v>40664</v>
      </c>
      <c r="F1261" s="2">
        <f t="shared" si="286"/>
        <v>44317</v>
      </c>
      <c r="G1261" s="27">
        <v>840.55</v>
      </c>
      <c r="H1261" s="7" t="s">
        <v>3505</v>
      </c>
      <c r="I1261" s="7" t="s">
        <v>86</v>
      </c>
      <c r="J1261" s="105" t="s">
        <v>7732</v>
      </c>
      <c r="K1261" s="266">
        <f t="shared" si="288"/>
        <v>2021</v>
      </c>
      <c r="L1261" s="301" t="s">
        <v>7579</v>
      </c>
      <c r="M1261" s="301" t="s">
        <v>7542</v>
      </c>
      <c r="N1261" s="32" t="s">
        <v>3506</v>
      </c>
      <c r="O1261" s="32" t="s">
        <v>3508</v>
      </c>
      <c r="P1261" s="278" t="s">
        <v>3464</v>
      </c>
      <c r="Q1261" s="233"/>
      <c r="R1261" s="75">
        <v>3088.5</v>
      </c>
      <c r="S1261" s="75">
        <v>3364</v>
      </c>
      <c r="T1261" s="75">
        <v>6452.5</v>
      </c>
      <c r="U1261" s="200">
        <v>1261.5</v>
      </c>
      <c r="V1261" s="287">
        <f t="shared" ca="1" si="289"/>
        <v>9</v>
      </c>
      <c r="W1261" s="75">
        <f t="shared" ca="1" si="290"/>
        <v>13035.5</v>
      </c>
      <c r="X1261" s="200">
        <f t="shared" ca="1" si="291"/>
        <v>18226.5</v>
      </c>
      <c r="Y1261" s="7"/>
      <c r="Z1261" s="31">
        <v>0.1</v>
      </c>
      <c r="AA1261" s="223">
        <v>0.09</v>
      </c>
      <c r="AB1261" s="302"/>
      <c r="AC1261" s="302"/>
      <c r="AD1261" s="302"/>
      <c r="AE1261" s="302"/>
      <c r="AF1261">
        <f t="shared" si="285"/>
        <v>0</v>
      </c>
    </row>
    <row r="1262" spans="1:32" ht="39" hidden="1" x14ac:dyDescent="0.25">
      <c r="A1262" s="322" t="s">
        <v>3509</v>
      </c>
      <c r="B1262" s="93" t="str">
        <f t="shared" si="287"/>
        <v>YES</v>
      </c>
      <c r="C1262" s="93" t="s">
        <v>5505</v>
      </c>
      <c r="D1262" s="4">
        <v>40619</v>
      </c>
      <c r="E1262" s="2">
        <v>40664</v>
      </c>
      <c r="F1262" s="2">
        <f t="shared" si="286"/>
        <v>44317</v>
      </c>
      <c r="G1262" s="27">
        <v>40</v>
      </c>
      <c r="H1262" s="7" t="s">
        <v>3505</v>
      </c>
      <c r="I1262" s="7" t="s">
        <v>86</v>
      </c>
      <c r="J1262" s="105" t="s">
        <v>7732</v>
      </c>
      <c r="K1262" s="266">
        <f t="shared" si="288"/>
        <v>2021</v>
      </c>
      <c r="L1262" s="301" t="s">
        <v>7579</v>
      </c>
      <c r="M1262" s="301" t="s">
        <v>7542</v>
      </c>
      <c r="N1262" s="32" t="s">
        <v>3506</v>
      </c>
      <c r="O1262" s="32" t="s">
        <v>3510</v>
      </c>
      <c r="P1262" s="278" t="s">
        <v>3511</v>
      </c>
      <c r="Q1262" s="233"/>
      <c r="R1262" s="75">
        <v>285</v>
      </c>
      <c r="S1262" s="75">
        <v>160</v>
      </c>
      <c r="T1262" s="75">
        <v>445</v>
      </c>
      <c r="U1262" s="200">
        <v>60</v>
      </c>
      <c r="V1262" s="287">
        <f t="shared" ca="1" si="289"/>
        <v>9</v>
      </c>
      <c r="W1262" s="75">
        <f t="shared" ca="1" si="290"/>
        <v>620</v>
      </c>
      <c r="X1262" s="200">
        <f t="shared" ca="1" si="291"/>
        <v>1005</v>
      </c>
      <c r="Y1262" s="7"/>
      <c r="Z1262" s="31">
        <v>0.1</v>
      </c>
      <c r="AA1262" s="223">
        <v>0.09</v>
      </c>
      <c r="AB1262" s="302"/>
      <c r="AC1262" s="302"/>
      <c r="AD1262" s="302"/>
      <c r="AE1262" s="302"/>
      <c r="AF1262">
        <f t="shared" si="285"/>
        <v>0</v>
      </c>
    </row>
    <row r="1263" spans="1:32" ht="39" hidden="1" x14ac:dyDescent="0.25">
      <c r="A1263" s="322" t="s">
        <v>3512</v>
      </c>
      <c r="B1263" s="93" t="str">
        <f t="shared" si="287"/>
        <v>YES</v>
      </c>
      <c r="C1263" s="93" t="s">
        <v>5505</v>
      </c>
      <c r="D1263" s="4">
        <v>40619</v>
      </c>
      <c r="E1263" s="2">
        <v>40664</v>
      </c>
      <c r="F1263" s="2">
        <f t="shared" si="286"/>
        <v>44317</v>
      </c>
      <c r="G1263" s="27">
        <v>800.84</v>
      </c>
      <c r="H1263" s="7" t="s">
        <v>3505</v>
      </c>
      <c r="I1263" s="7" t="s">
        <v>86</v>
      </c>
      <c r="J1263" s="105" t="s">
        <v>7732</v>
      </c>
      <c r="K1263" s="266">
        <f t="shared" si="288"/>
        <v>2021</v>
      </c>
      <c r="L1263" s="301" t="s">
        <v>7579</v>
      </c>
      <c r="M1263" s="301" t="s">
        <v>7542</v>
      </c>
      <c r="N1263" s="32" t="s">
        <v>3506</v>
      </c>
      <c r="O1263" s="32" t="s">
        <v>3513</v>
      </c>
      <c r="P1263" s="278" t="s">
        <v>3511</v>
      </c>
      <c r="Q1263" s="233"/>
      <c r="R1263" s="75">
        <v>2948.5</v>
      </c>
      <c r="S1263" s="75">
        <v>3204</v>
      </c>
      <c r="T1263" s="75">
        <v>6152.5</v>
      </c>
      <c r="U1263" s="200">
        <v>1201.5</v>
      </c>
      <c r="V1263" s="287">
        <f t="shared" ca="1" si="289"/>
        <v>9</v>
      </c>
      <c r="W1263" s="75">
        <f t="shared" ca="1" si="290"/>
        <v>12415.5</v>
      </c>
      <c r="X1263" s="200">
        <f t="shared" ca="1" si="291"/>
        <v>17366.5</v>
      </c>
      <c r="Y1263" s="7"/>
      <c r="Z1263" s="31">
        <v>0.1</v>
      </c>
      <c r="AA1263" s="223">
        <v>0.09</v>
      </c>
      <c r="AB1263" s="302"/>
      <c r="AC1263" s="302"/>
      <c r="AD1263" s="302"/>
      <c r="AE1263" s="302"/>
      <c r="AF1263">
        <f t="shared" si="285"/>
        <v>0</v>
      </c>
    </row>
    <row r="1264" spans="1:32" ht="39" hidden="1" x14ac:dyDescent="0.25">
      <c r="A1264" s="322" t="s">
        <v>3514</v>
      </c>
      <c r="B1264" s="93" t="str">
        <f t="shared" si="287"/>
        <v>YES</v>
      </c>
      <c r="C1264" s="93" t="s">
        <v>5505</v>
      </c>
      <c r="D1264" s="4">
        <v>40619</v>
      </c>
      <c r="E1264" s="2">
        <v>40664</v>
      </c>
      <c r="F1264" s="2">
        <f t="shared" si="286"/>
        <v>44317</v>
      </c>
      <c r="G1264" s="27">
        <v>281.58999999999997</v>
      </c>
      <c r="H1264" s="7" t="s">
        <v>3515</v>
      </c>
      <c r="I1264" s="7" t="s">
        <v>86</v>
      </c>
      <c r="J1264" s="105" t="s">
        <v>7732</v>
      </c>
      <c r="K1264" s="266">
        <f t="shared" si="288"/>
        <v>2021</v>
      </c>
      <c r="L1264" s="301" t="s">
        <v>7579</v>
      </c>
      <c r="M1264" s="301" t="s">
        <v>6026</v>
      </c>
      <c r="N1264" s="32" t="s">
        <v>3516</v>
      </c>
      <c r="O1264" s="32" t="s">
        <v>3517</v>
      </c>
      <c r="P1264" s="278" t="s">
        <v>3511</v>
      </c>
      <c r="Q1264" s="233"/>
      <c r="R1264" s="75">
        <v>1132</v>
      </c>
      <c r="S1264" s="75"/>
      <c r="T1264" s="75">
        <v>1132</v>
      </c>
      <c r="U1264" s="200">
        <v>423</v>
      </c>
      <c r="V1264" s="287">
        <f t="shared" ca="1" si="289"/>
        <v>9</v>
      </c>
      <c r="W1264" s="75">
        <f t="shared" ca="1" si="290"/>
        <v>4371</v>
      </c>
      <c r="X1264" s="200">
        <f t="shared" ca="1" si="291"/>
        <v>5080</v>
      </c>
      <c r="Y1264" s="7"/>
      <c r="Z1264" s="31">
        <v>0.1</v>
      </c>
      <c r="AA1264" s="223">
        <v>0.09</v>
      </c>
      <c r="AB1264" s="302"/>
      <c r="AC1264" s="302"/>
      <c r="AD1264" s="302"/>
      <c r="AE1264" s="302"/>
      <c r="AF1264">
        <f t="shared" si="285"/>
        <v>0</v>
      </c>
    </row>
    <row r="1265" spans="1:32" ht="39" hidden="1" x14ac:dyDescent="0.25">
      <c r="A1265" s="322" t="s">
        <v>3518</v>
      </c>
      <c r="B1265" s="93" t="str">
        <f t="shared" si="287"/>
        <v>YES</v>
      </c>
      <c r="C1265" s="93" t="s">
        <v>5505</v>
      </c>
      <c r="D1265" s="4">
        <v>40619</v>
      </c>
      <c r="E1265" s="2">
        <v>40664</v>
      </c>
      <c r="F1265" s="2">
        <f t="shared" si="286"/>
        <v>44317</v>
      </c>
      <c r="G1265" s="27">
        <v>320.14</v>
      </c>
      <c r="H1265" s="7" t="s">
        <v>3515</v>
      </c>
      <c r="I1265" s="7" t="s">
        <v>86</v>
      </c>
      <c r="J1265" s="105" t="s">
        <v>7732</v>
      </c>
      <c r="K1265" s="266">
        <f t="shared" si="288"/>
        <v>2021</v>
      </c>
      <c r="L1265" s="301" t="s">
        <v>7579</v>
      </c>
      <c r="M1265" s="301" t="s">
        <v>6026</v>
      </c>
      <c r="N1265" s="32" t="s">
        <v>3516</v>
      </c>
      <c r="O1265" s="32" t="s">
        <v>3519</v>
      </c>
      <c r="P1265" s="278" t="s">
        <v>3511</v>
      </c>
      <c r="Q1265" s="233"/>
      <c r="R1265" s="75">
        <v>1268.5</v>
      </c>
      <c r="S1265" s="75"/>
      <c r="T1265" s="75">
        <v>1268.5</v>
      </c>
      <c r="U1265" s="200">
        <v>481.5</v>
      </c>
      <c r="V1265" s="287">
        <f t="shared" ca="1" si="289"/>
        <v>9</v>
      </c>
      <c r="W1265" s="75">
        <f t="shared" ca="1" si="290"/>
        <v>4975.5</v>
      </c>
      <c r="X1265" s="200">
        <f t="shared" ca="1" si="291"/>
        <v>5762.5</v>
      </c>
      <c r="Y1265" s="7"/>
      <c r="Z1265" s="31">
        <v>0.1</v>
      </c>
      <c r="AA1265" s="223">
        <v>0.09</v>
      </c>
      <c r="AB1265" s="302"/>
      <c r="AC1265" s="302"/>
      <c r="AD1265" s="302"/>
      <c r="AE1265" s="302"/>
      <c r="AF1265">
        <f t="shared" si="285"/>
        <v>0</v>
      </c>
    </row>
    <row r="1266" spans="1:32" ht="51.75" hidden="1" x14ac:dyDescent="0.25">
      <c r="A1266" s="322" t="s">
        <v>3520</v>
      </c>
      <c r="B1266" s="93" t="str">
        <f t="shared" si="287"/>
        <v>YES</v>
      </c>
      <c r="C1266" s="93" t="s">
        <v>5503</v>
      </c>
      <c r="D1266" s="4">
        <v>40619</v>
      </c>
      <c r="E1266" s="2">
        <v>40664</v>
      </c>
      <c r="F1266" s="2">
        <f t="shared" si="286"/>
        <v>44317</v>
      </c>
      <c r="G1266" s="27">
        <v>1311.72</v>
      </c>
      <c r="H1266" s="7" t="s">
        <v>3521</v>
      </c>
      <c r="I1266" s="7" t="s">
        <v>86</v>
      </c>
      <c r="J1266" s="186"/>
      <c r="K1266" s="266">
        <f t="shared" si="288"/>
        <v>2021</v>
      </c>
      <c r="L1266" s="301" t="s">
        <v>7529</v>
      </c>
      <c r="M1266" s="301" t="s">
        <v>7537</v>
      </c>
      <c r="N1266" s="32" t="s">
        <v>3522</v>
      </c>
      <c r="O1266" s="32" t="s">
        <v>3523</v>
      </c>
      <c r="P1266" s="278" t="s">
        <v>3511</v>
      </c>
      <c r="Q1266" s="233"/>
      <c r="R1266" s="75">
        <v>4737</v>
      </c>
      <c r="S1266" s="75"/>
      <c r="T1266" s="75">
        <v>4737</v>
      </c>
      <c r="U1266" s="200">
        <v>1968</v>
      </c>
      <c r="V1266" s="287">
        <f t="shared" ca="1" si="289"/>
        <v>9</v>
      </c>
      <c r="W1266" s="75">
        <f t="shared" ca="1" si="290"/>
        <v>20336</v>
      </c>
      <c r="X1266" s="200">
        <f t="shared" ca="1" si="291"/>
        <v>23105</v>
      </c>
      <c r="Y1266" s="7"/>
      <c r="Z1266" s="31">
        <v>0.1</v>
      </c>
      <c r="AA1266" s="223">
        <v>0.09</v>
      </c>
      <c r="AB1266" s="302" t="s">
        <v>7025</v>
      </c>
      <c r="AC1266" s="302"/>
      <c r="AD1266" s="302"/>
      <c r="AE1266" s="302"/>
      <c r="AF1266">
        <f t="shared" si="285"/>
        <v>0</v>
      </c>
    </row>
    <row r="1267" spans="1:32" ht="39" hidden="1" x14ac:dyDescent="0.25">
      <c r="A1267" s="322" t="s">
        <v>3524</v>
      </c>
      <c r="B1267" s="93" t="str">
        <f t="shared" si="287"/>
        <v>YES</v>
      </c>
      <c r="C1267" s="93" t="s">
        <v>5503</v>
      </c>
      <c r="D1267" s="4">
        <v>40619</v>
      </c>
      <c r="E1267" s="2">
        <v>40664</v>
      </c>
      <c r="F1267" s="2">
        <f t="shared" si="286"/>
        <v>44317</v>
      </c>
      <c r="G1267" s="27">
        <v>1206.1099999999999</v>
      </c>
      <c r="H1267" s="7" t="s">
        <v>3521</v>
      </c>
      <c r="I1267" s="7" t="s">
        <v>86</v>
      </c>
      <c r="J1267" s="186"/>
      <c r="K1267" s="266">
        <f t="shared" si="288"/>
        <v>2021</v>
      </c>
      <c r="L1267" s="301" t="s">
        <v>7529</v>
      </c>
      <c r="M1267" s="301" t="s">
        <v>7537</v>
      </c>
      <c r="N1267" s="32" t="s">
        <v>3522</v>
      </c>
      <c r="O1267" s="32" t="s">
        <v>3525</v>
      </c>
      <c r="P1267" s="278" t="s">
        <v>3511</v>
      </c>
      <c r="Q1267" s="233"/>
      <c r="R1267" s="75">
        <v>4369.5</v>
      </c>
      <c r="S1267" s="75"/>
      <c r="T1267" s="75">
        <v>4369.5</v>
      </c>
      <c r="U1267" s="200">
        <v>1810.5</v>
      </c>
      <c r="V1267" s="287">
        <f t="shared" ca="1" si="289"/>
        <v>9</v>
      </c>
      <c r="W1267" s="75">
        <f t="shared" ca="1" si="290"/>
        <v>18708.5</v>
      </c>
      <c r="X1267" s="200">
        <f t="shared" ca="1" si="291"/>
        <v>21267.5</v>
      </c>
      <c r="Y1267" s="7"/>
      <c r="Z1267" s="31">
        <v>0.1</v>
      </c>
      <c r="AA1267" s="223">
        <v>0.09</v>
      </c>
      <c r="AB1267" s="302" t="s">
        <v>7026</v>
      </c>
      <c r="AC1267" s="302"/>
      <c r="AD1267" s="302"/>
      <c r="AE1267" s="302"/>
      <c r="AF1267">
        <f t="shared" si="285"/>
        <v>0</v>
      </c>
    </row>
    <row r="1268" spans="1:32" ht="39" hidden="1" x14ac:dyDescent="0.25">
      <c r="A1268" s="322" t="s">
        <v>3526</v>
      </c>
      <c r="B1268" s="93" t="str">
        <f t="shared" si="287"/>
        <v>YES</v>
      </c>
      <c r="C1268" s="93" t="s">
        <v>5503</v>
      </c>
      <c r="D1268" s="4">
        <v>40619</v>
      </c>
      <c r="E1268" s="2">
        <v>40664</v>
      </c>
      <c r="F1268" s="2">
        <f t="shared" si="286"/>
        <v>44317</v>
      </c>
      <c r="G1268" s="27">
        <v>880.55</v>
      </c>
      <c r="H1268" s="7" t="s">
        <v>3521</v>
      </c>
      <c r="I1268" s="7" t="s">
        <v>86</v>
      </c>
      <c r="J1268" s="186"/>
      <c r="K1268" s="266">
        <f t="shared" si="288"/>
        <v>2021</v>
      </c>
      <c r="L1268" s="301" t="s">
        <v>7529</v>
      </c>
      <c r="M1268" s="301" t="s">
        <v>7537</v>
      </c>
      <c r="N1268" s="32" t="s">
        <v>3522</v>
      </c>
      <c r="O1268" s="32" t="s">
        <v>3527</v>
      </c>
      <c r="P1268" s="278" t="s">
        <v>3511</v>
      </c>
      <c r="Q1268" s="233"/>
      <c r="R1268" s="75">
        <v>3228.5</v>
      </c>
      <c r="S1268" s="75"/>
      <c r="T1268" s="75">
        <v>3228.5</v>
      </c>
      <c r="U1268" s="200">
        <v>1321.5</v>
      </c>
      <c r="V1268" s="287">
        <f t="shared" ca="1" si="289"/>
        <v>9</v>
      </c>
      <c r="W1268" s="75">
        <f t="shared" ca="1" si="290"/>
        <v>13655.5</v>
      </c>
      <c r="X1268" s="200">
        <f t="shared" ca="1" si="291"/>
        <v>15562.5</v>
      </c>
      <c r="Y1268" s="7"/>
      <c r="Z1268" s="31">
        <v>0.1</v>
      </c>
      <c r="AA1268" s="223">
        <v>0.09</v>
      </c>
      <c r="AB1268" s="302" t="s">
        <v>7027</v>
      </c>
      <c r="AC1268" s="302"/>
      <c r="AD1268" s="302"/>
      <c r="AE1268" s="302"/>
      <c r="AF1268">
        <f t="shared" si="285"/>
        <v>0</v>
      </c>
    </row>
    <row r="1269" spans="1:32" ht="39" hidden="1" x14ac:dyDescent="0.25">
      <c r="A1269" s="322" t="s">
        <v>3528</v>
      </c>
      <c r="B1269" s="93" t="str">
        <f t="shared" si="287"/>
        <v>YES</v>
      </c>
      <c r="C1269" s="93" t="s">
        <v>5503</v>
      </c>
      <c r="D1269" s="4">
        <v>40619</v>
      </c>
      <c r="E1269" s="2">
        <v>40664</v>
      </c>
      <c r="F1269" s="2">
        <f t="shared" si="286"/>
        <v>44317</v>
      </c>
      <c r="G1269" s="27">
        <v>999.45</v>
      </c>
      <c r="H1269" s="7" t="s">
        <v>3521</v>
      </c>
      <c r="I1269" s="7" t="s">
        <v>86</v>
      </c>
      <c r="J1269" s="105" t="s">
        <v>4909</v>
      </c>
      <c r="K1269" s="266">
        <f t="shared" si="288"/>
        <v>2021</v>
      </c>
      <c r="L1269" s="301" t="s">
        <v>7529</v>
      </c>
      <c r="M1269" s="301" t="s">
        <v>7537</v>
      </c>
      <c r="N1269" s="32" t="s">
        <v>3522</v>
      </c>
      <c r="O1269" s="32" t="s">
        <v>3529</v>
      </c>
      <c r="P1269" s="278" t="s">
        <v>3511</v>
      </c>
      <c r="Q1269" s="233"/>
      <c r="R1269" s="75">
        <v>3645</v>
      </c>
      <c r="S1269" s="75">
        <v>168000</v>
      </c>
      <c r="T1269" s="75">
        <v>171645</v>
      </c>
      <c r="U1269" s="200">
        <v>1500</v>
      </c>
      <c r="V1269" s="287">
        <f t="shared" ca="1" si="289"/>
        <v>9</v>
      </c>
      <c r="W1269" s="75">
        <f t="shared" ca="1" si="290"/>
        <v>15500</v>
      </c>
      <c r="X1269" s="200">
        <f t="shared" ca="1" si="291"/>
        <v>185645</v>
      </c>
      <c r="Y1269" s="7"/>
      <c r="Z1269" s="31">
        <v>0.1</v>
      </c>
      <c r="AA1269" s="223">
        <v>0.09</v>
      </c>
      <c r="AB1269" s="302" t="s">
        <v>7028</v>
      </c>
      <c r="AC1269" s="302"/>
      <c r="AD1269" s="302"/>
      <c r="AE1269" s="302"/>
      <c r="AF1269">
        <f t="shared" si="285"/>
        <v>0</v>
      </c>
    </row>
    <row r="1270" spans="1:32" ht="39" hidden="1" x14ac:dyDescent="0.25">
      <c r="A1270" s="322" t="s">
        <v>3530</v>
      </c>
      <c r="B1270" s="93" t="str">
        <f t="shared" si="287"/>
        <v>YES</v>
      </c>
      <c r="C1270" s="93" t="s">
        <v>5503</v>
      </c>
      <c r="D1270" s="4">
        <v>40619</v>
      </c>
      <c r="E1270" s="2">
        <v>40664</v>
      </c>
      <c r="F1270" s="2">
        <f t="shared" si="286"/>
        <v>44317</v>
      </c>
      <c r="G1270" s="27">
        <v>944.25</v>
      </c>
      <c r="H1270" s="7" t="s">
        <v>3521</v>
      </c>
      <c r="I1270" s="7" t="s">
        <v>86</v>
      </c>
      <c r="J1270" s="186"/>
      <c r="K1270" s="266">
        <f t="shared" si="288"/>
        <v>2021</v>
      </c>
      <c r="L1270" s="301" t="s">
        <v>7529</v>
      </c>
      <c r="M1270" s="301" t="s">
        <v>7537</v>
      </c>
      <c r="N1270" s="32" t="s">
        <v>3522</v>
      </c>
      <c r="O1270" s="32" t="s">
        <v>3531</v>
      </c>
      <c r="P1270" s="278" t="s">
        <v>3511</v>
      </c>
      <c r="Q1270" s="233"/>
      <c r="R1270" s="75">
        <v>3452.5</v>
      </c>
      <c r="S1270" s="75"/>
      <c r="T1270" s="75">
        <v>3452.5</v>
      </c>
      <c r="U1270" s="200">
        <v>1417.5</v>
      </c>
      <c r="V1270" s="287">
        <f t="shared" ca="1" si="289"/>
        <v>9</v>
      </c>
      <c r="W1270" s="75">
        <f t="shared" ca="1" si="290"/>
        <v>14647.5</v>
      </c>
      <c r="X1270" s="200">
        <f t="shared" ca="1" si="291"/>
        <v>16682.5</v>
      </c>
      <c r="Y1270" s="7"/>
      <c r="Z1270" s="31">
        <v>0.1</v>
      </c>
      <c r="AA1270" s="223">
        <v>0.09</v>
      </c>
      <c r="AB1270" s="302" t="s">
        <v>7029</v>
      </c>
      <c r="AC1270" s="302"/>
      <c r="AD1270" s="302"/>
      <c r="AE1270" s="302"/>
      <c r="AF1270">
        <f t="shared" si="285"/>
        <v>0</v>
      </c>
    </row>
    <row r="1271" spans="1:32" ht="39" hidden="1" x14ac:dyDescent="0.25">
      <c r="A1271" s="322" t="s">
        <v>3532</v>
      </c>
      <c r="B1271" s="93" t="str">
        <f t="shared" si="287"/>
        <v>YES</v>
      </c>
      <c r="C1271" s="93" t="s">
        <v>5503</v>
      </c>
      <c r="D1271" s="4">
        <v>40619</v>
      </c>
      <c r="E1271" s="2">
        <v>40664</v>
      </c>
      <c r="F1271" s="2">
        <f t="shared" si="286"/>
        <v>44317</v>
      </c>
      <c r="G1271" s="27">
        <v>1000</v>
      </c>
      <c r="H1271" s="7" t="s">
        <v>3521</v>
      </c>
      <c r="I1271" s="7" t="s">
        <v>86</v>
      </c>
      <c r="J1271" s="186"/>
      <c r="K1271" s="266">
        <f t="shared" si="288"/>
        <v>2021</v>
      </c>
      <c r="L1271" s="301" t="s">
        <v>7529</v>
      </c>
      <c r="M1271" s="301" t="s">
        <v>7537</v>
      </c>
      <c r="N1271" s="32" t="s">
        <v>3522</v>
      </c>
      <c r="O1271" s="32" t="s">
        <v>3533</v>
      </c>
      <c r="P1271" s="278" t="s">
        <v>3511</v>
      </c>
      <c r="Q1271" s="233"/>
      <c r="R1271" s="75">
        <v>3645</v>
      </c>
      <c r="S1271" s="75"/>
      <c r="T1271" s="75">
        <v>3645</v>
      </c>
      <c r="U1271" s="200">
        <v>1500</v>
      </c>
      <c r="V1271" s="287">
        <f t="shared" ca="1" si="289"/>
        <v>9</v>
      </c>
      <c r="W1271" s="75">
        <f t="shared" ca="1" si="290"/>
        <v>15500</v>
      </c>
      <c r="X1271" s="200">
        <f t="shared" ca="1" si="291"/>
        <v>17645</v>
      </c>
      <c r="Y1271" s="7"/>
      <c r="Z1271" s="31">
        <v>0.1</v>
      </c>
      <c r="AA1271" s="223">
        <v>0.09</v>
      </c>
      <c r="AB1271" s="302" t="s">
        <v>7030</v>
      </c>
      <c r="AC1271" s="302"/>
      <c r="AD1271" s="302"/>
      <c r="AE1271" s="302"/>
      <c r="AF1271">
        <f t="shared" si="285"/>
        <v>0</v>
      </c>
    </row>
    <row r="1272" spans="1:32" ht="39" hidden="1" x14ac:dyDescent="0.25">
      <c r="A1272" s="322" t="s">
        <v>3534</v>
      </c>
      <c r="B1272" s="93" t="str">
        <f t="shared" si="287"/>
        <v>YES</v>
      </c>
      <c r="C1272" s="93" t="s">
        <v>5503</v>
      </c>
      <c r="D1272" s="4">
        <v>40619</v>
      </c>
      <c r="E1272" s="2">
        <v>40664</v>
      </c>
      <c r="F1272" s="2">
        <f t="shared" si="286"/>
        <v>44317</v>
      </c>
      <c r="G1272" s="27">
        <v>1217.5999999999999</v>
      </c>
      <c r="H1272" s="7" t="s">
        <v>3521</v>
      </c>
      <c r="I1272" s="7" t="s">
        <v>86</v>
      </c>
      <c r="J1272" s="186"/>
      <c r="K1272" s="266">
        <f t="shared" si="288"/>
        <v>2021</v>
      </c>
      <c r="L1272" s="301" t="s">
        <v>7529</v>
      </c>
      <c r="M1272" s="301" t="s">
        <v>7537</v>
      </c>
      <c r="N1272" s="32" t="s">
        <v>3522</v>
      </c>
      <c r="O1272" s="32" t="s">
        <v>3535</v>
      </c>
      <c r="P1272" s="278" t="s">
        <v>3511</v>
      </c>
      <c r="Q1272" s="233"/>
      <c r="R1272" s="75">
        <v>4408</v>
      </c>
      <c r="S1272" s="75"/>
      <c r="T1272" s="75">
        <v>4408</v>
      </c>
      <c r="U1272" s="200">
        <v>1827</v>
      </c>
      <c r="V1272" s="287">
        <f t="shared" ca="1" si="289"/>
        <v>9</v>
      </c>
      <c r="W1272" s="75">
        <f t="shared" ca="1" si="290"/>
        <v>18879</v>
      </c>
      <c r="X1272" s="200">
        <f t="shared" ca="1" si="291"/>
        <v>21460</v>
      </c>
      <c r="Y1272" s="7"/>
      <c r="Z1272" s="31">
        <v>0.1</v>
      </c>
      <c r="AA1272" s="223">
        <v>0.09</v>
      </c>
      <c r="AB1272" s="302" t="s">
        <v>7031</v>
      </c>
      <c r="AC1272" s="302"/>
      <c r="AD1272" s="302"/>
      <c r="AE1272" s="302"/>
      <c r="AF1272">
        <f t="shared" si="285"/>
        <v>0</v>
      </c>
    </row>
    <row r="1273" spans="1:32" hidden="1" x14ac:dyDescent="0.25">
      <c r="A1273" s="322" t="s">
        <v>3536</v>
      </c>
      <c r="B1273" s="93" t="str">
        <f t="shared" si="287"/>
        <v>YES</v>
      </c>
      <c r="C1273" s="93" t="s">
        <v>5503</v>
      </c>
      <c r="D1273" s="4">
        <v>40619</v>
      </c>
      <c r="E1273" s="2">
        <v>40664</v>
      </c>
      <c r="F1273" s="2">
        <f t="shared" si="286"/>
        <v>44317</v>
      </c>
      <c r="G1273" s="27">
        <v>1232.4100000000001</v>
      </c>
      <c r="H1273" s="7" t="s">
        <v>3521</v>
      </c>
      <c r="I1273" s="7" t="s">
        <v>86</v>
      </c>
      <c r="J1273" s="186"/>
      <c r="K1273" s="266">
        <f t="shared" si="288"/>
        <v>2021</v>
      </c>
      <c r="L1273" s="301" t="s">
        <v>7529</v>
      </c>
      <c r="M1273" s="301" t="s">
        <v>7537</v>
      </c>
      <c r="N1273" s="32" t="s">
        <v>3522</v>
      </c>
      <c r="O1273" s="32" t="s">
        <v>3485</v>
      </c>
      <c r="P1273" s="278" t="s">
        <v>3486</v>
      </c>
      <c r="Q1273" s="233"/>
      <c r="R1273" s="81">
        <v>4460.5</v>
      </c>
      <c r="S1273" s="81">
        <v>4932</v>
      </c>
      <c r="T1273" s="81">
        <v>9392.5</v>
      </c>
      <c r="U1273" s="200">
        <v>1849.5</v>
      </c>
      <c r="V1273" s="287">
        <f t="shared" ca="1" si="289"/>
        <v>9</v>
      </c>
      <c r="W1273" s="75">
        <f t="shared" ca="1" si="290"/>
        <v>19111.5</v>
      </c>
      <c r="X1273" s="200">
        <f t="shared" ca="1" si="291"/>
        <v>26654.5</v>
      </c>
      <c r="Y1273" s="7"/>
      <c r="Z1273" s="31">
        <v>0.1</v>
      </c>
      <c r="AA1273" s="223">
        <v>0.09</v>
      </c>
      <c r="AB1273" s="302" t="s">
        <v>7032</v>
      </c>
      <c r="AC1273" s="302"/>
      <c r="AD1273" s="302"/>
      <c r="AE1273" s="302"/>
      <c r="AF1273">
        <f t="shared" si="285"/>
        <v>0</v>
      </c>
    </row>
    <row r="1274" spans="1:32" ht="15.75" hidden="1" thickBot="1" x14ac:dyDescent="0.3">
      <c r="A1274" s="322"/>
      <c r="D1274" s="7"/>
      <c r="E1274" s="8"/>
      <c r="F1274" s="2"/>
      <c r="G1274" s="7"/>
      <c r="H1274" s="7"/>
      <c r="I1274" s="7"/>
      <c r="J1274" s="186"/>
      <c r="K1274" s="186"/>
      <c r="L1274" s="386"/>
      <c r="M1274" s="386"/>
      <c r="N1274" s="32"/>
      <c r="O1274" s="32"/>
      <c r="P1274" s="278"/>
      <c r="Q1274" s="233"/>
      <c r="R1274" s="76">
        <v>221123</v>
      </c>
      <c r="S1274" s="76">
        <v>859929</v>
      </c>
      <c r="T1274" s="76">
        <v>1081052</v>
      </c>
      <c r="U1274" s="200"/>
      <c r="V1274" s="75"/>
      <c r="W1274" s="75"/>
      <c r="X1274" s="200"/>
      <c r="Y1274" s="7"/>
      <c r="Z1274" s="7"/>
      <c r="AA1274" s="221"/>
      <c r="AB1274" s="302"/>
      <c r="AC1274" s="302"/>
      <c r="AD1274" s="302"/>
      <c r="AE1274" s="302"/>
      <c r="AF1274">
        <f t="shared" si="285"/>
        <v>0</v>
      </c>
    </row>
    <row r="1275" spans="1:32" hidden="1" x14ac:dyDescent="0.25">
      <c r="A1275" s="322"/>
      <c r="D1275" s="7"/>
      <c r="E1275" s="8"/>
      <c r="F1275" s="2"/>
      <c r="G1275" s="7"/>
      <c r="H1275" s="7"/>
      <c r="I1275" s="7"/>
      <c r="J1275" s="186"/>
      <c r="K1275" s="186"/>
      <c r="L1275" s="386"/>
      <c r="M1275" s="386"/>
      <c r="N1275" s="32"/>
      <c r="O1275" s="32"/>
      <c r="P1275" s="278"/>
      <c r="Q1275" s="233" t="s">
        <v>3537</v>
      </c>
      <c r="R1275" s="75">
        <v>221123</v>
      </c>
      <c r="S1275" s="75"/>
      <c r="T1275" s="75">
        <v>221123</v>
      </c>
      <c r="U1275" s="200"/>
      <c r="V1275" s="75"/>
      <c r="W1275" s="75"/>
      <c r="X1275" s="200"/>
      <c r="Y1275" s="7"/>
      <c r="Z1275" s="7"/>
      <c r="AA1275" s="221"/>
      <c r="AB1275" s="302"/>
      <c r="AC1275" s="302"/>
      <c r="AD1275" s="302"/>
      <c r="AE1275" s="302"/>
      <c r="AF1275">
        <f t="shared" si="285"/>
        <v>0</v>
      </c>
    </row>
    <row r="1276" spans="1:32" hidden="1" x14ac:dyDescent="0.25">
      <c r="A1276" s="322"/>
      <c r="D1276" s="7"/>
      <c r="E1276" s="8"/>
      <c r="F1276" s="2"/>
      <c r="G1276" s="7"/>
      <c r="H1276" s="7"/>
      <c r="I1276" s="7"/>
      <c r="J1276" s="186"/>
      <c r="K1276" s="186"/>
      <c r="L1276" s="386"/>
      <c r="M1276" s="386"/>
      <c r="N1276" s="32"/>
      <c r="O1276" s="32"/>
      <c r="P1276" s="278"/>
      <c r="Q1276" s="233" t="s">
        <v>2531</v>
      </c>
      <c r="R1276" s="75"/>
      <c r="S1276" s="75">
        <v>99000</v>
      </c>
      <c r="T1276" s="75">
        <v>99000</v>
      </c>
      <c r="U1276" s="200"/>
      <c r="V1276" s="75"/>
      <c r="W1276" s="75"/>
      <c r="X1276" s="200"/>
      <c r="Y1276" s="7"/>
      <c r="Z1276" s="7"/>
      <c r="AA1276" s="221"/>
      <c r="AB1276" s="302"/>
      <c r="AC1276" s="302"/>
      <c r="AD1276" s="302"/>
      <c r="AE1276" s="302"/>
      <c r="AF1276">
        <f t="shared" si="285"/>
        <v>0</v>
      </c>
    </row>
    <row r="1277" spans="1:32" hidden="1" x14ac:dyDescent="0.25">
      <c r="A1277" s="322"/>
      <c r="D1277" s="7"/>
      <c r="E1277" s="8"/>
      <c r="F1277" s="2"/>
      <c r="G1277" s="7"/>
      <c r="H1277" s="7"/>
      <c r="I1277" s="7"/>
      <c r="J1277" s="186"/>
      <c r="K1277" s="186"/>
      <c r="L1277" s="386"/>
      <c r="M1277" s="386"/>
      <c r="N1277" s="32"/>
      <c r="O1277" s="32"/>
      <c r="P1277" s="278"/>
      <c r="Q1277" s="233" t="s">
        <v>3538</v>
      </c>
      <c r="R1277" s="75"/>
      <c r="S1277" s="75">
        <v>760929</v>
      </c>
      <c r="T1277" s="75">
        <v>760929</v>
      </c>
      <c r="U1277" s="200"/>
      <c r="V1277" s="75"/>
      <c r="W1277" s="75"/>
      <c r="X1277" s="200"/>
      <c r="Y1277" s="7"/>
      <c r="Z1277" s="7"/>
      <c r="AA1277" s="221"/>
      <c r="AB1277" s="302"/>
      <c r="AC1277" s="302"/>
      <c r="AD1277" s="302"/>
      <c r="AE1277" s="302"/>
      <c r="AF1277">
        <f t="shared" si="285"/>
        <v>0</v>
      </c>
    </row>
    <row r="1278" spans="1:32" ht="15.75" hidden="1" thickBot="1" x14ac:dyDescent="0.3">
      <c r="A1278" s="322"/>
      <c r="D1278" s="7"/>
      <c r="E1278" s="8"/>
      <c r="F1278" s="2"/>
      <c r="G1278" s="7"/>
      <c r="H1278" s="7"/>
      <c r="I1278" s="7"/>
      <c r="J1278" s="186"/>
      <c r="K1278" s="186"/>
      <c r="L1278" s="386"/>
      <c r="M1278" s="386"/>
      <c r="N1278" s="32"/>
      <c r="O1278" s="32"/>
      <c r="P1278" s="278"/>
      <c r="Q1278" s="233"/>
      <c r="R1278" s="76">
        <v>221123</v>
      </c>
      <c r="S1278" s="76">
        <v>859929</v>
      </c>
      <c r="T1278" s="76">
        <v>1081052</v>
      </c>
      <c r="U1278" s="200"/>
      <c r="V1278" s="75"/>
      <c r="W1278" s="75"/>
      <c r="X1278" s="200"/>
      <c r="Y1278" s="7"/>
      <c r="Z1278" s="7"/>
      <c r="AA1278" s="221"/>
      <c r="AB1278" s="302"/>
      <c r="AC1278" s="302"/>
      <c r="AD1278" s="302"/>
      <c r="AE1278" s="302"/>
      <c r="AF1278">
        <f t="shared" si="285"/>
        <v>0</v>
      </c>
    </row>
    <row r="1279" spans="1:32" hidden="1" x14ac:dyDescent="0.25">
      <c r="A1279" s="322"/>
      <c r="D1279" s="7"/>
      <c r="E1279" s="8"/>
      <c r="F1279" s="2"/>
      <c r="G1279" s="6"/>
      <c r="H1279" s="7"/>
      <c r="I1279" s="7"/>
      <c r="J1279" s="186"/>
      <c r="K1279" s="186"/>
      <c r="L1279" s="386"/>
      <c r="M1279" s="386"/>
      <c r="N1279" s="32"/>
      <c r="O1279" s="32"/>
      <c r="P1279" s="278"/>
      <c r="Q1279" s="233"/>
      <c r="R1279" s="75"/>
      <c r="S1279" s="75"/>
      <c r="T1279" s="75"/>
      <c r="U1279" s="200"/>
      <c r="V1279" s="75"/>
      <c r="W1279" s="75"/>
      <c r="X1279" s="200"/>
      <c r="Y1279" s="1"/>
      <c r="Z1279" s="1"/>
      <c r="AA1279" s="219"/>
      <c r="AB1279" s="302"/>
      <c r="AC1279" s="302"/>
      <c r="AD1279" s="302"/>
      <c r="AE1279" s="302"/>
      <c r="AF1279">
        <f t="shared" si="285"/>
        <v>0</v>
      </c>
    </row>
    <row r="1280" spans="1:32" hidden="1" x14ac:dyDescent="0.25">
      <c r="A1280" s="322"/>
      <c r="D1280" s="7"/>
      <c r="E1280" s="8"/>
      <c r="F1280" s="2"/>
      <c r="G1280" s="7"/>
      <c r="H1280" s="7"/>
      <c r="I1280" s="7"/>
      <c r="J1280" s="186"/>
      <c r="K1280" s="186"/>
      <c r="L1280" s="386"/>
      <c r="M1280" s="386"/>
      <c r="N1280" s="32"/>
      <c r="O1280" s="32"/>
      <c r="P1280" s="278"/>
      <c r="Q1280" s="233"/>
      <c r="R1280" s="75"/>
      <c r="S1280" s="75"/>
      <c r="T1280" s="75"/>
      <c r="U1280" s="200"/>
      <c r="V1280" s="75"/>
      <c r="W1280" s="75"/>
      <c r="X1280" s="200"/>
      <c r="Y1280" s="1"/>
      <c r="Z1280" s="1"/>
      <c r="AA1280" s="219"/>
      <c r="AB1280" s="302"/>
      <c r="AC1280" s="302"/>
      <c r="AD1280" s="302"/>
      <c r="AE1280" s="302"/>
      <c r="AF1280">
        <f t="shared" si="285"/>
        <v>0</v>
      </c>
    </row>
    <row r="1281" spans="1:32" ht="77.25" hidden="1" customHeight="1" x14ac:dyDescent="0.25">
      <c r="A1281" s="322" t="s">
        <v>3617</v>
      </c>
      <c r="B1281" s="93" t="str">
        <f t="shared" ref="B1281:B1312" si="292">IF(COUNTIF(GIS,A1281),"YES","NO")</f>
        <v>YES</v>
      </c>
      <c r="C1281" s="93" t="s">
        <v>5503</v>
      </c>
      <c r="D1281" s="4">
        <v>40710</v>
      </c>
      <c r="E1281" s="11">
        <v>40878</v>
      </c>
      <c r="F1281" s="2">
        <f t="shared" si="286"/>
        <v>44531</v>
      </c>
      <c r="G1281" s="6">
        <v>488</v>
      </c>
      <c r="H1281" s="3" t="s">
        <v>1040</v>
      </c>
      <c r="I1281" s="7" t="s">
        <v>72</v>
      </c>
      <c r="J1281" s="186"/>
      <c r="K1281" s="266">
        <f t="shared" ref="K1281:K1312" si="293">YEAR(F1281)</f>
        <v>2021</v>
      </c>
      <c r="L1281" s="390" t="s">
        <v>5875</v>
      </c>
      <c r="M1281" s="390" t="s">
        <v>7600</v>
      </c>
      <c r="N1281" s="32" t="s">
        <v>3619</v>
      </c>
      <c r="O1281" s="32" t="s">
        <v>3620</v>
      </c>
      <c r="P1281" s="278"/>
      <c r="Q1281" s="233" t="s">
        <v>3618</v>
      </c>
      <c r="R1281" s="75">
        <v>1853</v>
      </c>
      <c r="S1281" s="75">
        <v>976</v>
      </c>
      <c r="T1281" s="75">
        <v>2829</v>
      </c>
      <c r="U1281" s="204">
        <v>732</v>
      </c>
      <c r="V1281" s="287">
        <f t="shared" ref="V1281:V1312" ca="1" si="294">IF(YEAR($W$3)-YEAR(E1281)&gt;9,10,IF(MONTH($W$3)&lt;MONTH(E1281),YEAR($W$3)-YEAR(E1281),YEAR($W$3)-YEAR(E1281)+1))</f>
        <v>9</v>
      </c>
      <c r="W1281" s="75">
        <f t="shared" ref="W1281:W1312" ca="1" si="295">IF(V1281&lt;6, ROUNDUP(G1281,0)*$W$6*V1281, ROUNDUP(G1281,0)*($W$6*5 + (V1281-5)*$W$7))</f>
        <v>7564</v>
      </c>
      <c r="X1281" s="200">
        <f t="shared" ref="X1281:X1344" ca="1" si="296">IF(V1281=0,T1281,((T1281-ROUNDUP(G1281,0)*1.5)+W1281))</f>
        <v>9661</v>
      </c>
      <c r="Y1281" s="1"/>
      <c r="Z1281" s="31">
        <v>0.1</v>
      </c>
      <c r="AA1281" s="223">
        <v>0.09</v>
      </c>
      <c r="AB1281" s="302" t="s">
        <v>6366</v>
      </c>
      <c r="AC1281" s="302"/>
      <c r="AD1281" s="302"/>
      <c r="AE1281" s="302"/>
      <c r="AF1281">
        <f t="shared" si="285"/>
        <v>0</v>
      </c>
    </row>
    <row r="1282" spans="1:32" ht="26.25" hidden="1" x14ac:dyDescent="0.25">
      <c r="A1282" s="322" t="s">
        <v>3621</v>
      </c>
      <c r="B1282" s="93" t="str">
        <f t="shared" si="292"/>
        <v>YES</v>
      </c>
      <c r="C1282" s="93" t="s">
        <v>5503</v>
      </c>
      <c r="D1282" s="4">
        <v>40710</v>
      </c>
      <c r="E1282" s="11">
        <v>40878</v>
      </c>
      <c r="F1282" s="2">
        <f t="shared" si="286"/>
        <v>44531</v>
      </c>
      <c r="G1282" s="6">
        <v>240</v>
      </c>
      <c r="H1282" s="3" t="s">
        <v>1040</v>
      </c>
      <c r="I1282" s="7" t="s">
        <v>72</v>
      </c>
      <c r="J1282" s="186"/>
      <c r="K1282" s="266">
        <f t="shared" si="293"/>
        <v>2021</v>
      </c>
      <c r="L1282" s="390" t="s">
        <v>5875</v>
      </c>
      <c r="M1282" s="390" t="s">
        <v>7600</v>
      </c>
      <c r="N1282" s="32" t="s">
        <v>3619</v>
      </c>
      <c r="O1282" s="32" t="s">
        <v>3623</v>
      </c>
      <c r="P1282" s="278"/>
      <c r="Q1282" s="233" t="s">
        <v>3622</v>
      </c>
      <c r="R1282" s="75">
        <v>985</v>
      </c>
      <c r="S1282" s="75">
        <v>480</v>
      </c>
      <c r="T1282" s="75">
        <v>1465</v>
      </c>
      <c r="U1282" s="204">
        <v>360</v>
      </c>
      <c r="V1282" s="287">
        <f t="shared" ca="1" si="294"/>
        <v>9</v>
      </c>
      <c r="W1282" s="75">
        <f t="shared" ca="1" si="295"/>
        <v>3720</v>
      </c>
      <c r="X1282" s="200">
        <f t="shared" ca="1" si="296"/>
        <v>4825</v>
      </c>
      <c r="Y1282" s="1"/>
      <c r="Z1282" s="31">
        <v>0.1</v>
      </c>
      <c r="AA1282" s="223">
        <v>0.09</v>
      </c>
      <c r="AB1282" s="302" t="s">
        <v>6367</v>
      </c>
      <c r="AC1282" s="302"/>
      <c r="AD1282" s="302"/>
      <c r="AE1282" s="302"/>
      <c r="AF1282">
        <f t="shared" si="285"/>
        <v>0</v>
      </c>
    </row>
    <row r="1283" spans="1:32" hidden="1" x14ac:dyDescent="0.25">
      <c r="A1283" s="322" t="s">
        <v>3624</v>
      </c>
      <c r="B1283" s="93" t="str">
        <f t="shared" si="292"/>
        <v>YES</v>
      </c>
      <c r="C1283" s="93" t="s">
        <v>5503</v>
      </c>
      <c r="D1283" s="4">
        <v>40710</v>
      </c>
      <c r="E1283" s="2">
        <v>40756</v>
      </c>
      <c r="F1283" s="2">
        <f t="shared" si="286"/>
        <v>44409</v>
      </c>
      <c r="G1283" s="6">
        <v>39.549999999999997</v>
      </c>
      <c r="H1283" s="7" t="s">
        <v>2831</v>
      </c>
      <c r="I1283" s="7" t="s">
        <v>79</v>
      </c>
      <c r="J1283" s="186"/>
      <c r="K1283" s="266">
        <f t="shared" si="293"/>
        <v>2021</v>
      </c>
      <c r="L1283" s="390" t="s">
        <v>5875</v>
      </c>
      <c r="M1283" s="390" t="s">
        <v>5840</v>
      </c>
      <c r="N1283" s="32" t="s">
        <v>3626</v>
      </c>
      <c r="O1283" s="32" t="s">
        <v>3627</v>
      </c>
      <c r="P1283" s="278"/>
      <c r="Q1283" s="233" t="s">
        <v>3625</v>
      </c>
      <c r="R1283" s="75">
        <v>285</v>
      </c>
      <c r="S1283" s="75">
        <v>120</v>
      </c>
      <c r="T1283" s="75">
        <v>405</v>
      </c>
      <c r="U1283" s="204">
        <v>60</v>
      </c>
      <c r="V1283" s="287">
        <f t="shared" ca="1" si="294"/>
        <v>9</v>
      </c>
      <c r="W1283" s="75">
        <f t="shared" ca="1" si="295"/>
        <v>620</v>
      </c>
      <c r="X1283" s="200">
        <f t="shared" ca="1" si="296"/>
        <v>965</v>
      </c>
      <c r="Y1283" s="1"/>
      <c r="Z1283" s="31">
        <v>0.1</v>
      </c>
      <c r="AA1283" s="223">
        <v>0.09</v>
      </c>
      <c r="AB1283" s="302" t="s">
        <v>7033</v>
      </c>
      <c r="AC1283" s="302"/>
      <c r="AD1283" s="302"/>
      <c r="AE1283" s="302"/>
      <c r="AF1283">
        <f t="shared" si="285"/>
        <v>0</v>
      </c>
    </row>
    <row r="1284" spans="1:32" ht="26.25" hidden="1" x14ac:dyDescent="0.25">
      <c r="A1284" s="322" t="s">
        <v>3628</v>
      </c>
      <c r="B1284" s="93" t="str">
        <f t="shared" si="292"/>
        <v>YES</v>
      </c>
      <c r="C1284" s="93" t="s">
        <v>5503</v>
      </c>
      <c r="D1284" s="4">
        <v>40710</v>
      </c>
      <c r="E1284" s="2">
        <v>40756</v>
      </c>
      <c r="F1284" s="2">
        <f t="shared" si="286"/>
        <v>44409</v>
      </c>
      <c r="G1284" s="6">
        <v>377.03</v>
      </c>
      <c r="H1284" s="7" t="s">
        <v>2831</v>
      </c>
      <c r="I1284" s="7" t="s">
        <v>79</v>
      </c>
      <c r="J1284" s="186"/>
      <c r="K1284" s="266">
        <f t="shared" si="293"/>
        <v>2021</v>
      </c>
      <c r="L1284" s="390" t="s">
        <v>5875</v>
      </c>
      <c r="M1284" s="390" t="s">
        <v>5840</v>
      </c>
      <c r="N1284" s="32" t="s">
        <v>3626</v>
      </c>
      <c r="O1284" s="32" t="s">
        <v>3629</v>
      </c>
      <c r="P1284" s="278"/>
      <c r="Q1284" s="233" t="s">
        <v>3625</v>
      </c>
      <c r="R1284" s="75">
        <v>1468</v>
      </c>
      <c r="S1284" s="75">
        <v>756</v>
      </c>
      <c r="T1284" s="75">
        <v>2224</v>
      </c>
      <c r="U1284" s="204">
        <v>567</v>
      </c>
      <c r="V1284" s="287">
        <f t="shared" ca="1" si="294"/>
        <v>9</v>
      </c>
      <c r="W1284" s="75">
        <f t="shared" ca="1" si="295"/>
        <v>5859</v>
      </c>
      <c r="X1284" s="200">
        <f t="shared" ca="1" si="296"/>
        <v>7516</v>
      </c>
      <c r="Y1284" s="1"/>
      <c r="Z1284" s="31">
        <v>0.1</v>
      </c>
      <c r="AA1284" s="223">
        <v>0.09</v>
      </c>
      <c r="AB1284" s="302" t="s">
        <v>7034</v>
      </c>
      <c r="AC1284" s="302"/>
      <c r="AD1284" s="302"/>
      <c r="AE1284" s="302"/>
      <c r="AF1284">
        <f t="shared" si="285"/>
        <v>0</v>
      </c>
    </row>
    <row r="1285" spans="1:32" ht="26.25" hidden="1" x14ac:dyDescent="0.25">
      <c r="A1285" s="322" t="s">
        <v>3630</v>
      </c>
      <c r="B1285" s="93" t="str">
        <f t="shared" si="292"/>
        <v>YES</v>
      </c>
      <c r="C1285" s="93" t="s">
        <v>5503</v>
      </c>
      <c r="D1285" s="4">
        <v>40710</v>
      </c>
      <c r="E1285" s="2">
        <v>40756</v>
      </c>
      <c r="F1285" s="2">
        <f t="shared" si="286"/>
        <v>44409</v>
      </c>
      <c r="G1285" s="6">
        <v>757.41</v>
      </c>
      <c r="H1285" s="7" t="s">
        <v>2831</v>
      </c>
      <c r="I1285" s="7" t="s">
        <v>79</v>
      </c>
      <c r="J1285" s="186"/>
      <c r="K1285" s="266">
        <f t="shared" si="293"/>
        <v>2021</v>
      </c>
      <c r="L1285" s="390" t="s">
        <v>5875</v>
      </c>
      <c r="M1285" s="390" t="s">
        <v>5840</v>
      </c>
      <c r="N1285" s="32" t="s">
        <v>3626</v>
      </c>
      <c r="O1285" s="32" t="s">
        <v>3632</v>
      </c>
      <c r="P1285" s="278"/>
      <c r="Q1285" s="233" t="s">
        <v>3631</v>
      </c>
      <c r="R1285" s="75">
        <v>2798</v>
      </c>
      <c r="S1285" s="75">
        <v>2274</v>
      </c>
      <c r="T1285" s="75">
        <v>5072</v>
      </c>
      <c r="U1285" s="204">
        <v>1137</v>
      </c>
      <c r="V1285" s="287">
        <f t="shared" ca="1" si="294"/>
        <v>9</v>
      </c>
      <c r="W1285" s="75">
        <f t="shared" ca="1" si="295"/>
        <v>11749</v>
      </c>
      <c r="X1285" s="200">
        <f t="shared" ca="1" si="296"/>
        <v>15684</v>
      </c>
      <c r="Y1285" s="1"/>
      <c r="Z1285" s="31">
        <v>0.1</v>
      </c>
      <c r="AA1285" s="223">
        <v>0.09</v>
      </c>
      <c r="AB1285" s="302" t="s">
        <v>7035</v>
      </c>
      <c r="AC1285" s="302"/>
      <c r="AD1285" s="302"/>
      <c r="AE1285" s="302"/>
      <c r="AF1285">
        <f t="shared" si="285"/>
        <v>0</v>
      </c>
    </row>
    <row r="1286" spans="1:32" ht="26.25" hidden="1" x14ac:dyDescent="0.25">
      <c r="A1286" s="322" t="s">
        <v>3633</v>
      </c>
      <c r="B1286" s="93" t="str">
        <f t="shared" si="292"/>
        <v>YES</v>
      </c>
      <c r="C1286" s="93" t="s">
        <v>5503</v>
      </c>
      <c r="D1286" s="4">
        <v>40710</v>
      </c>
      <c r="E1286" s="2">
        <v>40756</v>
      </c>
      <c r="F1286" s="2">
        <f t="shared" si="286"/>
        <v>44409</v>
      </c>
      <c r="G1286" s="6">
        <v>715.99</v>
      </c>
      <c r="H1286" s="7" t="s">
        <v>2831</v>
      </c>
      <c r="I1286" s="7" t="s">
        <v>79</v>
      </c>
      <c r="J1286" s="186"/>
      <c r="K1286" s="266">
        <f t="shared" si="293"/>
        <v>2021</v>
      </c>
      <c r="L1286" s="390" t="s">
        <v>5875</v>
      </c>
      <c r="M1286" s="390" t="s">
        <v>5840</v>
      </c>
      <c r="N1286" s="32" t="s">
        <v>3626</v>
      </c>
      <c r="O1286" s="32" t="s">
        <v>3635</v>
      </c>
      <c r="P1286" s="278"/>
      <c r="Q1286" s="233" t="s">
        <v>3634</v>
      </c>
      <c r="R1286" s="75">
        <v>2651</v>
      </c>
      <c r="S1286" s="75">
        <v>1432</v>
      </c>
      <c r="T1286" s="75">
        <v>4083</v>
      </c>
      <c r="U1286" s="204">
        <v>1074</v>
      </c>
      <c r="V1286" s="287">
        <f t="shared" ca="1" si="294"/>
        <v>9</v>
      </c>
      <c r="W1286" s="75">
        <f t="shared" ca="1" si="295"/>
        <v>11098</v>
      </c>
      <c r="X1286" s="200">
        <f t="shared" ca="1" si="296"/>
        <v>14107</v>
      </c>
      <c r="Y1286" s="1"/>
      <c r="Z1286" s="31">
        <v>0.1</v>
      </c>
      <c r="AA1286" s="223">
        <v>0.09</v>
      </c>
      <c r="AB1286" s="302" t="s">
        <v>7036</v>
      </c>
      <c r="AC1286" s="302"/>
      <c r="AD1286" s="302"/>
      <c r="AE1286" s="302"/>
      <c r="AF1286">
        <f t="shared" si="285"/>
        <v>0</v>
      </c>
    </row>
    <row r="1287" spans="1:32" ht="39" hidden="1" x14ac:dyDescent="0.25">
      <c r="A1287" s="322" t="s">
        <v>3636</v>
      </c>
      <c r="B1287" s="93" t="str">
        <f t="shared" si="292"/>
        <v>YES</v>
      </c>
      <c r="C1287" s="93" t="s">
        <v>5503</v>
      </c>
      <c r="D1287" s="4">
        <v>40710</v>
      </c>
      <c r="E1287" s="2">
        <v>40756</v>
      </c>
      <c r="F1287" s="2">
        <f t="shared" si="286"/>
        <v>44409</v>
      </c>
      <c r="G1287" s="6">
        <v>1613.27</v>
      </c>
      <c r="H1287" s="7" t="s">
        <v>2831</v>
      </c>
      <c r="I1287" s="7" t="s">
        <v>79</v>
      </c>
      <c r="J1287" s="186"/>
      <c r="K1287" s="266">
        <f t="shared" si="293"/>
        <v>2021</v>
      </c>
      <c r="L1287" s="390" t="s">
        <v>5875</v>
      </c>
      <c r="M1287" s="390" t="s">
        <v>5840</v>
      </c>
      <c r="N1287" s="32" t="s">
        <v>3626</v>
      </c>
      <c r="O1287" s="32" t="s">
        <v>3638</v>
      </c>
      <c r="P1287" s="278"/>
      <c r="Q1287" s="233" t="s">
        <v>3637</v>
      </c>
      <c r="R1287" s="75">
        <v>5794</v>
      </c>
      <c r="S1287" s="75">
        <v>3228</v>
      </c>
      <c r="T1287" s="75">
        <v>9022</v>
      </c>
      <c r="U1287" s="204">
        <v>2421</v>
      </c>
      <c r="V1287" s="287">
        <f t="shared" ca="1" si="294"/>
        <v>9</v>
      </c>
      <c r="W1287" s="75">
        <f t="shared" ca="1" si="295"/>
        <v>25017</v>
      </c>
      <c r="X1287" s="200">
        <f t="shared" ca="1" si="296"/>
        <v>31618</v>
      </c>
      <c r="Y1287" s="1"/>
      <c r="Z1287" s="31">
        <v>0.1</v>
      </c>
      <c r="AA1287" s="223">
        <v>0.09</v>
      </c>
      <c r="AB1287" s="302" t="s">
        <v>7037</v>
      </c>
      <c r="AC1287" s="302"/>
      <c r="AD1287" s="302"/>
      <c r="AE1287" s="302"/>
      <c r="AF1287">
        <f t="shared" si="285"/>
        <v>0</v>
      </c>
    </row>
    <row r="1288" spans="1:32" ht="26.25" hidden="1" x14ac:dyDescent="0.25">
      <c r="A1288" s="322" t="s">
        <v>3639</v>
      </c>
      <c r="B1288" s="93" t="str">
        <f t="shared" si="292"/>
        <v>YES</v>
      </c>
      <c r="C1288" s="93" t="s">
        <v>5503</v>
      </c>
      <c r="D1288" s="4">
        <v>40710</v>
      </c>
      <c r="E1288" s="2">
        <v>40756</v>
      </c>
      <c r="F1288" s="2">
        <f t="shared" si="286"/>
        <v>44409</v>
      </c>
      <c r="G1288" s="6">
        <v>242.37</v>
      </c>
      <c r="H1288" s="7" t="s">
        <v>2831</v>
      </c>
      <c r="I1288" s="7" t="s">
        <v>79</v>
      </c>
      <c r="J1288" s="186"/>
      <c r="K1288" s="266">
        <f t="shared" si="293"/>
        <v>2021</v>
      </c>
      <c r="L1288" s="390" t="s">
        <v>5875</v>
      </c>
      <c r="M1288" s="390" t="s">
        <v>5840</v>
      </c>
      <c r="N1288" s="32" t="s">
        <v>3626</v>
      </c>
      <c r="O1288" s="32" t="s">
        <v>3641</v>
      </c>
      <c r="P1288" s="278"/>
      <c r="Q1288" s="233" t="s">
        <v>3640</v>
      </c>
      <c r="R1288" s="75">
        <v>995.5</v>
      </c>
      <c r="S1288" s="75">
        <v>729</v>
      </c>
      <c r="T1288" s="75">
        <v>1724.5</v>
      </c>
      <c r="U1288" s="204">
        <v>364.5</v>
      </c>
      <c r="V1288" s="287">
        <f t="shared" ca="1" si="294"/>
        <v>9</v>
      </c>
      <c r="W1288" s="75">
        <f t="shared" ca="1" si="295"/>
        <v>3766.5</v>
      </c>
      <c r="X1288" s="200">
        <f t="shared" ca="1" si="296"/>
        <v>5126.5</v>
      </c>
      <c r="Y1288" s="1"/>
      <c r="Z1288" s="31">
        <v>0.1</v>
      </c>
      <c r="AA1288" s="223">
        <v>0.09</v>
      </c>
      <c r="AB1288" s="302" t="s">
        <v>7038</v>
      </c>
      <c r="AC1288" s="302"/>
      <c r="AD1288" s="302"/>
      <c r="AE1288" s="302"/>
      <c r="AF1288">
        <f t="shared" si="285"/>
        <v>0</v>
      </c>
    </row>
    <row r="1289" spans="1:32" hidden="1" x14ac:dyDescent="0.25">
      <c r="A1289" s="322" t="s">
        <v>3642</v>
      </c>
      <c r="B1289" s="93" t="str">
        <f t="shared" si="292"/>
        <v>YES</v>
      </c>
      <c r="C1289" s="93" t="s">
        <v>5503</v>
      </c>
      <c r="D1289" s="4">
        <v>40710</v>
      </c>
      <c r="E1289" s="2">
        <v>40756</v>
      </c>
      <c r="F1289" s="2">
        <f t="shared" si="286"/>
        <v>44409</v>
      </c>
      <c r="G1289" s="6">
        <v>79.64</v>
      </c>
      <c r="H1289" s="7" t="s">
        <v>2831</v>
      </c>
      <c r="I1289" s="7" t="s">
        <v>79</v>
      </c>
      <c r="J1289" s="186"/>
      <c r="K1289" s="266">
        <f t="shared" si="293"/>
        <v>2021</v>
      </c>
      <c r="L1289" s="390" t="s">
        <v>5875</v>
      </c>
      <c r="M1289" s="390" t="s">
        <v>7578</v>
      </c>
      <c r="N1289" s="32" t="s">
        <v>3644</v>
      </c>
      <c r="O1289" s="32" t="s">
        <v>3645</v>
      </c>
      <c r="P1289" s="278"/>
      <c r="Q1289" s="233" t="s">
        <v>3643</v>
      </c>
      <c r="R1289" s="75">
        <v>425</v>
      </c>
      <c r="S1289" s="75">
        <v>320</v>
      </c>
      <c r="T1289" s="75">
        <v>745</v>
      </c>
      <c r="U1289" s="204">
        <v>120</v>
      </c>
      <c r="V1289" s="287">
        <f t="shared" ca="1" si="294"/>
        <v>9</v>
      </c>
      <c r="W1289" s="75">
        <f t="shared" ca="1" si="295"/>
        <v>1240</v>
      </c>
      <c r="X1289" s="200">
        <f t="shared" ca="1" si="296"/>
        <v>1865</v>
      </c>
      <c r="Y1289" s="1"/>
      <c r="Z1289" s="31">
        <v>0.1</v>
      </c>
      <c r="AA1289" s="223">
        <v>0.09</v>
      </c>
      <c r="AB1289" s="302" t="s">
        <v>7039</v>
      </c>
      <c r="AC1289" s="302"/>
      <c r="AD1289" s="302"/>
      <c r="AE1289" s="302"/>
      <c r="AF1289">
        <f t="shared" si="285"/>
        <v>0</v>
      </c>
    </row>
    <row r="1290" spans="1:32" hidden="1" x14ac:dyDescent="0.25">
      <c r="A1290" s="322" t="s">
        <v>3646</v>
      </c>
      <c r="B1290" s="93" t="str">
        <f t="shared" si="292"/>
        <v>YES</v>
      </c>
      <c r="C1290" s="93" t="s">
        <v>5503</v>
      </c>
      <c r="D1290" s="4">
        <v>40710</v>
      </c>
      <c r="E1290" s="2">
        <v>40756</v>
      </c>
      <c r="F1290" s="2">
        <f t="shared" si="286"/>
        <v>44409</v>
      </c>
      <c r="G1290" s="6">
        <v>79.66</v>
      </c>
      <c r="H1290" s="7" t="s">
        <v>2831</v>
      </c>
      <c r="I1290" s="7" t="s">
        <v>79</v>
      </c>
      <c r="J1290" s="186"/>
      <c r="K1290" s="266">
        <f t="shared" si="293"/>
        <v>2021</v>
      </c>
      <c r="L1290" s="390" t="s">
        <v>5875</v>
      </c>
      <c r="M1290" s="390" t="s">
        <v>7578</v>
      </c>
      <c r="N1290" s="32" t="s">
        <v>3644</v>
      </c>
      <c r="O1290" s="32" t="s">
        <v>3648</v>
      </c>
      <c r="P1290" s="278"/>
      <c r="Q1290" s="233" t="s">
        <v>3647</v>
      </c>
      <c r="R1290" s="75">
        <v>425</v>
      </c>
      <c r="S1290" s="75">
        <v>240</v>
      </c>
      <c r="T1290" s="75">
        <v>665</v>
      </c>
      <c r="U1290" s="204">
        <v>120</v>
      </c>
      <c r="V1290" s="287">
        <f t="shared" ca="1" si="294"/>
        <v>9</v>
      </c>
      <c r="W1290" s="75">
        <f t="shared" ca="1" si="295"/>
        <v>1240</v>
      </c>
      <c r="X1290" s="200">
        <f t="shared" ca="1" si="296"/>
        <v>1785</v>
      </c>
      <c r="Y1290" s="1"/>
      <c r="Z1290" s="31">
        <v>0.1</v>
      </c>
      <c r="AA1290" s="223">
        <v>0.09</v>
      </c>
      <c r="AB1290" s="302" t="s">
        <v>7040</v>
      </c>
      <c r="AC1290" s="302"/>
      <c r="AD1290" s="302"/>
      <c r="AE1290" s="302"/>
      <c r="AF1290">
        <f t="shared" si="285"/>
        <v>0</v>
      </c>
    </row>
    <row r="1291" spans="1:32" hidden="1" x14ac:dyDescent="0.25">
      <c r="A1291" s="322" t="s">
        <v>3649</v>
      </c>
      <c r="B1291" s="93" t="str">
        <f t="shared" si="292"/>
        <v>YES</v>
      </c>
      <c r="C1291" s="93" t="s">
        <v>5503</v>
      </c>
      <c r="D1291" s="4">
        <v>40710</v>
      </c>
      <c r="E1291" s="2">
        <v>40756</v>
      </c>
      <c r="F1291" s="2">
        <f t="shared" si="286"/>
        <v>44409</v>
      </c>
      <c r="G1291" s="6">
        <v>279.77999999999997</v>
      </c>
      <c r="H1291" s="7" t="s">
        <v>2831</v>
      </c>
      <c r="I1291" s="7" t="s">
        <v>79</v>
      </c>
      <c r="J1291" s="186"/>
      <c r="K1291" s="266">
        <f t="shared" si="293"/>
        <v>2021</v>
      </c>
      <c r="L1291" s="390" t="s">
        <v>5875</v>
      </c>
      <c r="M1291" s="390" t="s">
        <v>7578</v>
      </c>
      <c r="N1291" s="32" t="s">
        <v>3644</v>
      </c>
      <c r="O1291" s="32" t="s">
        <v>3651</v>
      </c>
      <c r="P1291" s="278"/>
      <c r="Q1291" s="233" t="s">
        <v>3650</v>
      </c>
      <c r="R1291" s="75">
        <v>1125</v>
      </c>
      <c r="S1291" s="75">
        <v>1300</v>
      </c>
      <c r="T1291" s="75">
        <v>2425</v>
      </c>
      <c r="U1291" s="204">
        <v>420</v>
      </c>
      <c r="V1291" s="287">
        <f t="shared" ca="1" si="294"/>
        <v>9</v>
      </c>
      <c r="W1291" s="75">
        <f t="shared" ca="1" si="295"/>
        <v>4340</v>
      </c>
      <c r="X1291" s="200">
        <f t="shared" ca="1" si="296"/>
        <v>6345</v>
      </c>
      <c r="Y1291" s="1"/>
      <c r="Z1291" s="31">
        <v>0.1</v>
      </c>
      <c r="AA1291" s="223">
        <v>0.09</v>
      </c>
      <c r="AB1291" s="302" t="s">
        <v>7041</v>
      </c>
      <c r="AC1291" s="302"/>
      <c r="AD1291" s="302"/>
      <c r="AE1291" s="302"/>
      <c r="AF1291">
        <f t="shared" ref="AF1291:AF1371" si="297">COUNTIF(FilterList,A1291)</f>
        <v>0</v>
      </c>
    </row>
    <row r="1292" spans="1:32" hidden="1" x14ac:dyDescent="0.25">
      <c r="A1292" s="322" t="s">
        <v>3652</v>
      </c>
      <c r="B1292" s="93" t="str">
        <f t="shared" si="292"/>
        <v>YES</v>
      </c>
      <c r="C1292" s="93" t="s">
        <v>5503</v>
      </c>
      <c r="D1292" s="4">
        <v>40710</v>
      </c>
      <c r="E1292" s="2">
        <v>40756</v>
      </c>
      <c r="F1292" s="2">
        <f t="shared" ref="F1292:F1370" si="298">DATE(YEAR(E1292)+10,MONTH(E1292),DAY(E1292))</f>
        <v>44409</v>
      </c>
      <c r="G1292" s="6">
        <v>79.69</v>
      </c>
      <c r="H1292" s="7" t="s">
        <v>2831</v>
      </c>
      <c r="I1292" s="7" t="s">
        <v>79</v>
      </c>
      <c r="J1292" s="186"/>
      <c r="K1292" s="266">
        <f t="shared" si="293"/>
        <v>2021</v>
      </c>
      <c r="L1292" s="390" t="s">
        <v>5875</v>
      </c>
      <c r="M1292" s="390" t="s">
        <v>7578</v>
      </c>
      <c r="N1292" s="32" t="s">
        <v>3644</v>
      </c>
      <c r="O1292" s="32" t="s">
        <v>3654</v>
      </c>
      <c r="P1292" s="278"/>
      <c r="Q1292" s="233" t="s">
        <v>3653</v>
      </c>
      <c r="R1292" s="75">
        <v>425</v>
      </c>
      <c r="S1292" s="75">
        <v>640</v>
      </c>
      <c r="T1292" s="75">
        <v>1065</v>
      </c>
      <c r="U1292" s="204">
        <v>120</v>
      </c>
      <c r="V1292" s="287">
        <f t="shared" ca="1" si="294"/>
        <v>9</v>
      </c>
      <c r="W1292" s="75">
        <f t="shared" ca="1" si="295"/>
        <v>1240</v>
      </c>
      <c r="X1292" s="200">
        <f t="shared" ca="1" si="296"/>
        <v>2185</v>
      </c>
      <c r="Y1292" s="1"/>
      <c r="Z1292" s="31">
        <v>0.1</v>
      </c>
      <c r="AA1292" s="223">
        <v>0.09</v>
      </c>
      <c r="AB1292" s="302" t="s">
        <v>7042</v>
      </c>
      <c r="AC1292" s="302"/>
      <c r="AD1292" s="302"/>
      <c r="AE1292" s="302"/>
      <c r="AF1292">
        <f t="shared" si="297"/>
        <v>0</v>
      </c>
    </row>
    <row r="1293" spans="1:32" hidden="1" x14ac:dyDescent="0.25">
      <c r="A1293" s="322" t="s">
        <v>3655</v>
      </c>
      <c r="B1293" s="93" t="str">
        <f t="shared" si="292"/>
        <v>YES</v>
      </c>
      <c r="C1293" s="93" t="s">
        <v>5503</v>
      </c>
      <c r="D1293" s="4">
        <v>40710</v>
      </c>
      <c r="E1293" s="2">
        <v>40756</v>
      </c>
      <c r="F1293" s="2">
        <f t="shared" si="298"/>
        <v>44409</v>
      </c>
      <c r="G1293" s="6">
        <v>399.6</v>
      </c>
      <c r="H1293" s="7" t="s">
        <v>2831</v>
      </c>
      <c r="I1293" s="7" t="s">
        <v>79</v>
      </c>
      <c r="J1293" s="186"/>
      <c r="K1293" s="266">
        <f t="shared" si="293"/>
        <v>2021</v>
      </c>
      <c r="L1293" s="390" t="s">
        <v>5875</v>
      </c>
      <c r="M1293" s="390" t="s">
        <v>7578</v>
      </c>
      <c r="N1293" s="32" t="s">
        <v>3644</v>
      </c>
      <c r="O1293" s="32" t="s">
        <v>3657</v>
      </c>
      <c r="P1293" s="278"/>
      <c r="Q1293" s="233" t="s">
        <v>3656</v>
      </c>
      <c r="R1293" s="75">
        <v>1545</v>
      </c>
      <c r="S1293" s="75">
        <v>800</v>
      </c>
      <c r="T1293" s="75">
        <v>2345</v>
      </c>
      <c r="U1293" s="204">
        <v>600</v>
      </c>
      <c r="V1293" s="287">
        <f t="shared" ca="1" si="294"/>
        <v>9</v>
      </c>
      <c r="W1293" s="75">
        <f t="shared" ca="1" si="295"/>
        <v>6200</v>
      </c>
      <c r="X1293" s="200">
        <f t="shared" ca="1" si="296"/>
        <v>7945</v>
      </c>
      <c r="Y1293" s="1"/>
      <c r="Z1293" s="31">
        <v>0.1</v>
      </c>
      <c r="AA1293" s="223">
        <v>0.09</v>
      </c>
      <c r="AB1293" s="302" t="s">
        <v>7043</v>
      </c>
      <c r="AC1293" s="302"/>
      <c r="AD1293" s="302"/>
      <c r="AE1293" s="302"/>
      <c r="AF1293">
        <f t="shared" si="297"/>
        <v>0</v>
      </c>
    </row>
    <row r="1294" spans="1:32" hidden="1" x14ac:dyDescent="0.25">
      <c r="A1294" s="322" t="s">
        <v>3658</v>
      </c>
      <c r="B1294" s="93" t="str">
        <f t="shared" si="292"/>
        <v>YES</v>
      </c>
      <c r="C1294" s="93" t="s">
        <v>5503</v>
      </c>
      <c r="D1294" s="4">
        <v>40710</v>
      </c>
      <c r="E1294" s="11">
        <v>40787</v>
      </c>
      <c r="F1294" s="2">
        <f t="shared" si="298"/>
        <v>44440</v>
      </c>
      <c r="G1294" s="6">
        <v>40.200000000000003</v>
      </c>
      <c r="H1294" s="3" t="s">
        <v>3660</v>
      </c>
      <c r="I1294" s="7" t="s">
        <v>86</v>
      </c>
      <c r="J1294" s="186"/>
      <c r="K1294" s="266">
        <f t="shared" si="293"/>
        <v>2021</v>
      </c>
      <c r="L1294" s="301" t="s">
        <v>5561</v>
      </c>
      <c r="M1294" s="301" t="s">
        <v>5556</v>
      </c>
      <c r="N1294" s="32" t="s">
        <v>3661</v>
      </c>
      <c r="O1294" s="32" t="s">
        <v>3662</v>
      </c>
      <c r="P1294" s="278"/>
      <c r="Q1294" s="233" t="s">
        <v>3659</v>
      </c>
      <c r="R1294" s="75">
        <v>288.5</v>
      </c>
      <c r="S1294" s="75">
        <v>0</v>
      </c>
      <c r="T1294" s="75">
        <v>288.5</v>
      </c>
      <c r="U1294" s="204">
        <v>61.5</v>
      </c>
      <c r="V1294" s="287">
        <f t="shared" ca="1" si="294"/>
        <v>9</v>
      </c>
      <c r="W1294" s="75">
        <f t="shared" ca="1" si="295"/>
        <v>635.5</v>
      </c>
      <c r="X1294" s="200">
        <f t="shared" ca="1" si="296"/>
        <v>862.5</v>
      </c>
      <c r="Y1294" s="1"/>
      <c r="Z1294" s="31">
        <v>0.1</v>
      </c>
      <c r="AA1294" s="223">
        <v>0.09</v>
      </c>
      <c r="AB1294" s="302" t="s">
        <v>7044</v>
      </c>
      <c r="AC1294" s="302"/>
      <c r="AD1294" s="302"/>
      <c r="AE1294" s="302"/>
      <c r="AF1294">
        <f t="shared" si="297"/>
        <v>0</v>
      </c>
    </row>
    <row r="1295" spans="1:32" ht="64.5" hidden="1" customHeight="1" x14ac:dyDescent="0.25">
      <c r="A1295" s="322" t="s">
        <v>3663</v>
      </c>
      <c r="B1295" s="93" t="str">
        <f t="shared" si="292"/>
        <v>YES</v>
      </c>
      <c r="C1295" s="93" t="s">
        <v>5503</v>
      </c>
      <c r="D1295" s="4">
        <v>40710</v>
      </c>
      <c r="E1295" s="2">
        <v>40756</v>
      </c>
      <c r="F1295" s="2">
        <f t="shared" si="298"/>
        <v>44409</v>
      </c>
      <c r="G1295" s="6">
        <v>35.19</v>
      </c>
      <c r="H1295" s="3" t="s">
        <v>287</v>
      </c>
      <c r="I1295" s="7" t="s">
        <v>86</v>
      </c>
      <c r="J1295" s="186"/>
      <c r="K1295" s="266">
        <f t="shared" si="293"/>
        <v>2021</v>
      </c>
      <c r="L1295" s="301" t="s">
        <v>5514</v>
      </c>
      <c r="M1295" s="301" t="s">
        <v>7589</v>
      </c>
      <c r="N1295" s="32" t="s">
        <v>3665</v>
      </c>
      <c r="O1295" s="32" t="s">
        <v>3666</v>
      </c>
      <c r="P1295" s="278"/>
      <c r="Q1295" s="233" t="s">
        <v>3664</v>
      </c>
      <c r="R1295" s="75">
        <v>271</v>
      </c>
      <c r="S1295" s="75">
        <v>0</v>
      </c>
      <c r="T1295" s="75">
        <v>271</v>
      </c>
      <c r="U1295" s="204">
        <v>54</v>
      </c>
      <c r="V1295" s="287">
        <f t="shared" ca="1" si="294"/>
        <v>9</v>
      </c>
      <c r="W1295" s="75">
        <f t="shared" ca="1" si="295"/>
        <v>558</v>
      </c>
      <c r="X1295" s="200">
        <f t="shared" ca="1" si="296"/>
        <v>775</v>
      </c>
      <c r="Y1295" s="1"/>
      <c r="Z1295" s="31">
        <v>0.1</v>
      </c>
      <c r="AA1295" s="223">
        <v>0.09</v>
      </c>
      <c r="AB1295" s="302" t="s">
        <v>7045</v>
      </c>
      <c r="AC1295" s="302"/>
      <c r="AD1295" s="302"/>
      <c r="AE1295" s="302"/>
      <c r="AF1295">
        <f t="shared" si="297"/>
        <v>0</v>
      </c>
    </row>
    <row r="1296" spans="1:32" hidden="1" x14ac:dyDescent="0.25">
      <c r="A1296" s="322" t="s">
        <v>3667</v>
      </c>
      <c r="B1296" s="93" t="str">
        <f t="shared" si="292"/>
        <v>YES</v>
      </c>
      <c r="C1296" s="93" t="s">
        <v>5503</v>
      </c>
      <c r="D1296" s="4">
        <v>40710</v>
      </c>
      <c r="E1296" s="2">
        <v>40756</v>
      </c>
      <c r="F1296" s="2">
        <f t="shared" si="298"/>
        <v>44409</v>
      </c>
      <c r="G1296" s="6">
        <v>638.96</v>
      </c>
      <c r="H1296" s="3" t="s">
        <v>287</v>
      </c>
      <c r="I1296" s="7" t="s">
        <v>86</v>
      </c>
      <c r="J1296" s="186"/>
      <c r="K1296" s="266">
        <f t="shared" si="293"/>
        <v>2021</v>
      </c>
      <c r="L1296" s="301" t="s">
        <v>5514</v>
      </c>
      <c r="M1296" s="301" t="s">
        <v>7589</v>
      </c>
      <c r="N1296" s="32" t="s">
        <v>3665</v>
      </c>
      <c r="O1296" s="32" t="s">
        <v>3669</v>
      </c>
      <c r="P1296" s="278"/>
      <c r="Q1296" s="233" t="s">
        <v>3668</v>
      </c>
      <c r="R1296" s="75">
        <v>2381.5</v>
      </c>
      <c r="S1296" s="75">
        <v>0</v>
      </c>
      <c r="T1296" s="75">
        <v>2381.5</v>
      </c>
      <c r="U1296" s="204">
        <v>958.5</v>
      </c>
      <c r="V1296" s="287">
        <f t="shared" ca="1" si="294"/>
        <v>9</v>
      </c>
      <c r="W1296" s="75">
        <f t="shared" ca="1" si="295"/>
        <v>9904.5</v>
      </c>
      <c r="X1296" s="200">
        <f t="shared" ca="1" si="296"/>
        <v>11327.5</v>
      </c>
      <c r="Y1296" s="1"/>
      <c r="Z1296" s="31">
        <v>0.1</v>
      </c>
      <c r="AA1296" s="223">
        <v>0.09</v>
      </c>
      <c r="AB1296" s="302" t="s">
        <v>7046</v>
      </c>
      <c r="AC1296" s="302"/>
      <c r="AD1296" s="302"/>
      <c r="AE1296" s="302"/>
      <c r="AF1296">
        <f t="shared" si="297"/>
        <v>0</v>
      </c>
    </row>
    <row r="1297" spans="1:32" hidden="1" x14ac:dyDescent="0.25">
      <c r="A1297" s="322" t="s">
        <v>3670</v>
      </c>
      <c r="B1297" s="93" t="str">
        <f t="shared" si="292"/>
        <v>YES</v>
      </c>
      <c r="C1297" s="93" t="s">
        <v>5503</v>
      </c>
      <c r="D1297" s="4">
        <v>40710</v>
      </c>
      <c r="E1297" s="2">
        <v>40756</v>
      </c>
      <c r="F1297" s="2">
        <f t="shared" si="298"/>
        <v>44409</v>
      </c>
      <c r="G1297" s="6">
        <v>159.19</v>
      </c>
      <c r="H1297" s="3" t="s">
        <v>287</v>
      </c>
      <c r="I1297" s="7" t="s">
        <v>86</v>
      </c>
      <c r="J1297" s="186"/>
      <c r="K1297" s="266">
        <f t="shared" si="293"/>
        <v>2021</v>
      </c>
      <c r="L1297" s="301" t="s">
        <v>5514</v>
      </c>
      <c r="M1297" s="301" t="s">
        <v>7589</v>
      </c>
      <c r="N1297" s="32" t="s">
        <v>3665</v>
      </c>
      <c r="O1297" s="32" t="s">
        <v>3672</v>
      </c>
      <c r="P1297" s="278"/>
      <c r="Q1297" s="233" t="s">
        <v>3671</v>
      </c>
      <c r="R1297" s="75">
        <v>705</v>
      </c>
      <c r="S1297" s="75">
        <v>0</v>
      </c>
      <c r="T1297" s="75">
        <v>705</v>
      </c>
      <c r="U1297" s="204">
        <v>240</v>
      </c>
      <c r="V1297" s="287">
        <f t="shared" ca="1" si="294"/>
        <v>9</v>
      </c>
      <c r="W1297" s="75">
        <f t="shared" ca="1" si="295"/>
        <v>2480</v>
      </c>
      <c r="X1297" s="200">
        <f t="shared" ca="1" si="296"/>
        <v>2945</v>
      </c>
      <c r="Y1297" s="1"/>
      <c r="Z1297" s="31">
        <v>0.1</v>
      </c>
      <c r="AA1297" s="223">
        <v>0.09</v>
      </c>
      <c r="AB1297" s="302" t="s">
        <v>7047</v>
      </c>
      <c r="AC1297" s="302"/>
      <c r="AD1297" s="302"/>
      <c r="AE1297" s="302"/>
      <c r="AF1297">
        <f t="shared" si="297"/>
        <v>0</v>
      </c>
    </row>
    <row r="1298" spans="1:32" hidden="1" x14ac:dyDescent="0.25">
      <c r="A1298" s="322" t="s">
        <v>3673</v>
      </c>
      <c r="B1298" s="93" t="str">
        <f t="shared" si="292"/>
        <v>YES</v>
      </c>
      <c r="C1298" s="93" t="s">
        <v>5503</v>
      </c>
      <c r="D1298" s="4">
        <v>40710</v>
      </c>
      <c r="E1298" s="2">
        <v>40756</v>
      </c>
      <c r="F1298" s="2">
        <f t="shared" si="298"/>
        <v>44409</v>
      </c>
      <c r="G1298" s="6">
        <v>199.61</v>
      </c>
      <c r="H1298" s="3" t="s">
        <v>287</v>
      </c>
      <c r="I1298" s="7" t="s">
        <v>86</v>
      </c>
      <c r="J1298" s="186"/>
      <c r="K1298" s="266">
        <f t="shared" si="293"/>
        <v>2021</v>
      </c>
      <c r="L1298" s="301" t="s">
        <v>5514</v>
      </c>
      <c r="M1298" s="301" t="s">
        <v>7589</v>
      </c>
      <c r="N1298" s="32" t="s">
        <v>3665</v>
      </c>
      <c r="O1298" s="32" t="s">
        <v>3675</v>
      </c>
      <c r="P1298" s="278"/>
      <c r="Q1298" s="233" t="s">
        <v>3674</v>
      </c>
      <c r="R1298" s="75">
        <v>845</v>
      </c>
      <c r="S1298" s="75">
        <v>0</v>
      </c>
      <c r="T1298" s="75">
        <v>845</v>
      </c>
      <c r="U1298" s="204">
        <v>300</v>
      </c>
      <c r="V1298" s="287">
        <f t="shared" ca="1" si="294"/>
        <v>9</v>
      </c>
      <c r="W1298" s="75">
        <f t="shared" ca="1" si="295"/>
        <v>3100</v>
      </c>
      <c r="X1298" s="200">
        <f t="shared" ca="1" si="296"/>
        <v>3645</v>
      </c>
      <c r="Y1298" s="1"/>
      <c r="Z1298" s="31">
        <v>0.1</v>
      </c>
      <c r="AA1298" s="223">
        <v>0.09</v>
      </c>
      <c r="AB1298" s="302" t="s">
        <v>7048</v>
      </c>
      <c r="AC1298" s="302"/>
      <c r="AD1298" s="302"/>
      <c r="AE1298" s="302"/>
      <c r="AF1298">
        <f t="shared" si="297"/>
        <v>0</v>
      </c>
    </row>
    <row r="1299" spans="1:32" hidden="1" x14ac:dyDescent="0.25">
      <c r="A1299" s="322" t="s">
        <v>3676</v>
      </c>
      <c r="B1299" s="93" t="str">
        <f t="shared" si="292"/>
        <v>YES</v>
      </c>
      <c r="C1299" s="93" t="s">
        <v>5503</v>
      </c>
      <c r="D1299" s="4">
        <v>40710</v>
      </c>
      <c r="E1299" s="2">
        <v>40756</v>
      </c>
      <c r="F1299" s="2">
        <f t="shared" si="298"/>
        <v>44409</v>
      </c>
      <c r="G1299" s="6">
        <v>60.04</v>
      </c>
      <c r="H1299" s="3" t="s">
        <v>287</v>
      </c>
      <c r="I1299" s="7" t="s">
        <v>86</v>
      </c>
      <c r="J1299" s="186"/>
      <c r="K1299" s="266">
        <f t="shared" si="293"/>
        <v>2021</v>
      </c>
      <c r="L1299" s="301" t="s">
        <v>5514</v>
      </c>
      <c r="M1299" s="301" t="s">
        <v>7589</v>
      </c>
      <c r="N1299" s="32" t="s">
        <v>3665</v>
      </c>
      <c r="O1299" s="32" t="s">
        <v>3678</v>
      </c>
      <c r="P1299" s="278"/>
      <c r="Q1299" s="233" t="s">
        <v>3677</v>
      </c>
      <c r="R1299" s="75">
        <v>358.5</v>
      </c>
      <c r="S1299" s="75">
        <v>0</v>
      </c>
      <c r="T1299" s="75">
        <v>358.5</v>
      </c>
      <c r="U1299" s="204">
        <v>91.5</v>
      </c>
      <c r="V1299" s="287">
        <f t="shared" ca="1" si="294"/>
        <v>9</v>
      </c>
      <c r="W1299" s="75">
        <f t="shared" ca="1" si="295"/>
        <v>945.5</v>
      </c>
      <c r="X1299" s="200">
        <f t="shared" ca="1" si="296"/>
        <v>1212.5</v>
      </c>
      <c r="Y1299" s="1"/>
      <c r="Z1299" s="31">
        <v>0.1</v>
      </c>
      <c r="AA1299" s="223">
        <v>0.09</v>
      </c>
      <c r="AB1299" s="302" t="s">
        <v>7049</v>
      </c>
      <c r="AC1299" s="302"/>
      <c r="AD1299" s="302"/>
      <c r="AE1299" s="302"/>
      <c r="AF1299">
        <f t="shared" si="297"/>
        <v>0</v>
      </c>
    </row>
    <row r="1300" spans="1:32" ht="26.25" hidden="1" x14ac:dyDescent="0.25">
      <c r="A1300" s="322" t="s">
        <v>3679</v>
      </c>
      <c r="B1300" s="93" t="str">
        <f t="shared" si="292"/>
        <v>YES</v>
      </c>
      <c r="C1300" s="93" t="s">
        <v>5503</v>
      </c>
      <c r="D1300" s="4">
        <v>40710</v>
      </c>
      <c r="E1300" s="2">
        <v>40756</v>
      </c>
      <c r="F1300" s="2">
        <f t="shared" si="298"/>
        <v>44409</v>
      </c>
      <c r="G1300" s="6">
        <v>543.22</v>
      </c>
      <c r="H1300" s="3" t="s">
        <v>287</v>
      </c>
      <c r="I1300" s="7" t="s">
        <v>86</v>
      </c>
      <c r="J1300" s="186"/>
      <c r="K1300" s="266">
        <f t="shared" si="293"/>
        <v>2021</v>
      </c>
      <c r="L1300" s="301" t="s">
        <v>5514</v>
      </c>
      <c r="M1300" s="301" t="s">
        <v>7589</v>
      </c>
      <c r="N1300" s="32" t="s">
        <v>3665</v>
      </c>
      <c r="O1300" s="32" t="s">
        <v>3681</v>
      </c>
      <c r="P1300" s="278"/>
      <c r="Q1300" s="233" t="s">
        <v>3680</v>
      </c>
      <c r="R1300" s="75">
        <v>2049</v>
      </c>
      <c r="S1300" s="75">
        <v>0</v>
      </c>
      <c r="T1300" s="75">
        <v>2049</v>
      </c>
      <c r="U1300" s="204">
        <v>816</v>
      </c>
      <c r="V1300" s="287">
        <f t="shared" ca="1" si="294"/>
        <v>9</v>
      </c>
      <c r="W1300" s="75">
        <f t="shared" ca="1" si="295"/>
        <v>8432</v>
      </c>
      <c r="X1300" s="200">
        <f t="shared" ca="1" si="296"/>
        <v>9665</v>
      </c>
      <c r="Y1300" s="1"/>
      <c r="Z1300" s="31">
        <v>0.1</v>
      </c>
      <c r="AA1300" s="223">
        <v>0.09</v>
      </c>
      <c r="AB1300" s="302" t="s">
        <v>7050</v>
      </c>
      <c r="AC1300" s="302"/>
      <c r="AD1300" s="302"/>
      <c r="AE1300" s="302"/>
      <c r="AF1300">
        <f t="shared" si="297"/>
        <v>0</v>
      </c>
    </row>
    <row r="1301" spans="1:32" hidden="1" x14ac:dyDescent="0.25">
      <c r="A1301" s="322" t="s">
        <v>3682</v>
      </c>
      <c r="B1301" s="93" t="str">
        <f t="shared" si="292"/>
        <v>YES</v>
      </c>
      <c r="C1301" s="93" t="s">
        <v>5503</v>
      </c>
      <c r="D1301" s="4">
        <v>40710</v>
      </c>
      <c r="E1301" s="2">
        <v>40756</v>
      </c>
      <c r="F1301" s="2">
        <f t="shared" si="298"/>
        <v>44409</v>
      </c>
      <c r="G1301" s="6">
        <v>99.54</v>
      </c>
      <c r="H1301" s="3" t="s">
        <v>287</v>
      </c>
      <c r="I1301" s="7" t="s">
        <v>86</v>
      </c>
      <c r="J1301" s="186"/>
      <c r="K1301" s="266">
        <f t="shared" si="293"/>
        <v>2021</v>
      </c>
      <c r="L1301" s="301" t="s">
        <v>5514</v>
      </c>
      <c r="M1301" s="301" t="s">
        <v>7589</v>
      </c>
      <c r="N1301" s="32" t="s">
        <v>3665</v>
      </c>
      <c r="O1301" s="32" t="s">
        <v>3672</v>
      </c>
      <c r="P1301" s="278"/>
      <c r="Q1301" s="233" t="s">
        <v>3683</v>
      </c>
      <c r="R1301" s="75">
        <v>495</v>
      </c>
      <c r="S1301" s="75">
        <v>0</v>
      </c>
      <c r="T1301" s="75">
        <v>495</v>
      </c>
      <c r="U1301" s="204">
        <v>150</v>
      </c>
      <c r="V1301" s="287">
        <f t="shared" ca="1" si="294"/>
        <v>9</v>
      </c>
      <c r="W1301" s="75">
        <f t="shared" ca="1" si="295"/>
        <v>1550</v>
      </c>
      <c r="X1301" s="200">
        <f t="shared" ca="1" si="296"/>
        <v>1895</v>
      </c>
      <c r="Y1301" s="1"/>
      <c r="Z1301" s="31">
        <v>0.1</v>
      </c>
      <c r="AA1301" s="223">
        <v>0.09</v>
      </c>
      <c r="AB1301" s="302" t="s">
        <v>7051</v>
      </c>
      <c r="AC1301" s="302"/>
      <c r="AD1301" s="302"/>
      <c r="AE1301" s="302"/>
      <c r="AF1301">
        <f t="shared" si="297"/>
        <v>0</v>
      </c>
    </row>
    <row r="1302" spans="1:32" hidden="1" x14ac:dyDescent="0.25">
      <c r="A1302" s="322" t="s">
        <v>3684</v>
      </c>
      <c r="B1302" s="93" t="str">
        <f t="shared" si="292"/>
        <v>YES</v>
      </c>
      <c r="C1302" s="93" t="s">
        <v>5503</v>
      </c>
      <c r="D1302" s="4">
        <v>40710</v>
      </c>
      <c r="E1302" s="2">
        <v>40756</v>
      </c>
      <c r="F1302" s="2">
        <f t="shared" si="298"/>
        <v>44409</v>
      </c>
      <c r="G1302" s="6">
        <v>159.38</v>
      </c>
      <c r="H1302" s="3" t="s">
        <v>287</v>
      </c>
      <c r="I1302" s="7" t="s">
        <v>86</v>
      </c>
      <c r="J1302" s="186"/>
      <c r="K1302" s="266">
        <f t="shared" si="293"/>
        <v>2021</v>
      </c>
      <c r="L1302" s="301" t="s">
        <v>5514</v>
      </c>
      <c r="M1302" s="301" t="s">
        <v>7589</v>
      </c>
      <c r="N1302" s="32" t="s">
        <v>3665</v>
      </c>
      <c r="O1302" s="32" t="s">
        <v>3686</v>
      </c>
      <c r="P1302" s="278"/>
      <c r="Q1302" s="233" t="s">
        <v>3685</v>
      </c>
      <c r="R1302" s="75">
        <v>705</v>
      </c>
      <c r="S1302" s="75">
        <v>0</v>
      </c>
      <c r="T1302" s="75">
        <v>705</v>
      </c>
      <c r="U1302" s="204">
        <v>240</v>
      </c>
      <c r="V1302" s="287">
        <f t="shared" ca="1" si="294"/>
        <v>9</v>
      </c>
      <c r="W1302" s="75">
        <f t="shared" ca="1" si="295"/>
        <v>2480</v>
      </c>
      <c r="X1302" s="200">
        <f t="shared" ca="1" si="296"/>
        <v>2945</v>
      </c>
      <c r="Y1302" s="1"/>
      <c r="Z1302" s="31">
        <v>0.1</v>
      </c>
      <c r="AA1302" s="223">
        <v>0.09</v>
      </c>
      <c r="AB1302" s="302" t="s">
        <v>7052</v>
      </c>
      <c r="AC1302" s="302"/>
      <c r="AD1302" s="302"/>
      <c r="AE1302" s="302"/>
      <c r="AF1302">
        <f t="shared" si="297"/>
        <v>0</v>
      </c>
    </row>
    <row r="1303" spans="1:32" ht="26.25" hidden="1" x14ac:dyDescent="0.25">
      <c r="A1303" s="322" t="s">
        <v>3687</v>
      </c>
      <c r="B1303" s="93" t="str">
        <f t="shared" si="292"/>
        <v>YES</v>
      </c>
      <c r="C1303" s="93" t="s">
        <v>5503</v>
      </c>
      <c r="D1303" s="4">
        <v>40710</v>
      </c>
      <c r="E1303" s="2">
        <v>40756</v>
      </c>
      <c r="F1303" s="2">
        <f t="shared" si="298"/>
        <v>44409</v>
      </c>
      <c r="G1303" s="6">
        <v>488.92</v>
      </c>
      <c r="H1303" s="3" t="s">
        <v>287</v>
      </c>
      <c r="I1303" s="7" t="s">
        <v>86</v>
      </c>
      <c r="J1303" s="186"/>
      <c r="K1303" s="266">
        <f t="shared" si="293"/>
        <v>2021</v>
      </c>
      <c r="L1303" s="301" t="s">
        <v>5514</v>
      </c>
      <c r="M1303" s="301" t="s">
        <v>7589</v>
      </c>
      <c r="N1303" s="32" t="s">
        <v>3665</v>
      </c>
      <c r="O1303" s="32" t="s">
        <v>3689</v>
      </c>
      <c r="P1303" s="278"/>
      <c r="Q1303" s="233" t="s">
        <v>3688</v>
      </c>
      <c r="R1303" s="75">
        <v>1856.5</v>
      </c>
      <c r="S1303" s="75">
        <v>0</v>
      </c>
      <c r="T1303" s="75">
        <v>1856.5</v>
      </c>
      <c r="U1303" s="204">
        <v>733.5</v>
      </c>
      <c r="V1303" s="287">
        <f t="shared" ca="1" si="294"/>
        <v>9</v>
      </c>
      <c r="W1303" s="75">
        <f t="shared" ca="1" si="295"/>
        <v>7579.5</v>
      </c>
      <c r="X1303" s="200">
        <f t="shared" ca="1" si="296"/>
        <v>8702.5</v>
      </c>
      <c r="Y1303" s="1"/>
      <c r="Z1303" s="31">
        <v>0.1</v>
      </c>
      <c r="AA1303" s="223">
        <v>0.09</v>
      </c>
      <c r="AB1303" s="302" t="s">
        <v>7053</v>
      </c>
      <c r="AC1303" s="302"/>
      <c r="AD1303" s="302"/>
      <c r="AE1303" s="302"/>
      <c r="AF1303">
        <f t="shared" si="297"/>
        <v>0</v>
      </c>
    </row>
    <row r="1304" spans="1:32" ht="26.25" hidden="1" x14ac:dyDescent="0.25">
      <c r="A1304" s="322" t="s">
        <v>3690</v>
      </c>
      <c r="B1304" s="93" t="str">
        <f t="shared" si="292"/>
        <v>YES</v>
      </c>
      <c r="C1304" s="93" t="s">
        <v>5503</v>
      </c>
      <c r="D1304" s="4">
        <v>40710</v>
      </c>
      <c r="E1304" s="11">
        <v>40787</v>
      </c>
      <c r="F1304" s="2">
        <f t="shared" si="298"/>
        <v>44440</v>
      </c>
      <c r="G1304" s="6">
        <v>640.6</v>
      </c>
      <c r="H1304" s="3" t="s">
        <v>202</v>
      </c>
      <c r="I1304" s="7" t="s">
        <v>86</v>
      </c>
      <c r="J1304" s="105" t="s">
        <v>6209</v>
      </c>
      <c r="K1304" s="266">
        <f t="shared" si="293"/>
        <v>2021</v>
      </c>
      <c r="L1304" s="301" t="s">
        <v>5572</v>
      </c>
      <c r="M1304" s="301" t="s">
        <v>7537</v>
      </c>
      <c r="N1304" s="32" t="s">
        <v>3692</v>
      </c>
      <c r="O1304" s="32" t="s">
        <v>3693</v>
      </c>
      <c r="P1304" s="278"/>
      <c r="Q1304" s="233" t="s">
        <v>3691</v>
      </c>
      <c r="R1304" s="75">
        <v>2388.5</v>
      </c>
      <c r="S1304" s="75">
        <v>1923</v>
      </c>
      <c r="T1304" s="75">
        <v>4311.5</v>
      </c>
      <c r="U1304" s="204">
        <v>961.5</v>
      </c>
      <c r="V1304" s="287">
        <f t="shared" ca="1" si="294"/>
        <v>9</v>
      </c>
      <c r="W1304" s="75">
        <f t="shared" ca="1" si="295"/>
        <v>9935.5</v>
      </c>
      <c r="X1304" s="200">
        <f t="shared" ca="1" si="296"/>
        <v>13285.5</v>
      </c>
      <c r="Y1304" s="1"/>
      <c r="Z1304" s="31">
        <v>0.1</v>
      </c>
      <c r="AA1304" s="223">
        <v>0.09</v>
      </c>
      <c r="AB1304" s="302"/>
      <c r="AC1304" s="302"/>
      <c r="AD1304" s="302"/>
      <c r="AE1304" s="302"/>
      <c r="AF1304">
        <f t="shared" si="297"/>
        <v>0</v>
      </c>
    </row>
    <row r="1305" spans="1:32" hidden="1" x14ac:dyDescent="0.25">
      <c r="A1305" s="322" t="s">
        <v>3694</v>
      </c>
      <c r="B1305" s="93" t="str">
        <f t="shared" si="292"/>
        <v>YES</v>
      </c>
      <c r="C1305" s="93" t="s">
        <v>5503</v>
      </c>
      <c r="D1305" s="4">
        <v>40710</v>
      </c>
      <c r="E1305" s="2">
        <v>40756</v>
      </c>
      <c r="F1305" s="2">
        <f t="shared" si="298"/>
        <v>44409</v>
      </c>
      <c r="G1305" s="6">
        <v>640</v>
      </c>
      <c r="H1305" s="3" t="s">
        <v>202</v>
      </c>
      <c r="I1305" s="7" t="s">
        <v>86</v>
      </c>
      <c r="J1305" s="105" t="s">
        <v>6208</v>
      </c>
      <c r="K1305" s="266">
        <f t="shared" si="293"/>
        <v>2021</v>
      </c>
      <c r="L1305" s="416" t="s">
        <v>5572</v>
      </c>
      <c r="M1305" s="301" t="s">
        <v>7537</v>
      </c>
      <c r="N1305" s="32" t="s">
        <v>3692</v>
      </c>
      <c r="O1305" s="32" t="s">
        <v>3696</v>
      </c>
      <c r="P1305" s="278"/>
      <c r="Q1305" s="233" t="s">
        <v>3695</v>
      </c>
      <c r="R1305" s="75">
        <v>2385</v>
      </c>
      <c r="S1305" s="75">
        <v>640</v>
      </c>
      <c r="T1305" s="75">
        <v>3025</v>
      </c>
      <c r="U1305" s="204">
        <v>960</v>
      </c>
      <c r="V1305" s="287">
        <f t="shared" ca="1" si="294"/>
        <v>9</v>
      </c>
      <c r="W1305" s="75">
        <f t="shared" ca="1" si="295"/>
        <v>9920</v>
      </c>
      <c r="X1305" s="200">
        <f t="shared" ca="1" si="296"/>
        <v>11985</v>
      </c>
      <c r="Y1305" s="1"/>
      <c r="Z1305" s="31">
        <v>0.1</v>
      </c>
      <c r="AA1305" s="223">
        <v>0.09</v>
      </c>
      <c r="AB1305" s="302"/>
      <c r="AC1305" s="302"/>
      <c r="AD1305" s="302"/>
      <c r="AE1305" s="302"/>
      <c r="AF1305">
        <f t="shared" si="297"/>
        <v>0</v>
      </c>
    </row>
    <row r="1306" spans="1:32" hidden="1" x14ac:dyDescent="0.25">
      <c r="A1306" s="322" t="s">
        <v>3697</v>
      </c>
      <c r="B1306" s="93" t="str">
        <f t="shared" si="292"/>
        <v>YES</v>
      </c>
      <c r="C1306" s="93" t="s">
        <v>5503</v>
      </c>
      <c r="D1306" s="4">
        <v>40710</v>
      </c>
      <c r="E1306" s="2">
        <v>40756</v>
      </c>
      <c r="F1306" s="2">
        <f t="shared" si="298"/>
        <v>44409</v>
      </c>
      <c r="G1306" s="6">
        <v>537.44000000000005</v>
      </c>
      <c r="H1306" s="3" t="s">
        <v>202</v>
      </c>
      <c r="I1306" s="7" t="s">
        <v>86</v>
      </c>
      <c r="J1306" s="105" t="s">
        <v>6208</v>
      </c>
      <c r="K1306" s="266">
        <f t="shared" si="293"/>
        <v>2021</v>
      </c>
      <c r="L1306" s="416" t="s">
        <v>5572</v>
      </c>
      <c r="M1306" s="301" t="s">
        <v>7537</v>
      </c>
      <c r="N1306" s="32" t="s">
        <v>3692</v>
      </c>
      <c r="O1306" s="32" t="s">
        <v>3699</v>
      </c>
      <c r="P1306" s="278"/>
      <c r="Q1306" s="233" t="s">
        <v>3698</v>
      </c>
      <c r="R1306" s="75">
        <v>2028</v>
      </c>
      <c r="S1306" s="74">
        <v>0</v>
      </c>
      <c r="T1306" s="75">
        <v>2028</v>
      </c>
      <c r="U1306" s="204">
        <v>807</v>
      </c>
      <c r="V1306" s="287">
        <f t="shared" ca="1" si="294"/>
        <v>9</v>
      </c>
      <c r="W1306" s="75">
        <f t="shared" ca="1" si="295"/>
        <v>8339</v>
      </c>
      <c r="X1306" s="200">
        <f t="shared" ca="1" si="296"/>
        <v>9560</v>
      </c>
      <c r="Y1306" s="1"/>
      <c r="Z1306" s="31">
        <v>0.1</v>
      </c>
      <c r="AA1306" s="223">
        <v>0.09</v>
      </c>
      <c r="AB1306" s="302"/>
      <c r="AC1306" s="302"/>
      <c r="AD1306" s="302"/>
      <c r="AE1306" s="302"/>
      <c r="AF1306">
        <f t="shared" si="297"/>
        <v>0</v>
      </c>
    </row>
    <row r="1307" spans="1:32" hidden="1" x14ac:dyDescent="0.25">
      <c r="A1307" s="322" t="s">
        <v>3700</v>
      </c>
      <c r="B1307" s="93" t="str">
        <f t="shared" si="292"/>
        <v>YES</v>
      </c>
      <c r="C1307" s="93" t="s">
        <v>5503</v>
      </c>
      <c r="D1307" s="4">
        <v>40710</v>
      </c>
      <c r="E1307" s="2">
        <v>40756</v>
      </c>
      <c r="F1307" s="2">
        <f t="shared" si="298"/>
        <v>44409</v>
      </c>
      <c r="G1307" s="6">
        <v>359.33</v>
      </c>
      <c r="H1307" s="3" t="s">
        <v>782</v>
      </c>
      <c r="I1307" s="7" t="s">
        <v>86</v>
      </c>
      <c r="J1307" s="105" t="s">
        <v>6208</v>
      </c>
      <c r="K1307" s="266">
        <f t="shared" si="293"/>
        <v>2021</v>
      </c>
      <c r="L1307" s="416" t="s">
        <v>5572</v>
      </c>
      <c r="M1307" s="301" t="s">
        <v>7537</v>
      </c>
      <c r="N1307" s="32" t="s">
        <v>3692</v>
      </c>
      <c r="O1307" s="32" t="s">
        <v>3702</v>
      </c>
      <c r="P1307" s="278"/>
      <c r="Q1307" s="233" t="s">
        <v>3701</v>
      </c>
      <c r="R1307" s="75">
        <v>1405</v>
      </c>
      <c r="S1307" s="74">
        <v>0</v>
      </c>
      <c r="T1307" s="75">
        <v>1405</v>
      </c>
      <c r="U1307" s="204">
        <v>540</v>
      </c>
      <c r="V1307" s="287">
        <f t="shared" ca="1" si="294"/>
        <v>9</v>
      </c>
      <c r="W1307" s="75">
        <f t="shared" ca="1" si="295"/>
        <v>5580</v>
      </c>
      <c r="X1307" s="200">
        <f t="shared" ca="1" si="296"/>
        <v>6445</v>
      </c>
      <c r="Y1307" s="1"/>
      <c r="Z1307" s="31">
        <v>0.1</v>
      </c>
      <c r="AA1307" s="223">
        <v>0.09</v>
      </c>
      <c r="AB1307" s="302"/>
      <c r="AC1307" s="302"/>
      <c r="AD1307" s="302"/>
      <c r="AE1307" s="302"/>
      <c r="AF1307">
        <f t="shared" si="297"/>
        <v>0</v>
      </c>
    </row>
    <row r="1308" spans="1:32" hidden="1" x14ac:dyDescent="0.25">
      <c r="A1308" s="322" t="s">
        <v>3703</v>
      </c>
      <c r="B1308" s="93" t="str">
        <f t="shared" si="292"/>
        <v>YES</v>
      </c>
      <c r="C1308" s="93" t="s">
        <v>5503</v>
      </c>
      <c r="D1308" s="4">
        <v>40710</v>
      </c>
      <c r="E1308" s="2">
        <v>40756</v>
      </c>
      <c r="F1308" s="2">
        <f t="shared" si="298"/>
        <v>44409</v>
      </c>
      <c r="G1308" s="6">
        <v>399.53</v>
      </c>
      <c r="H1308" s="3" t="s">
        <v>782</v>
      </c>
      <c r="I1308" s="7" t="s">
        <v>86</v>
      </c>
      <c r="J1308" s="105" t="s">
        <v>6208</v>
      </c>
      <c r="K1308" s="266">
        <f t="shared" si="293"/>
        <v>2021</v>
      </c>
      <c r="L1308" s="416" t="s">
        <v>5572</v>
      </c>
      <c r="M1308" s="301" t="s">
        <v>7537</v>
      </c>
      <c r="N1308" s="32" t="s">
        <v>3692</v>
      </c>
      <c r="O1308" s="32" t="s">
        <v>3705</v>
      </c>
      <c r="P1308" s="278"/>
      <c r="Q1308" s="233" t="s">
        <v>3704</v>
      </c>
      <c r="R1308" s="75">
        <v>1545</v>
      </c>
      <c r="S1308" s="74">
        <v>0</v>
      </c>
      <c r="T1308" s="75">
        <v>1545</v>
      </c>
      <c r="U1308" s="204">
        <v>600</v>
      </c>
      <c r="V1308" s="287">
        <f t="shared" ca="1" si="294"/>
        <v>9</v>
      </c>
      <c r="W1308" s="75">
        <f t="shared" ca="1" si="295"/>
        <v>6200</v>
      </c>
      <c r="X1308" s="200">
        <f t="shared" ca="1" si="296"/>
        <v>7145</v>
      </c>
      <c r="Y1308" s="1"/>
      <c r="Z1308" s="31">
        <v>0.1</v>
      </c>
      <c r="AA1308" s="223">
        <v>0.09</v>
      </c>
      <c r="AB1308" s="302"/>
      <c r="AC1308" s="302"/>
      <c r="AD1308" s="302"/>
      <c r="AE1308" s="302"/>
      <c r="AF1308">
        <f t="shared" si="297"/>
        <v>0</v>
      </c>
    </row>
    <row r="1309" spans="1:32" hidden="1" x14ac:dyDescent="0.25">
      <c r="A1309" s="322" t="s">
        <v>3706</v>
      </c>
      <c r="B1309" s="93" t="str">
        <f t="shared" si="292"/>
        <v>YES</v>
      </c>
      <c r="C1309" s="93" t="s">
        <v>5503</v>
      </c>
      <c r="D1309" s="4">
        <v>40710</v>
      </c>
      <c r="E1309" s="2">
        <v>40756</v>
      </c>
      <c r="F1309" s="2">
        <f t="shared" si="298"/>
        <v>44409</v>
      </c>
      <c r="G1309" s="6">
        <v>1236.33</v>
      </c>
      <c r="H1309" s="3" t="s">
        <v>782</v>
      </c>
      <c r="I1309" s="7" t="s">
        <v>86</v>
      </c>
      <c r="J1309" s="105" t="s">
        <v>6208</v>
      </c>
      <c r="K1309" s="266">
        <f t="shared" si="293"/>
        <v>2021</v>
      </c>
      <c r="L1309" s="416" t="s">
        <v>5572</v>
      </c>
      <c r="M1309" s="301" t="s">
        <v>7537</v>
      </c>
      <c r="N1309" s="32" t="s">
        <v>3692</v>
      </c>
      <c r="O1309" s="32" t="s">
        <v>7908</v>
      </c>
      <c r="P1309" s="278"/>
      <c r="Q1309" s="233" t="s">
        <v>3707</v>
      </c>
      <c r="R1309" s="75">
        <v>4474.5</v>
      </c>
      <c r="S1309" s="74">
        <v>0</v>
      </c>
      <c r="T1309" s="75">
        <v>4474.5</v>
      </c>
      <c r="U1309" s="204">
        <v>1855.5</v>
      </c>
      <c r="V1309" s="287">
        <f t="shared" ca="1" si="294"/>
        <v>9</v>
      </c>
      <c r="W1309" s="75">
        <f t="shared" ca="1" si="295"/>
        <v>19173.5</v>
      </c>
      <c r="X1309" s="200">
        <f t="shared" ca="1" si="296"/>
        <v>21792.5</v>
      </c>
      <c r="Y1309" s="1"/>
      <c r="Z1309" s="31">
        <v>0.1</v>
      </c>
      <c r="AA1309" s="223">
        <v>0.09</v>
      </c>
      <c r="AB1309" s="302"/>
      <c r="AC1309" s="302"/>
      <c r="AD1309" s="302"/>
      <c r="AE1309" s="302"/>
      <c r="AF1309">
        <f t="shared" si="297"/>
        <v>0</v>
      </c>
    </row>
    <row r="1310" spans="1:32" ht="26.25" hidden="1" x14ac:dyDescent="0.25">
      <c r="A1310" s="322" t="s">
        <v>3708</v>
      </c>
      <c r="B1310" s="93" t="str">
        <f t="shared" si="292"/>
        <v>YES</v>
      </c>
      <c r="C1310" s="93" t="s">
        <v>5503</v>
      </c>
      <c r="D1310" s="4">
        <v>40710</v>
      </c>
      <c r="E1310" s="2">
        <v>40756</v>
      </c>
      <c r="F1310" s="2">
        <f t="shared" si="298"/>
        <v>44409</v>
      </c>
      <c r="G1310" s="6">
        <v>1154.53</v>
      </c>
      <c r="H1310" s="3" t="s">
        <v>202</v>
      </c>
      <c r="I1310" s="7" t="s">
        <v>86</v>
      </c>
      <c r="J1310" s="105" t="s">
        <v>6208</v>
      </c>
      <c r="K1310" s="266">
        <f t="shared" si="293"/>
        <v>2021</v>
      </c>
      <c r="L1310" s="416" t="s">
        <v>5572</v>
      </c>
      <c r="M1310" s="301" t="s">
        <v>7537</v>
      </c>
      <c r="N1310" s="32" t="s">
        <v>3692</v>
      </c>
      <c r="O1310" s="32" t="s">
        <v>7909</v>
      </c>
      <c r="P1310" s="278"/>
      <c r="Q1310" s="233" t="s">
        <v>3709</v>
      </c>
      <c r="R1310" s="75">
        <v>4187.5</v>
      </c>
      <c r="S1310" s="74">
        <v>0</v>
      </c>
      <c r="T1310" s="75">
        <v>4187.5</v>
      </c>
      <c r="U1310" s="204">
        <v>1732.5</v>
      </c>
      <c r="V1310" s="287">
        <f t="shared" ca="1" si="294"/>
        <v>9</v>
      </c>
      <c r="W1310" s="75">
        <f t="shared" ca="1" si="295"/>
        <v>17902.5</v>
      </c>
      <c r="X1310" s="200">
        <f t="shared" ca="1" si="296"/>
        <v>20357.5</v>
      </c>
      <c r="Y1310" s="1"/>
      <c r="Z1310" s="31">
        <v>0.1</v>
      </c>
      <c r="AA1310" s="223">
        <v>0.09</v>
      </c>
      <c r="AB1310" s="302"/>
      <c r="AC1310" s="302"/>
      <c r="AD1310" s="302"/>
      <c r="AE1310" s="302"/>
      <c r="AF1310">
        <f t="shared" si="297"/>
        <v>0</v>
      </c>
    </row>
    <row r="1311" spans="1:32" hidden="1" x14ac:dyDescent="0.25">
      <c r="A1311" s="322" t="s">
        <v>3710</v>
      </c>
      <c r="B1311" s="93" t="str">
        <f t="shared" si="292"/>
        <v>YES</v>
      </c>
      <c r="C1311" s="93" t="s">
        <v>5503</v>
      </c>
      <c r="D1311" s="4">
        <v>40710</v>
      </c>
      <c r="E1311" s="2">
        <v>40756</v>
      </c>
      <c r="F1311" s="2">
        <f t="shared" si="298"/>
        <v>44409</v>
      </c>
      <c r="G1311" s="6">
        <v>804.76</v>
      </c>
      <c r="H1311" s="3" t="s">
        <v>202</v>
      </c>
      <c r="I1311" s="7" t="s">
        <v>86</v>
      </c>
      <c r="J1311" s="105" t="s">
        <v>6208</v>
      </c>
      <c r="K1311" s="266">
        <f t="shared" si="293"/>
        <v>2021</v>
      </c>
      <c r="L1311" s="416" t="s">
        <v>5572</v>
      </c>
      <c r="M1311" s="301" t="s">
        <v>7537</v>
      </c>
      <c r="N1311" s="32" t="s">
        <v>3692</v>
      </c>
      <c r="O1311" s="32" t="s">
        <v>3712</v>
      </c>
      <c r="P1311" s="278"/>
      <c r="Q1311" s="233" t="s">
        <v>3711</v>
      </c>
      <c r="R1311" s="75">
        <v>2962.5</v>
      </c>
      <c r="S1311" s="74">
        <v>0</v>
      </c>
      <c r="T1311" s="75">
        <v>2962.5</v>
      </c>
      <c r="U1311" s="204">
        <v>1207.5</v>
      </c>
      <c r="V1311" s="287">
        <f t="shared" ca="1" si="294"/>
        <v>9</v>
      </c>
      <c r="W1311" s="75">
        <f t="shared" ca="1" si="295"/>
        <v>12477.5</v>
      </c>
      <c r="X1311" s="200">
        <f t="shared" ca="1" si="296"/>
        <v>14232.5</v>
      </c>
      <c r="Y1311" s="1"/>
      <c r="Z1311" s="31">
        <v>0.1</v>
      </c>
      <c r="AA1311" s="223">
        <v>0.09</v>
      </c>
      <c r="AB1311" s="302"/>
      <c r="AC1311" s="302"/>
      <c r="AD1311" s="302"/>
      <c r="AE1311" s="302"/>
      <c r="AF1311">
        <f t="shared" si="297"/>
        <v>0</v>
      </c>
    </row>
    <row r="1312" spans="1:32" hidden="1" x14ac:dyDescent="0.25">
      <c r="A1312" s="322" t="s">
        <v>3713</v>
      </c>
      <c r="B1312" s="93" t="str">
        <f t="shared" si="292"/>
        <v>YES</v>
      </c>
      <c r="C1312" s="93" t="s">
        <v>5503</v>
      </c>
      <c r="D1312" s="4">
        <v>40710</v>
      </c>
      <c r="E1312" s="2">
        <v>40756</v>
      </c>
      <c r="F1312" s="2">
        <f t="shared" si="298"/>
        <v>44409</v>
      </c>
      <c r="G1312" s="6">
        <v>957.28</v>
      </c>
      <c r="H1312" s="3" t="s">
        <v>202</v>
      </c>
      <c r="I1312" s="7" t="s">
        <v>86</v>
      </c>
      <c r="J1312" s="105" t="s">
        <v>6208</v>
      </c>
      <c r="K1312" s="266">
        <f t="shared" si="293"/>
        <v>2021</v>
      </c>
      <c r="L1312" s="416" t="s">
        <v>5572</v>
      </c>
      <c r="M1312" s="301" t="s">
        <v>7537</v>
      </c>
      <c r="N1312" s="32" t="s">
        <v>3692</v>
      </c>
      <c r="O1312" s="32" t="s">
        <v>3715</v>
      </c>
      <c r="P1312" s="278"/>
      <c r="Q1312" s="233" t="s">
        <v>3714</v>
      </c>
      <c r="R1312" s="75">
        <v>3498</v>
      </c>
      <c r="S1312" s="74">
        <v>0</v>
      </c>
      <c r="T1312" s="75">
        <v>3498</v>
      </c>
      <c r="U1312" s="204">
        <v>1437</v>
      </c>
      <c r="V1312" s="287">
        <f t="shared" ca="1" si="294"/>
        <v>9</v>
      </c>
      <c r="W1312" s="75">
        <f t="shared" ca="1" si="295"/>
        <v>14849</v>
      </c>
      <c r="X1312" s="200">
        <f t="shared" ca="1" si="296"/>
        <v>16910</v>
      </c>
      <c r="Y1312" s="1"/>
      <c r="Z1312" s="31">
        <v>0.1</v>
      </c>
      <c r="AA1312" s="223">
        <v>0.09</v>
      </c>
      <c r="AB1312" s="302"/>
      <c r="AC1312" s="302"/>
      <c r="AD1312" s="302"/>
      <c r="AE1312" s="302"/>
      <c r="AF1312">
        <f t="shared" si="297"/>
        <v>0</v>
      </c>
    </row>
    <row r="1313" spans="1:32" hidden="1" x14ac:dyDescent="0.25">
      <c r="A1313" s="322" t="s">
        <v>3716</v>
      </c>
      <c r="B1313" s="93" t="str">
        <f t="shared" ref="B1313:B1344" si="299">IF(COUNTIF(GIS,A1313),"YES","NO")</f>
        <v>YES</v>
      </c>
      <c r="C1313" s="93" t="s">
        <v>5503</v>
      </c>
      <c r="D1313" s="4">
        <v>40710</v>
      </c>
      <c r="E1313" s="2">
        <v>40756</v>
      </c>
      <c r="F1313" s="2">
        <f t="shared" si="298"/>
        <v>44409</v>
      </c>
      <c r="G1313" s="6">
        <v>1278</v>
      </c>
      <c r="H1313" s="3" t="s">
        <v>782</v>
      </c>
      <c r="I1313" s="7" t="s">
        <v>86</v>
      </c>
      <c r="J1313" s="105" t="s">
        <v>6208</v>
      </c>
      <c r="K1313" s="266">
        <f t="shared" ref="K1313:K1344" si="300">YEAR(F1313)</f>
        <v>2021</v>
      </c>
      <c r="L1313" s="416" t="s">
        <v>5572</v>
      </c>
      <c r="M1313" s="301" t="s">
        <v>7537</v>
      </c>
      <c r="N1313" s="32" t="s">
        <v>3692</v>
      </c>
      <c r="O1313" s="32" t="s">
        <v>3718</v>
      </c>
      <c r="P1313" s="278"/>
      <c r="Q1313" s="233" t="s">
        <v>3717</v>
      </c>
      <c r="R1313" s="75">
        <v>4618</v>
      </c>
      <c r="S1313" s="74">
        <v>0</v>
      </c>
      <c r="T1313" s="75">
        <v>4618</v>
      </c>
      <c r="U1313" s="204">
        <v>1917</v>
      </c>
      <c r="V1313" s="287">
        <f t="shared" ref="V1313:V1344" ca="1" si="301">IF(YEAR($W$3)-YEAR(E1313)&gt;9,10,IF(MONTH($W$3)&lt;MONTH(E1313),YEAR($W$3)-YEAR(E1313),YEAR($W$3)-YEAR(E1313)+1))</f>
        <v>9</v>
      </c>
      <c r="W1313" s="75">
        <f t="shared" ref="W1313:W1344" ca="1" si="302">IF(V1313&lt;6, ROUNDUP(G1313,0)*$W$6*V1313, ROUNDUP(G1313,0)*($W$6*5 + (V1313-5)*$W$7))</f>
        <v>19809</v>
      </c>
      <c r="X1313" s="200">
        <f t="shared" ca="1" si="296"/>
        <v>22510</v>
      </c>
      <c r="Y1313" s="1"/>
      <c r="Z1313" s="31">
        <v>0.1</v>
      </c>
      <c r="AA1313" s="223">
        <v>0.09</v>
      </c>
      <c r="AB1313" s="302"/>
      <c r="AC1313" s="302"/>
      <c r="AD1313" s="302"/>
      <c r="AE1313" s="302"/>
      <c r="AF1313">
        <f t="shared" si="297"/>
        <v>0</v>
      </c>
    </row>
    <row r="1314" spans="1:32" hidden="1" x14ac:dyDescent="0.25">
      <c r="A1314" s="322" t="s">
        <v>3719</v>
      </c>
      <c r="B1314" s="93" t="str">
        <f t="shared" si="299"/>
        <v>YES</v>
      </c>
      <c r="C1314" s="93" t="s">
        <v>5503</v>
      </c>
      <c r="D1314" s="4">
        <v>40710</v>
      </c>
      <c r="E1314" s="2">
        <v>40756</v>
      </c>
      <c r="F1314" s="2">
        <f t="shared" si="298"/>
        <v>44409</v>
      </c>
      <c r="G1314" s="6">
        <v>1277.4000000000001</v>
      </c>
      <c r="H1314" s="3" t="s">
        <v>782</v>
      </c>
      <c r="I1314" s="7" t="s">
        <v>86</v>
      </c>
      <c r="J1314" s="105" t="s">
        <v>6208</v>
      </c>
      <c r="K1314" s="266">
        <f t="shared" si="300"/>
        <v>2021</v>
      </c>
      <c r="L1314" s="416" t="s">
        <v>5572</v>
      </c>
      <c r="M1314" s="301" t="s">
        <v>7537</v>
      </c>
      <c r="N1314" s="32" t="s">
        <v>3692</v>
      </c>
      <c r="O1314" s="32" t="s">
        <v>3721</v>
      </c>
      <c r="P1314" s="278"/>
      <c r="Q1314" s="233" t="s">
        <v>3720</v>
      </c>
      <c r="R1314" s="75">
        <v>4618</v>
      </c>
      <c r="S1314" s="74">
        <v>0</v>
      </c>
      <c r="T1314" s="75">
        <v>4618</v>
      </c>
      <c r="U1314" s="204">
        <v>1917</v>
      </c>
      <c r="V1314" s="287">
        <f t="shared" ca="1" si="301"/>
        <v>9</v>
      </c>
      <c r="W1314" s="75">
        <f t="shared" ca="1" si="302"/>
        <v>19809</v>
      </c>
      <c r="X1314" s="200">
        <f t="shared" ca="1" si="296"/>
        <v>22510</v>
      </c>
      <c r="Y1314" s="1"/>
      <c r="Z1314" s="31">
        <v>0.1</v>
      </c>
      <c r="AA1314" s="223">
        <v>0.09</v>
      </c>
      <c r="AB1314" s="302"/>
      <c r="AC1314" s="302"/>
      <c r="AD1314" s="302"/>
      <c r="AE1314" s="302"/>
      <c r="AF1314">
        <f t="shared" si="297"/>
        <v>0</v>
      </c>
    </row>
    <row r="1315" spans="1:32" ht="26.25" hidden="1" customHeight="1" x14ac:dyDescent="0.25">
      <c r="A1315" s="322" t="s">
        <v>3722</v>
      </c>
      <c r="B1315" s="93" t="str">
        <f t="shared" si="299"/>
        <v>YES</v>
      </c>
      <c r="C1315" s="93" t="s">
        <v>5503</v>
      </c>
      <c r="D1315" s="4">
        <v>40710</v>
      </c>
      <c r="E1315" s="2">
        <v>40756</v>
      </c>
      <c r="F1315" s="2">
        <f t="shared" si="298"/>
        <v>44409</v>
      </c>
      <c r="G1315" s="6">
        <v>1324.52</v>
      </c>
      <c r="H1315" s="3" t="s">
        <v>4865</v>
      </c>
      <c r="I1315" s="7" t="s">
        <v>86</v>
      </c>
      <c r="J1315" s="105" t="s">
        <v>6208</v>
      </c>
      <c r="K1315" s="266">
        <f t="shared" si="300"/>
        <v>2021</v>
      </c>
      <c r="L1315" s="416" t="s">
        <v>5572</v>
      </c>
      <c r="M1315" s="301" t="s">
        <v>7537</v>
      </c>
      <c r="N1315" s="32" t="s">
        <v>3692</v>
      </c>
      <c r="O1315" s="32" t="s">
        <v>3724</v>
      </c>
      <c r="P1315" s="278"/>
      <c r="Q1315" s="233" t="s">
        <v>3723</v>
      </c>
      <c r="R1315" s="75">
        <v>4782.5</v>
      </c>
      <c r="S1315" s="74">
        <v>0</v>
      </c>
      <c r="T1315" s="75">
        <v>4782.5</v>
      </c>
      <c r="U1315" s="204">
        <v>1987.5</v>
      </c>
      <c r="V1315" s="287">
        <f t="shared" ca="1" si="301"/>
        <v>9</v>
      </c>
      <c r="W1315" s="75">
        <f t="shared" ca="1" si="302"/>
        <v>20537.5</v>
      </c>
      <c r="X1315" s="200">
        <f t="shared" ca="1" si="296"/>
        <v>23332.5</v>
      </c>
      <c r="Y1315" s="1"/>
      <c r="Z1315" s="31">
        <v>0.1</v>
      </c>
      <c r="AA1315" s="223">
        <v>0.09</v>
      </c>
      <c r="AB1315" s="302"/>
      <c r="AC1315" s="302"/>
      <c r="AD1315" s="302"/>
      <c r="AE1315" s="302"/>
      <c r="AF1315">
        <f t="shared" si="297"/>
        <v>0</v>
      </c>
    </row>
    <row r="1316" spans="1:32" ht="26.25" hidden="1" x14ac:dyDescent="0.25">
      <c r="A1316" s="322" t="s">
        <v>3725</v>
      </c>
      <c r="B1316" s="93" t="str">
        <f t="shared" si="299"/>
        <v>YES</v>
      </c>
      <c r="C1316" s="93" t="s">
        <v>5503</v>
      </c>
      <c r="D1316" s="4">
        <v>40710</v>
      </c>
      <c r="E1316" s="2">
        <v>40756</v>
      </c>
      <c r="F1316" s="2">
        <f t="shared" si="298"/>
        <v>44409</v>
      </c>
      <c r="G1316" s="6">
        <v>1002.97</v>
      </c>
      <c r="H1316" s="3" t="s">
        <v>202</v>
      </c>
      <c r="I1316" s="7" t="s">
        <v>86</v>
      </c>
      <c r="J1316" s="105" t="s">
        <v>6208</v>
      </c>
      <c r="K1316" s="266">
        <f t="shared" si="300"/>
        <v>2021</v>
      </c>
      <c r="L1316" s="416" t="s">
        <v>5572</v>
      </c>
      <c r="M1316" s="301" t="s">
        <v>7537</v>
      </c>
      <c r="N1316" s="32" t="s">
        <v>3692</v>
      </c>
      <c r="O1316" s="32" t="s">
        <v>3727</v>
      </c>
      <c r="P1316" s="278"/>
      <c r="Q1316" s="233" t="s">
        <v>3726</v>
      </c>
      <c r="R1316" s="75">
        <v>3655.5</v>
      </c>
      <c r="S1316" s="74">
        <v>0</v>
      </c>
      <c r="T1316" s="75">
        <v>3655.5</v>
      </c>
      <c r="U1316" s="204">
        <v>1504.5</v>
      </c>
      <c r="V1316" s="287">
        <f t="shared" ca="1" si="301"/>
        <v>9</v>
      </c>
      <c r="W1316" s="75">
        <f t="shared" ca="1" si="302"/>
        <v>15546.5</v>
      </c>
      <c r="X1316" s="200">
        <f t="shared" ca="1" si="296"/>
        <v>17697.5</v>
      </c>
      <c r="Y1316" s="1"/>
      <c r="Z1316" s="31">
        <v>0.1</v>
      </c>
      <c r="AA1316" s="223">
        <v>0.09</v>
      </c>
      <c r="AB1316" s="302"/>
      <c r="AC1316" s="302"/>
      <c r="AD1316" s="302"/>
      <c r="AE1316" s="302"/>
      <c r="AF1316">
        <f t="shared" si="297"/>
        <v>0</v>
      </c>
    </row>
    <row r="1317" spans="1:32" ht="26.25" hidden="1" x14ac:dyDescent="0.25">
      <c r="A1317" s="322" t="s">
        <v>3728</v>
      </c>
      <c r="B1317" s="93" t="str">
        <f t="shared" si="299"/>
        <v>YES</v>
      </c>
      <c r="C1317" s="93" t="s">
        <v>5503</v>
      </c>
      <c r="D1317" s="4">
        <v>40710</v>
      </c>
      <c r="E1317" s="2">
        <v>40756</v>
      </c>
      <c r="F1317" s="2">
        <f t="shared" si="298"/>
        <v>44409</v>
      </c>
      <c r="G1317" s="6">
        <v>834.25</v>
      </c>
      <c r="H1317" s="3" t="s">
        <v>4865</v>
      </c>
      <c r="I1317" s="7" t="s">
        <v>86</v>
      </c>
      <c r="J1317" s="105" t="s">
        <v>6208</v>
      </c>
      <c r="K1317" s="266">
        <f t="shared" si="300"/>
        <v>2021</v>
      </c>
      <c r="L1317" s="416" t="s">
        <v>5572</v>
      </c>
      <c r="M1317" s="301" t="s">
        <v>7537</v>
      </c>
      <c r="N1317" s="32" t="s">
        <v>3692</v>
      </c>
      <c r="O1317" s="32" t="s">
        <v>3730</v>
      </c>
      <c r="P1317" s="278"/>
      <c r="Q1317" s="233" t="s">
        <v>3729</v>
      </c>
      <c r="R1317" s="75">
        <v>3067.5</v>
      </c>
      <c r="S1317" s="74">
        <v>0</v>
      </c>
      <c r="T1317" s="75">
        <v>3067.5</v>
      </c>
      <c r="U1317" s="204">
        <v>1252.5</v>
      </c>
      <c r="V1317" s="287">
        <f t="shared" ca="1" si="301"/>
        <v>9</v>
      </c>
      <c r="W1317" s="75">
        <f t="shared" ca="1" si="302"/>
        <v>12942.5</v>
      </c>
      <c r="X1317" s="200">
        <f t="shared" ca="1" si="296"/>
        <v>14757.5</v>
      </c>
      <c r="Y1317" s="1"/>
      <c r="Z1317" s="31">
        <v>0.1</v>
      </c>
      <c r="AA1317" s="223">
        <v>0.09</v>
      </c>
      <c r="AB1317" s="302"/>
      <c r="AC1317" s="302"/>
      <c r="AD1317" s="302"/>
      <c r="AE1317" s="302"/>
      <c r="AF1317">
        <f t="shared" si="297"/>
        <v>0</v>
      </c>
    </row>
    <row r="1318" spans="1:32" ht="26.25" hidden="1" x14ac:dyDescent="0.25">
      <c r="A1318" s="322" t="s">
        <v>3731</v>
      </c>
      <c r="B1318" s="93" t="str">
        <f t="shared" si="299"/>
        <v>YES</v>
      </c>
      <c r="C1318" s="93" t="s">
        <v>5503</v>
      </c>
      <c r="D1318" s="4">
        <v>40710</v>
      </c>
      <c r="E1318" s="2">
        <v>40756</v>
      </c>
      <c r="F1318" s="2">
        <f t="shared" si="298"/>
        <v>44409</v>
      </c>
      <c r="G1318" s="6">
        <v>1101.6500000000001</v>
      </c>
      <c r="H1318" s="3" t="s">
        <v>782</v>
      </c>
      <c r="I1318" s="7" t="s">
        <v>86</v>
      </c>
      <c r="J1318" s="105" t="s">
        <v>6208</v>
      </c>
      <c r="K1318" s="266">
        <f t="shared" si="300"/>
        <v>2021</v>
      </c>
      <c r="L1318" s="416" t="s">
        <v>5572</v>
      </c>
      <c r="M1318" s="301" t="s">
        <v>7537</v>
      </c>
      <c r="N1318" s="32" t="s">
        <v>3692</v>
      </c>
      <c r="O1318" s="32" t="s">
        <v>3733</v>
      </c>
      <c r="P1318" s="278"/>
      <c r="Q1318" s="233" t="s">
        <v>3732</v>
      </c>
      <c r="R1318" s="75">
        <v>4002</v>
      </c>
      <c r="S1318" s="74">
        <v>0</v>
      </c>
      <c r="T1318" s="75">
        <v>4002</v>
      </c>
      <c r="U1318" s="204">
        <v>1653</v>
      </c>
      <c r="V1318" s="287">
        <f t="shared" ca="1" si="301"/>
        <v>9</v>
      </c>
      <c r="W1318" s="75">
        <f t="shared" ca="1" si="302"/>
        <v>17081</v>
      </c>
      <c r="X1318" s="200">
        <f t="shared" ca="1" si="296"/>
        <v>19430</v>
      </c>
      <c r="Y1318" s="1"/>
      <c r="Z1318" s="31">
        <v>0.1</v>
      </c>
      <c r="AA1318" s="223">
        <v>0.09</v>
      </c>
      <c r="AB1318" s="302"/>
      <c r="AC1318" s="302"/>
      <c r="AD1318" s="302"/>
      <c r="AE1318" s="302"/>
      <c r="AF1318">
        <f t="shared" si="297"/>
        <v>0</v>
      </c>
    </row>
    <row r="1319" spans="1:32" hidden="1" x14ac:dyDescent="0.25">
      <c r="A1319" s="322" t="s">
        <v>3734</v>
      </c>
      <c r="B1319" s="93" t="str">
        <f t="shared" si="299"/>
        <v>YES</v>
      </c>
      <c r="C1319" s="93" t="s">
        <v>5503</v>
      </c>
      <c r="D1319" s="4">
        <v>40710</v>
      </c>
      <c r="E1319" s="2">
        <v>40756</v>
      </c>
      <c r="F1319" s="2">
        <f t="shared" si="298"/>
        <v>44409</v>
      </c>
      <c r="G1319" s="6">
        <v>635.04999999999995</v>
      </c>
      <c r="H1319" s="3" t="s">
        <v>782</v>
      </c>
      <c r="I1319" s="7" t="s">
        <v>86</v>
      </c>
      <c r="J1319" s="105" t="s">
        <v>6208</v>
      </c>
      <c r="K1319" s="266">
        <f t="shared" si="300"/>
        <v>2021</v>
      </c>
      <c r="L1319" s="416" t="s">
        <v>5572</v>
      </c>
      <c r="M1319" s="301" t="s">
        <v>7537</v>
      </c>
      <c r="N1319" s="32" t="s">
        <v>3692</v>
      </c>
      <c r="O1319" s="32" t="s">
        <v>3736</v>
      </c>
      <c r="P1319" s="278"/>
      <c r="Q1319" s="233" t="s">
        <v>3735</v>
      </c>
      <c r="R1319" s="75">
        <v>2371</v>
      </c>
      <c r="S1319" s="74">
        <v>0</v>
      </c>
      <c r="T1319" s="75">
        <v>2371</v>
      </c>
      <c r="U1319" s="204">
        <v>954</v>
      </c>
      <c r="V1319" s="287">
        <f t="shared" ca="1" si="301"/>
        <v>9</v>
      </c>
      <c r="W1319" s="75">
        <f t="shared" ca="1" si="302"/>
        <v>9858</v>
      </c>
      <c r="X1319" s="200">
        <f t="shared" ca="1" si="296"/>
        <v>11275</v>
      </c>
      <c r="Y1319" s="1"/>
      <c r="Z1319" s="31">
        <v>0.1</v>
      </c>
      <c r="AA1319" s="223">
        <v>0.09</v>
      </c>
      <c r="AB1319" s="302"/>
      <c r="AC1319" s="302"/>
      <c r="AD1319" s="302"/>
      <c r="AE1319" s="302"/>
      <c r="AF1319">
        <f t="shared" si="297"/>
        <v>0</v>
      </c>
    </row>
    <row r="1320" spans="1:32" hidden="1" x14ac:dyDescent="0.25">
      <c r="A1320" s="322" t="s">
        <v>3737</v>
      </c>
      <c r="B1320" s="93" t="str">
        <f t="shared" si="299"/>
        <v>YES</v>
      </c>
      <c r="C1320" s="93" t="s">
        <v>5503</v>
      </c>
      <c r="D1320" s="4">
        <v>40710</v>
      </c>
      <c r="E1320" s="2">
        <v>40756</v>
      </c>
      <c r="F1320" s="2">
        <f t="shared" si="298"/>
        <v>44409</v>
      </c>
      <c r="G1320" s="6">
        <v>993.08</v>
      </c>
      <c r="H1320" s="3" t="s">
        <v>202</v>
      </c>
      <c r="I1320" s="7" t="s">
        <v>86</v>
      </c>
      <c r="J1320" s="105" t="s">
        <v>6208</v>
      </c>
      <c r="K1320" s="266">
        <f t="shared" si="300"/>
        <v>2021</v>
      </c>
      <c r="L1320" s="416" t="s">
        <v>5572</v>
      </c>
      <c r="M1320" s="301" t="s">
        <v>7537</v>
      </c>
      <c r="N1320" s="32" t="s">
        <v>3692</v>
      </c>
      <c r="O1320" s="32" t="s">
        <v>3739</v>
      </c>
      <c r="P1320" s="278"/>
      <c r="Q1320" s="233" t="s">
        <v>3738</v>
      </c>
      <c r="R1320" s="75">
        <v>3624</v>
      </c>
      <c r="S1320" s="74">
        <v>0</v>
      </c>
      <c r="T1320" s="75">
        <v>3624</v>
      </c>
      <c r="U1320" s="204">
        <v>1491</v>
      </c>
      <c r="V1320" s="287">
        <f t="shared" ca="1" si="301"/>
        <v>9</v>
      </c>
      <c r="W1320" s="75">
        <f t="shared" ca="1" si="302"/>
        <v>15407</v>
      </c>
      <c r="X1320" s="200">
        <f t="shared" ca="1" si="296"/>
        <v>17540</v>
      </c>
      <c r="Y1320" s="1"/>
      <c r="Z1320" s="31">
        <v>0.1</v>
      </c>
      <c r="AA1320" s="223">
        <v>0.09</v>
      </c>
      <c r="AB1320" s="302"/>
      <c r="AC1320" s="302"/>
      <c r="AD1320" s="302"/>
      <c r="AE1320" s="302"/>
      <c r="AF1320">
        <f t="shared" si="297"/>
        <v>0</v>
      </c>
    </row>
    <row r="1321" spans="1:32" ht="26.25" hidden="1" x14ac:dyDescent="0.25">
      <c r="A1321" s="322" t="s">
        <v>3740</v>
      </c>
      <c r="B1321" s="93" t="str">
        <f t="shared" si="299"/>
        <v>YES</v>
      </c>
      <c r="C1321" s="93" t="s">
        <v>5503</v>
      </c>
      <c r="D1321" s="4">
        <v>40710</v>
      </c>
      <c r="E1321" s="2">
        <v>40756</v>
      </c>
      <c r="F1321" s="2">
        <f t="shared" si="298"/>
        <v>44409</v>
      </c>
      <c r="G1321" s="6">
        <v>754.27</v>
      </c>
      <c r="H1321" s="3" t="s">
        <v>332</v>
      </c>
      <c r="I1321" s="7" t="s">
        <v>86</v>
      </c>
      <c r="J1321" s="186"/>
      <c r="K1321" s="266">
        <f t="shared" si="300"/>
        <v>2021</v>
      </c>
      <c r="L1321" s="301" t="s">
        <v>5793</v>
      </c>
      <c r="M1321" s="301" t="s">
        <v>5835</v>
      </c>
      <c r="N1321" s="32" t="s">
        <v>7785</v>
      </c>
      <c r="O1321" s="32" t="s">
        <v>3742</v>
      </c>
      <c r="P1321" s="278"/>
      <c r="Q1321" s="233" t="s">
        <v>3741</v>
      </c>
      <c r="R1321" s="75">
        <v>2787.5</v>
      </c>
      <c r="S1321" s="75">
        <v>41525</v>
      </c>
      <c r="T1321" s="75">
        <v>44312.5</v>
      </c>
      <c r="U1321" s="204">
        <v>1132.5</v>
      </c>
      <c r="V1321" s="287">
        <f t="shared" ca="1" si="301"/>
        <v>9</v>
      </c>
      <c r="W1321" s="75">
        <f t="shared" ca="1" si="302"/>
        <v>11702.5</v>
      </c>
      <c r="X1321" s="200">
        <f t="shared" ca="1" si="296"/>
        <v>54882.5</v>
      </c>
      <c r="Y1321" s="1"/>
      <c r="Z1321" s="31">
        <v>0.1</v>
      </c>
      <c r="AA1321" s="223">
        <v>0.09</v>
      </c>
      <c r="AB1321" s="302" t="s">
        <v>7054</v>
      </c>
      <c r="AC1321" s="302"/>
      <c r="AD1321" s="302"/>
      <c r="AE1321" s="302"/>
      <c r="AF1321">
        <f t="shared" si="297"/>
        <v>0</v>
      </c>
    </row>
    <row r="1322" spans="1:32" hidden="1" x14ac:dyDescent="0.25">
      <c r="A1322" s="322" t="s">
        <v>3743</v>
      </c>
      <c r="B1322" s="93" t="str">
        <f t="shared" si="299"/>
        <v>YES</v>
      </c>
      <c r="C1322" s="93" t="s">
        <v>5503</v>
      </c>
      <c r="D1322" s="4">
        <v>40710</v>
      </c>
      <c r="E1322" s="2">
        <v>40756</v>
      </c>
      <c r="F1322" s="2">
        <f t="shared" si="298"/>
        <v>44409</v>
      </c>
      <c r="G1322" s="6">
        <v>395.33</v>
      </c>
      <c r="H1322" s="3" t="s">
        <v>332</v>
      </c>
      <c r="I1322" s="7" t="s">
        <v>86</v>
      </c>
      <c r="J1322" s="186"/>
      <c r="K1322" s="266">
        <f t="shared" si="300"/>
        <v>2021</v>
      </c>
      <c r="L1322" s="301" t="s">
        <v>5793</v>
      </c>
      <c r="M1322" s="301" t="s">
        <v>6133</v>
      </c>
      <c r="N1322" s="32" t="s">
        <v>7785</v>
      </c>
      <c r="O1322" s="32" t="s">
        <v>3672</v>
      </c>
      <c r="P1322" s="278"/>
      <c r="Q1322" s="233" t="s">
        <v>3744</v>
      </c>
      <c r="R1322" s="75">
        <v>1531</v>
      </c>
      <c r="S1322" s="75">
        <v>22176</v>
      </c>
      <c r="T1322" s="75">
        <v>23707</v>
      </c>
      <c r="U1322" s="204">
        <v>594</v>
      </c>
      <c r="V1322" s="287">
        <f t="shared" ca="1" si="301"/>
        <v>9</v>
      </c>
      <c r="W1322" s="75">
        <f t="shared" ca="1" si="302"/>
        <v>6138</v>
      </c>
      <c r="X1322" s="200">
        <f t="shared" ca="1" si="296"/>
        <v>29251</v>
      </c>
      <c r="Y1322" s="1"/>
      <c r="Z1322" s="31">
        <v>0.1</v>
      </c>
      <c r="AA1322" s="223">
        <v>0.09</v>
      </c>
      <c r="AB1322" s="302" t="s">
        <v>7055</v>
      </c>
      <c r="AC1322" s="302"/>
      <c r="AD1322" s="302"/>
      <c r="AE1322" s="302"/>
      <c r="AF1322">
        <f t="shared" si="297"/>
        <v>0</v>
      </c>
    </row>
    <row r="1323" spans="1:32" hidden="1" x14ac:dyDescent="0.25">
      <c r="A1323" s="322" t="s">
        <v>3745</v>
      </c>
      <c r="B1323" s="93" t="str">
        <f t="shared" si="299"/>
        <v>YES</v>
      </c>
      <c r="C1323" s="93" t="s">
        <v>5503</v>
      </c>
      <c r="D1323" s="4">
        <v>40710</v>
      </c>
      <c r="E1323" s="2">
        <v>40756</v>
      </c>
      <c r="F1323" s="2">
        <f t="shared" si="298"/>
        <v>44409</v>
      </c>
      <c r="G1323" s="6">
        <v>76.900000000000006</v>
      </c>
      <c r="H1323" s="3" t="s">
        <v>453</v>
      </c>
      <c r="I1323" s="7" t="s">
        <v>86</v>
      </c>
      <c r="J1323" s="186"/>
      <c r="K1323" s="266">
        <f t="shared" si="300"/>
        <v>2021</v>
      </c>
      <c r="L1323" s="301" t="s">
        <v>5519</v>
      </c>
      <c r="M1323" s="301" t="s">
        <v>5683</v>
      </c>
      <c r="N1323" s="32" t="s">
        <v>7785</v>
      </c>
      <c r="O1323" s="32" t="s">
        <v>3747</v>
      </c>
      <c r="P1323" s="278"/>
      <c r="Q1323" s="233" t="s">
        <v>3746</v>
      </c>
      <c r="R1323" s="75">
        <v>414.5</v>
      </c>
      <c r="S1323" s="74">
        <v>0</v>
      </c>
      <c r="T1323" s="75">
        <v>414.5</v>
      </c>
      <c r="U1323" s="204">
        <v>115.5</v>
      </c>
      <c r="V1323" s="287">
        <f t="shared" ca="1" si="301"/>
        <v>9</v>
      </c>
      <c r="W1323" s="75">
        <f t="shared" ca="1" si="302"/>
        <v>1193.5</v>
      </c>
      <c r="X1323" s="200">
        <f t="shared" ca="1" si="296"/>
        <v>1492.5</v>
      </c>
      <c r="Y1323" s="1"/>
      <c r="Z1323" s="31">
        <v>0.1</v>
      </c>
      <c r="AA1323" s="223">
        <v>0.09</v>
      </c>
      <c r="AB1323" s="302" t="s">
        <v>7056</v>
      </c>
      <c r="AC1323" s="302"/>
      <c r="AD1323" s="302"/>
      <c r="AE1323" s="302"/>
      <c r="AF1323">
        <f t="shared" si="297"/>
        <v>0</v>
      </c>
    </row>
    <row r="1324" spans="1:32" ht="25.5" hidden="1" x14ac:dyDescent="0.25">
      <c r="A1324" s="322" t="s">
        <v>3748</v>
      </c>
      <c r="B1324" s="93" t="str">
        <f t="shared" si="299"/>
        <v>YES</v>
      </c>
      <c r="C1324" s="93" t="s">
        <v>5503</v>
      </c>
      <c r="D1324" s="4">
        <v>40710</v>
      </c>
      <c r="E1324" s="2">
        <v>40756</v>
      </c>
      <c r="F1324" s="2">
        <f t="shared" si="298"/>
        <v>44409</v>
      </c>
      <c r="G1324" s="6">
        <v>105.85</v>
      </c>
      <c r="H1324" s="3" t="s">
        <v>3750</v>
      </c>
      <c r="I1324" s="7" t="s">
        <v>86</v>
      </c>
      <c r="J1324" s="186"/>
      <c r="K1324" s="266">
        <f t="shared" si="300"/>
        <v>2021</v>
      </c>
      <c r="L1324" s="301" t="s">
        <v>5519</v>
      </c>
      <c r="M1324" s="301" t="s">
        <v>5683</v>
      </c>
      <c r="N1324" s="32" t="s">
        <v>7785</v>
      </c>
      <c r="O1324" s="32" t="s">
        <v>3751</v>
      </c>
      <c r="P1324" s="278"/>
      <c r="Q1324" s="233" t="s">
        <v>3749</v>
      </c>
      <c r="R1324" s="75">
        <v>516</v>
      </c>
      <c r="S1324" s="74">
        <v>0</v>
      </c>
      <c r="T1324" s="75">
        <v>516</v>
      </c>
      <c r="U1324" s="204">
        <v>159</v>
      </c>
      <c r="V1324" s="287">
        <f t="shared" ca="1" si="301"/>
        <v>9</v>
      </c>
      <c r="W1324" s="75">
        <f t="shared" ca="1" si="302"/>
        <v>1643</v>
      </c>
      <c r="X1324" s="200">
        <f t="shared" ca="1" si="296"/>
        <v>2000</v>
      </c>
      <c r="Y1324" s="1"/>
      <c r="Z1324" s="31">
        <v>0.1</v>
      </c>
      <c r="AA1324" s="223">
        <v>0.09</v>
      </c>
      <c r="AB1324" s="302" t="s">
        <v>7057</v>
      </c>
      <c r="AC1324" s="308">
        <v>43539</v>
      </c>
      <c r="AD1324" s="309">
        <v>0.25</v>
      </c>
      <c r="AE1324" s="302" t="s">
        <v>7516</v>
      </c>
      <c r="AF1324">
        <f t="shared" si="297"/>
        <v>0</v>
      </c>
    </row>
    <row r="1325" spans="1:32" ht="25.5" hidden="1" x14ac:dyDescent="0.25">
      <c r="A1325" s="322" t="s">
        <v>3752</v>
      </c>
      <c r="B1325" s="93" t="str">
        <f t="shared" si="299"/>
        <v>YES</v>
      </c>
      <c r="C1325" s="93" t="s">
        <v>5503</v>
      </c>
      <c r="D1325" s="4">
        <v>40710</v>
      </c>
      <c r="E1325" s="2">
        <v>40756</v>
      </c>
      <c r="F1325" s="2">
        <f t="shared" si="298"/>
        <v>44409</v>
      </c>
      <c r="G1325" s="6">
        <v>671.46</v>
      </c>
      <c r="H1325" s="3" t="s">
        <v>3750</v>
      </c>
      <c r="I1325" s="7" t="s">
        <v>86</v>
      </c>
      <c r="J1325" s="186"/>
      <c r="K1325" s="266">
        <f t="shared" si="300"/>
        <v>2021</v>
      </c>
      <c r="L1325" s="301" t="s">
        <v>5519</v>
      </c>
      <c r="M1325" s="301" t="s">
        <v>5683</v>
      </c>
      <c r="N1325" s="32" t="s">
        <v>7785</v>
      </c>
      <c r="O1325" s="32" t="s">
        <v>3754</v>
      </c>
      <c r="P1325" s="278"/>
      <c r="Q1325" s="233" t="s">
        <v>3753</v>
      </c>
      <c r="R1325" s="75">
        <v>2497</v>
      </c>
      <c r="S1325" s="75">
        <v>8736</v>
      </c>
      <c r="T1325" s="75">
        <v>11233</v>
      </c>
      <c r="U1325" s="204">
        <v>1008</v>
      </c>
      <c r="V1325" s="287">
        <f t="shared" ca="1" si="301"/>
        <v>9</v>
      </c>
      <c r="W1325" s="75">
        <f t="shared" ca="1" si="302"/>
        <v>10416</v>
      </c>
      <c r="X1325" s="200">
        <f t="shared" ca="1" si="296"/>
        <v>20641</v>
      </c>
      <c r="Y1325" s="1"/>
      <c r="Z1325" s="31">
        <v>0.1</v>
      </c>
      <c r="AA1325" s="223">
        <v>0.09</v>
      </c>
      <c r="AB1325" s="302" t="s">
        <v>7058</v>
      </c>
      <c r="AC1325" s="308">
        <v>43539</v>
      </c>
      <c r="AD1325" s="309">
        <v>0.25</v>
      </c>
      <c r="AE1325" s="302" t="s">
        <v>7516</v>
      </c>
      <c r="AF1325">
        <f t="shared" si="297"/>
        <v>0</v>
      </c>
    </row>
    <row r="1326" spans="1:32" ht="25.5" hidden="1" x14ac:dyDescent="0.25">
      <c r="A1326" s="322" t="s">
        <v>3755</v>
      </c>
      <c r="B1326" s="93" t="str">
        <f t="shared" si="299"/>
        <v>YES</v>
      </c>
      <c r="C1326" s="93" t="s">
        <v>5503</v>
      </c>
      <c r="D1326" s="4">
        <v>40710</v>
      </c>
      <c r="E1326" s="2">
        <v>40756</v>
      </c>
      <c r="F1326" s="2">
        <f t="shared" si="298"/>
        <v>44409</v>
      </c>
      <c r="G1326" s="6">
        <v>34.85</v>
      </c>
      <c r="H1326" s="3" t="s">
        <v>3750</v>
      </c>
      <c r="I1326" s="7" t="s">
        <v>86</v>
      </c>
      <c r="J1326" s="186"/>
      <c r="K1326" s="266">
        <f t="shared" si="300"/>
        <v>2021</v>
      </c>
      <c r="L1326" s="301" t="s">
        <v>5519</v>
      </c>
      <c r="M1326" s="301" t="s">
        <v>5683</v>
      </c>
      <c r="N1326" s="32" t="s">
        <v>7785</v>
      </c>
      <c r="O1326" s="32" t="s">
        <v>3757</v>
      </c>
      <c r="P1326" s="278"/>
      <c r="Q1326" s="233" t="s">
        <v>3756</v>
      </c>
      <c r="R1326" s="75">
        <v>267.5</v>
      </c>
      <c r="S1326" s="75">
        <v>280</v>
      </c>
      <c r="T1326" s="75">
        <v>547.5</v>
      </c>
      <c r="U1326" s="204">
        <v>52.5</v>
      </c>
      <c r="V1326" s="287">
        <f t="shared" ca="1" si="301"/>
        <v>9</v>
      </c>
      <c r="W1326" s="75">
        <f t="shared" ca="1" si="302"/>
        <v>542.5</v>
      </c>
      <c r="X1326" s="200">
        <f t="shared" ca="1" si="296"/>
        <v>1037.5</v>
      </c>
      <c r="Y1326" s="1"/>
      <c r="Z1326" s="31">
        <v>0.1</v>
      </c>
      <c r="AA1326" s="223">
        <v>0.09</v>
      </c>
      <c r="AB1326" s="302" t="s">
        <v>7059</v>
      </c>
      <c r="AC1326" s="308">
        <v>43539</v>
      </c>
      <c r="AD1326" s="309">
        <v>0.25</v>
      </c>
      <c r="AE1326" s="302" t="s">
        <v>7516</v>
      </c>
      <c r="AF1326">
        <f t="shared" si="297"/>
        <v>0</v>
      </c>
    </row>
    <row r="1327" spans="1:32" ht="51.75" hidden="1" x14ac:dyDescent="0.25">
      <c r="A1327" s="322" t="s">
        <v>3758</v>
      </c>
      <c r="B1327" s="93" t="str">
        <f t="shared" si="299"/>
        <v>YES</v>
      </c>
      <c r="C1327" s="93" t="s">
        <v>5503</v>
      </c>
      <c r="D1327" s="4">
        <v>40710</v>
      </c>
      <c r="E1327" s="2">
        <v>40756</v>
      </c>
      <c r="F1327" s="2">
        <f t="shared" si="298"/>
        <v>44409</v>
      </c>
      <c r="G1327" s="6">
        <v>991.78</v>
      </c>
      <c r="H1327" s="3" t="s">
        <v>332</v>
      </c>
      <c r="I1327" s="7" t="s">
        <v>86</v>
      </c>
      <c r="J1327" s="109" t="s">
        <v>7855</v>
      </c>
      <c r="K1327" s="266">
        <f t="shared" si="300"/>
        <v>2021</v>
      </c>
      <c r="L1327" s="301" t="s">
        <v>5519</v>
      </c>
      <c r="M1327" s="417" t="s">
        <v>5835</v>
      </c>
      <c r="N1327" s="32" t="s">
        <v>7785</v>
      </c>
      <c r="O1327" s="32" t="s">
        <v>3672</v>
      </c>
      <c r="P1327" s="278"/>
      <c r="Q1327" s="233" t="s">
        <v>3759</v>
      </c>
      <c r="R1327" s="75">
        <v>3617</v>
      </c>
      <c r="S1327" s="75">
        <v>5952</v>
      </c>
      <c r="T1327" s="75">
        <v>9569</v>
      </c>
      <c r="U1327" s="204">
        <v>1488</v>
      </c>
      <c r="V1327" s="287">
        <f t="shared" ca="1" si="301"/>
        <v>9</v>
      </c>
      <c r="W1327" s="75">
        <f t="shared" ca="1" si="302"/>
        <v>15376</v>
      </c>
      <c r="X1327" s="200">
        <f t="shared" ca="1" si="296"/>
        <v>23457</v>
      </c>
      <c r="Y1327" s="1"/>
      <c r="Z1327" s="31">
        <v>0.1</v>
      </c>
      <c r="AA1327" s="223">
        <v>0.09</v>
      </c>
      <c r="AB1327" s="302" t="s">
        <v>7060</v>
      </c>
      <c r="AC1327" s="302"/>
      <c r="AD1327" s="302"/>
      <c r="AE1327" s="302"/>
      <c r="AF1327">
        <f t="shared" si="297"/>
        <v>0</v>
      </c>
    </row>
    <row r="1328" spans="1:32" ht="26.25" hidden="1" x14ac:dyDescent="0.25">
      <c r="A1328" s="322" t="s">
        <v>3760</v>
      </c>
      <c r="B1328" s="93" t="str">
        <f t="shared" si="299"/>
        <v>YES</v>
      </c>
      <c r="C1328" s="93" t="s">
        <v>5503</v>
      </c>
      <c r="D1328" s="4">
        <v>40710</v>
      </c>
      <c r="E1328" s="2">
        <v>40756</v>
      </c>
      <c r="F1328" s="2">
        <f t="shared" si="298"/>
        <v>44409</v>
      </c>
      <c r="G1328" s="6">
        <v>20.73</v>
      </c>
      <c r="H1328" s="3" t="s">
        <v>332</v>
      </c>
      <c r="I1328" s="7" t="s">
        <v>86</v>
      </c>
      <c r="J1328" s="109" t="s">
        <v>1097</v>
      </c>
      <c r="K1328" s="266">
        <f t="shared" si="300"/>
        <v>2021</v>
      </c>
      <c r="L1328" s="301" t="s">
        <v>5519</v>
      </c>
      <c r="M1328" s="417" t="s">
        <v>5835</v>
      </c>
      <c r="N1328" s="32" t="s">
        <v>7785</v>
      </c>
      <c r="O1328" s="32" t="s">
        <v>3762</v>
      </c>
      <c r="P1328" s="278"/>
      <c r="Q1328" s="233" t="s">
        <v>3761</v>
      </c>
      <c r="R1328" s="75">
        <v>218.5</v>
      </c>
      <c r="S1328" s="75">
        <v>105</v>
      </c>
      <c r="T1328" s="75">
        <v>323.5</v>
      </c>
      <c r="U1328" s="204">
        <v>31.5</v>
      </c>
      <c r="V1328" s="287">
        <f t="shared" ca="1" si="301"/>
        <v>9</v>
      </c>
      <c r="W1328" s="75">
        <f t="shared" ca="1" si="302"/>
        <v>325.5</v>
      </c>
      <c r="X1328" s="200">
        <f t="shared" ca="1" si="296"/>
        <v>617.5</v>
      </c>
      <c r="Y1328" s="1"/>
      <c r="Z1328" s="31">
        <v>0.1</v>
      </c>
      <c r="AA1328" s="223">
        <v>0.09</v>
      </c>
      <c r="AB1328" s="302" t="s">
        <v>7061</v>
      </c>
      <c r="AC1328" s="302"/>
      <c r="AD1328" s="302"/>
      <c r="AE1328" s="302"/>
      <c r="AF1328">
        <f t="shared" si="297"/>
        <v>0</v>
      </c>
    </row>
    <row r="1329" spans="1:32" ht="51.75" hidden="1" x14ac:dyDescent="0.25">
      <c r="A1329" s="322" t="s">
        <v>3763</v>
      </c>
      <c r="B1329" s="93" t="str">
        <f t="shared" si="299"/>
        <v>YES</v>
      </c>
      <c r="C1329" s="93" t="s">
        <v>5503</v>
      </c>
      <c r="D1329" s="4">
        <v>40710</v>
      </c>
      <c r="E1329" s="2">
        <v>40756</v>
      </c>
      <c r="F1329" s="2">
        <f t="shared" si="298"/>
        <v>44409</v>
      </c>
      <c r="G1329" s="6">
        <v>39.78</v>
      </c>
      <c r="H1329" s="3" t="s">
        <v>332</v>
      </c>
      <c r="I1329" s="7" t="s">
        <v>86</v>
      </c>
      <c r="J1329" s="109" t="s">
        <v>7855</v>
      </c>
      <c r="K1329" s="266">
        <f t="shared" si="300"/>
        <v>2021</v>
      </c>
      <c r="L1329" s="301" t="s">
        <v>5519</v>
      </c>
      <c r="M1329" s="417" t="s">
        <v>5835</v>
      </c>
      <c r="N1329" s="32" t="s">
        <v>7785</v>
      </c>
      <c r="O1329" s="32" t="s">
        <v>3765</v>
      </c>
      <c r="P1329" s="278"/>
      <c r="Q1329" s="233" t="s">
        <v>3764</v>
      </c>
      <c r="R1329" s="75">
        <v>285</v>
      </c>
      <c r="S1329" s="75">
        <v>240</v>
      </c>
      <c r="T1329" s="75">
        <v>525</v>
      </c>
      <c r="U1329" s="204">
        <v>60</v>
      </c>
      <c r="V1329" s="287">
        <f t="shared" ca="1" si="301"/>
        <v>9</v>
      </c>
      <c r="W1329" s="75">
        <f t="shared" ca="1" si="302"/>
        <v>620</v>
      </c>
      <c r="X1329" s="200">
        <f t="shared" ca="1" si="296"/>
        <v>1085</v>
      </c>
      <c r="Y1329" s="1"/>
      <c r="Z1329" s="31">
        <v>0.1</v>
      </c>
      <c r="AA1329" s="223">
        <v>0.09</v>
      </c>
      <c r="AB1329" s="302" t="s">
        <v>7062</v>
      </c>
      <c r="AC1329" s="302"/>
      <c r="AD1329" s="302"/>
      <c r="AE1329" s="302"/>
      <c r="AF1329">
        <f t="shared" si="297"/>
        <v>0</v>
      </c>
    </row>
    <row r="1330" spans="1:32" ht="51.75" hidden="1" x14ac:dyDescent="0.25">
      <c r="A1330" s="322" t="s">
        <v>3766</v>
      </c>
      <c r="B1330" s="93" t="str">
        <f t="shared" si="299"/>
        <v>YES</v>
      </c>
      <c r="C1330" s="93" t="s">
        <v>5503</v>
      </c>
      <c r="D1330" s="4">
        <v>40710</v>
      </c>
      <c r="E1330" s="2">
        <v>40756</v>
      </c>
      <c r="F1330" s="2">
        <f t="shared" si="298"/>
        <v>44409</v>
      </c>
      <c r="G1330" s="6">
        <v>1212.3599999999999</v>
      </c>
      <c r="H1330" s="3" t="s">
        <v>332</v>
      </c>
      <c r="I1330" s="7" t="s">
        <v>86</v>
      </c>
      <c r="J1330" s="109" t="s">
        <v>7855</v>
      </c>
      <c r="K1330" s="266">
        <f t="shared" si="300"/>
        <v>2021</v>
      </c>
      <c r="L1330" s="301" t="s">
        <v>5519</v>
      </c>
      <c r="M1330" s="417" t="s">
        <v>6133</v>
      </c>
      <c r="N1330" s="32" t="s">
        <v>7785</v>
      </c>
      <c r="O1330" s="32" t="s">
        <v>3768</v>
      </c>
      <c r="P1330" s="278"/>
      <c r="Q1330" s="233" t="s">
        <v>3767</v>
      </c>
      <c r="R1330" s="75">
        <v>4390.5</v>
      </c>
      <c r="S1330" s="75">
        <v>7278</v>
      </c>
      <c r="T1330" s="75">
        <v>11668.5</v>
      </c>
      <c r="U1330" s="204">
        <v>1819.5</v>
      </c>
      <c r="V1330" s="287">
        <f t="shared" ca="1" si="301"/>
        <v>9</v>
      </c>
      <c r="W1330" s="75">
        <f t="shared" ca="1" si="302"/>
        <v>18801.5</v>
      </c>
      <c r="X1330" s="200">
        <f t="shared" ca="1" si="296"/>
        <v>28650.5</v>
      </c>
      <c r="Y1330" s="1"/>
      <c r="Z1330" s="31">
        <v>0.1</v>
      </c>
      <c r="AA1330" s="223">
        <v>0.09</v>
      </c>
      <c r="AB1330" s="302" t="s">
        <v>7063</v>
      </c>
      <c r="AC1330" s="302"/>
      <c r="AD1330" s="302"/>
      <c r="AE1330" s="302"/>
      <c r="AF1330">
        <f t="shared" si="297"/>
        <v>0</v>
      </c>
    </row>
    <row r="1331" spans="1:32" ht="51.75" hidden="1" x14ac:dyDescent="0.25">
      <c r="A1331" s="322" t="s">
        <v>3769</v>
      </c>
      <c r="B1331" s="93" t="str">
        <f t="shared" si="299"/>
        <v>YES</v>
      </c>
      <c r="C1331" s="93" t="s">
        <v>5503</v>
      </c>
      <c r="D1331" s="4">
        <v>40710</v>
      </c>
      <c r="E1331" s="2">
        <v>40756</v>
      </c>
      <c r="F1331" s="2">
        <f t="shared" si="298"/>
        <v>44409</v>
      </c>
      <c r="G1331" s="6">
        <v>1157.5899999999999</v>
      </c>
      <c r="H1331" s="3" t="s">
        <v>332</v>
      </c>
      <c r="I1331" s="7" t="s">
        <v>86</v>
      </c>
      <c r="J1331" s="109" t="s">
        <v>7855</v>
      </c>
      <c r="K1331" s="266">
        <f t="shared" si="300"/>
        <v>2021</v>
      </c>
      <c r="L1331" s="301" t="s">
        <v>5519</v>
      </c>
      <c r="M1331" s="417" t="s">
        <v>6133</v>
      </c>
      <c r="N1331" s="32" t="s">
        <v>7785</v>
      </c>
      <c r="O1331" s="32" t="s">
        <v>3771</v>
      </c>
      <c r="P1331" s="278"/>
      <c r="Q1331" s="233" t="s">
        <v>3770</v>
      </c>
      <c r="R1331" s="75">
        <v>4198</v>
      </c>
      <c r="S1331" s="75">
        <v>32424</v>
      </c>
      <c r="T1331" s="75">
        <v>36622</v>
      </c>
      <c r="U1331" s="204">
        <v>1737</v>
      </c>
      <c r="V1331" s="287">
        <f t="shared" ca="1" si="301"/>
        <v>9</v>
      </c>
      <c r="W1331" s="75">
        <f t="shared" ca="1" si="302"/>
        <v>17949</v>
      </c>
      <c r="X1331" s="200">
        <f t="shared" ca="1" si="296"/>
        <v>52834</v>
      </c>
      <c r="Y1331" s="1"/>
      <c r="Z1331" s="31">
        <v>0.1</v>
      </c>
      <c r="AA1331" s="223">
        <v>0.09</v>
      </c>
      <c r="AB1331" s="302" t="s">
        <v>7064</v>
      </c>
      <c r="AC1331" s="302"/>
      <c r="AD1331" s="302"/>
      <c r="AE1331" s="302"/>
      <c r="AF1331">
        <f t="shared" si="297"/>
        <v>0</v>
      </c>
    </row>
    <row r="1332" spans="1:32" ht="51.75" hidden="1" x14ac:dyDescent="0.25">
      <c r="A1332" s="322" t="s">
        <v>3772</v>
      </c>
      <c r="B1332" s="93" t="str">
        <f t="shared" si="299"/>
        <v>YES</v>
      </c>
      <c r="C1332" s="93" t="s">
        <v>5503</v>
      </c>
      <c r="D1332" s="4">
        <v>40710</v>
      </c>
      <c r="E1332" s="2">
        <v>40756</v>
      </c>
      <c r="F1332" s="2">
        <f t="shared" si="298"/>
        <v>44409</v>
      </c>
      <c r="G1332" s="6">
        <v>1193.71</v>
      </c>
      <c r="H1332" s="3" t="s">
        <v>332</v>
      </c>
      <c r="I1332" s="7" t="s">
        <v>86</v>
      </c>
      <c r="J1332" s="109" t="s">
        <v>7855</v>
      </c>
      <c r="K1332" s="266">
        <f t="shared" si="300"/>
        <v>2021</v>
      </c>
      <c r="L1332" s="301" t="s">
        <v>5519</v>
      </c>
      <c r="M1332" s="417" t="s">
        <v>6133</v>
      </c>
      <c r="N1332" s="32" t="s">
        <v>7785</v>
      </c>
      <c r="O1332" s="32" t="s">
        <v>3774</v>
      </c>
      <c r="P1332" s="278"/>
      <c r="Q1332" s="233" t="s">
        <v>3773</v>
      </c>
      <c r="R1332" s="75">
        <v>4324</v>
      </c>
      <c r="S1332" s="75">
        <v>33432</v>
      </c>
      <c r="T1332" s="75">
        <v>37756</v>
      </c>
      <c r="U1332" s="204">
        <v>1791</v>
      </c>
      <c r="V1332" s="287">
        <f t="shared" ca="1" si="301"/>
        <v>9</v>
      </c>
      <c r="W1332" s="75">
        <f t="shared" ca="1" si="302"/>
        <v>18507</v>
      </c>
      <c r="X1332" s="200">
        <f t="shared" ca="1" si="296"/>
        <v>54472</v>
      </c>
      <c r="Y1332" s="1"/>
      <c r="Z1332" s="31">
        <v>0.1</v>
      </c>
      <c r="AA1332" s="223">
        <v>0.09</v>
      </c>
      <c r="AB1332" s="302" t="s">
        <v>7065</v>
      </c>
      <c r="AC1332" s="302"/>
      <c r="AD1332" s="302"/>
      <c r="AE1332" s="302"/>
      <c r="AF1332">
        <f t="shared" si="297"/>
        <v>0</v>
      </c>
    </row>
    <row r="1333" spans="1:32" ht="51.75" hidden="1" x14ac:dyDescent="0.25">
      <c r="A1333" s="322" t="s">
        <v>3775</v>
      </c>
      <c r="B1333" s="93" t="str">
        <f t="shared" si="299"/>
        <v>YES</v>
      </c>
      <c r="C1333" s="93" t="s">
        <v>5503</v>
      </c>
      <c r="D1333" s="4">
        <v>40710</v>
      </c>
      <c r="E1333" s="2">
        <v>40756</v>
      </c>
      <c r="F1333" s="2">
        <f t="shared" si="298"/>
        <v>44409</v>
      </c>
      <c r="G1333" s="6">
        <v>1134.07</v>
      </c>
      <c r="H1333" s="3" t="s">
        <v>332</v>
      </c>
      <c r="I1333" s="7" t="s">
        <v>86</v>
      </c>
      <c r="J1333" s="109" t="s">
        <v>7855</v>
      </c>
      <c r="K1333" s="266">
        <f t="shared" si="300"/>
        <v>2021</v>
      </c>
      <c r="L1333" s="301" t="s">
        <v>5519</v>
      </c>
      <c r="M1333" s="417" t="s">
        <v>6133</v>
      </c>
      <c r="N1333" s="32" t="s">
        <v>7785</v>
      </c>
      <c r="O1333" s="32" t="s">
        <v>3777</v>
      </c>
      <c r="P1333" s="278"/>
      <c r="Q1333" s="233" t="s">
        <v>3776</v>
      </c>
      <c r="R1333" s="75">
        <v>4117.5</v>
      </c>
      <c r="S1333" s="75">
        <v>7945</v>
      </c>
      <c r="T1333" s="75">
        <v>12062.5</v>
      </c>
      <c r="U1333" s="204">
        <v>1702.5</v>
      </c>
      <c r="V1333" s="287">
        <f t="shared" ca="1" si="301"/>
        <v>9</v>
      </c>
      <c r="W1333" s="75">
        <f t="shared" ca="1" si="302"/>
        <v>17592.5</v>
      </c>
      <c r="X1333" s="200">
        <f t="shared" ca="1" si="296"/>
        <v>27952.5</v>
      </c>
      <c r="Y1333" s="1"/>
      <c r="Z1333" s="31">
        <v>0.1</v>
      </c>
      <c r="AA1333" s="223">
        <v>0.09</v>
      </c>
      <c r="AB1333" s="302" t="s">
        <v>7066</v>
      </c>
      <c r="AC1333" s="302"/>
      <c r="AD1333" s="302"/>
      <c r="AE1333" s="302"/>
      <c r="AF1333">
        <f t="shared" si="297"/>
        <v>0</v>
      </c>
    </row>
    <row r="1334" spans="1:32" ht="51.75" hidden="1" x14ac:dyDescent="0.25">
      <c r="A1334" s="322" t="s">
        <v>3778</v>
      </c>
      <c r="B1334" s="93" t="str">
        <f t="shared" si="299"/>
        <v>YES</v>
      </c>
      <c r="C1334" s="93" t="s">
        <v>5503</v>
      </c>
      <c r="D1334" s="4">
        <v>40710</v>
      </c>
      <c r="E1334" s="2">
        <v>40756</v>
      </c>
      <c r="F1334" s="2">
        <f t="shared" si="298"/>
        <v>44409</v>
      </c>
      <c r="G1334" s="6">
        <v>1144.33</v>
      </c>
      <c r="H1334" s="3" t="s">
        <v>332</v>
      </c>
      <c r="I1334" s="7" t="s">
        <v>86</v>
      </c>
      <c r="J1334" s="109" t="s">
        <v>7855</v>
      </c>
      <c r="K1334" s="266">
        <f t="shared" si="300"/>
        <v>2021</v>
      </c>
      <c r="L1334" s="301" t="s">
        <v>5519</v>
      </c>
      <c r="M1334" s="417" t="s">
        <v>6133</v>
      </c>
      <c r="N1334" s="32" t="s">
        <v>7785</v>
      </c>
      <c r="O1334" s="32" t="s">
        <v>3780</v>
      </c>
      <c r="P1334" s="278"/>
      <c r="Q1334" s="233" t="s">
        <v>3779</v>
      </c>
      <c r="R1334" s="75">
        <v>4152.5</v>
      </c>
      <c r="S1334" s="75">
        <v>6870</v>
      </c>
      <c r="T1334" s="75">
        <v>11022.5</v>
      </c>
      <c r="U1334" s="204">
        <v>1717.5</v>
      </c>
      <c r="V1334" s="287">
        <f t="shared" ca="1" si="301"/>
        <v>9</v>
      </c>
      <c r="W1334" s="75">
        <f t="shared" ca="1" si="302"/>
        <v>17747.5</v>
      </c>
      <c r="X1334" s="200">
        <f t="shared" ca="1" si="296"/>
        <v>27052.5</v>
      </c>
      <c r="Y1334" s="1"/>
      <c r="Z1334" s="31">
        <v>0.1</v>
      </c>
      <c r="AA1334" s="223">
        <v>0.09</v>
      </c>
      <c r="AB1334" s="302" t="s">
        <v>7067</v>
      </c>
      <c r="AC1334" s="302"/>
      <c r="AD1334" s="302"/>
      <c r="AE1334" s="302"/>
      <c r="AF1334">
        <f t="shared" si="297"/>
        <v>0</v>
      </c>
    </row>
    <row r="1335" spans="1:32" ht="51.75" hidden="1" x14ac:dyDescent="0.25">
      <c r="A1335" s="322" t="s">
        <v>3781</v>
      </c>
      <c r="B1335" s="93" t="str">
        <f t="shared" si="299"/>
        <v>YES</v>
      </c>
      <c r="C1335" s="93" t="s">
        <v>5503</v>
      </c>
      <c r="D1335" s="4">
        <v>40710</v>
      </c>
      <c r="E1335" s="2">
        <v>40756</v>
      </c>
      <c r="F1335" s="2">
        <f t="shared" si="298"/>
        <v>44409</v>
      </c>
      <c r="G1335" s="6">
        <v>1580.28</v>
      </c>
      <c r="H1335" s="3" t="s">
        <v>332</v>
      </c>
      <c r="I1335" s="7" t="s">
        <v>86</v>
      </c>
      <c r="J1335" s="109" t="s">
        <v>7855</v>
      </c>
      <c r="K1335" s="266">
        <f t="shared" si="300"/>
        <v>2021</v>
      </c>
      <c r="L1335" s="301" t="s">
        <v>5519</v>
      </c>
      <c r="M1335" s="301" t="s">
        <v>7593</v>
      </c>
      <c r="N1335" s="32" t="s">
        <v>7785</v>
      </c>
      <c r="O1335" s="32" t="s">
        <v>3783</v>
      </c>
      <c r="P1335" s="278"/>
      <c r="Q1335" s="233" t="s">
        <v>3782</v>
      </c>
      <c r="R1335" s="75">
        <v>5678.5</v>
      </c>
      <c r="S1335" s="75">
        <v>7905</v>
      </c>
      <c r="T1335" s="75">
        <v>13583.5</v>
      </c>
      <c r="U1335" s="204">
        <v>2371.5</v>
      </c>
      <c r="V1335" s="287">
        <f t="shared" ca="1" si="301"/>
        <v>9</v>
      </c>
      <c r="W1335" s="75">
        <f t="shared" ca="1" si="302"/>
        <v>24505.5</v>
      </c>
      <c r="X1335" s="200">
        <f t="shared" ca="1" si="296"/>
        <v>35717.5</v>
      </c>
      <c r="Y1335" s="1"/>
      <c r="Z1335" s="31">
        <v>0.1</v>
      </c>
      <c r="AA1335" s="223">
        <v>0.09</v>
      </c>
      <c r="AB1335" s="302" t="s">
        <v>7068</v>
      </c>
      <c r="AC1335" s="302"/>
      <c r="AD1335" s="302"/>
      <c r="AE1335" s="302"/>
      <c r="AF1335">
        <f t="shared" si="297"/>
        <v>0</v>
      </c>
    </row>
    <row r="1336" spans="1:32" ht="64.5" hidden="1" x14ac:dyDescent="0.25">
      <c r="A1336" s="322" t="s">
        <v>3784</v>
      </c>
      <c r="B1336" s="93" t="str">
        <f t="shared" si="299"/>
        <v>YES</v>
      </c>
      <c r="C1336" s="93" t="s">
        <v>5503</v>
      </c>
      <c r="D1336" s="4">
        <v>40710</v>
      </c>
      <c r="E1336" s="2">
        <v>40756</v>
      </c>
      <c r="F1336" s="2">
        <f t="shared" si="298"/>
        <v>44409</v>
      </c>
      <c r="G1336" s="6">
        <v>908.42</v>
      </c>
      <c r="H1336" s="3" t="s">
        <v>332</v>
      </c>
      <c r="I1336" s="7" t="s">
        <v>86</v>
      </c>
      <c r="J1336" s="186"/>
      <c r="K1336" s="266">
        <f t="shared" si="300"/>
        <v>2021</v>
      </c>
      <c r="L1336" s="301" t="s">
        <v>5519</v>
      </c>
      <c r="M1336" s="301" t="s">
        <v>7593</v>
      </c>
      <c r="N1336" s="32" t="s">
        <v>7785</v>
      </c>
      <c r="O1336" s="32" t="s">
        <v>3786</v>
      </c>
      <c r="P1336" s="278"/>
      <c r="Q1336" s="233" t="s">
        <v>3785</v>
      </c>
      <c r="R1336" s="75">
        <v>3326.5</v>
      </c>
      <c r="S1336" s="75">
        <v>5454</v>
      </c>
      <c r="T1336" s="75">
        <v>8780.5</v>
      </c>
      <c r="U1336" s="204">
        <v>1363.5</v>
      </c>
      <c r="V1336" s="287">
        <f t="shared" ca="1" si="301"/>
        <v>9</v>
      </c>
      <c r="W1336" s="75">
        <f t="shared" ca="1" si="302"/>
        <v>14089.5</v>
      </c>
      <c r="X1336" s="200">
        <f t="shared" ca="1" si="296"/>
        <v>21506.5</v>
      </c>
      <c r="Y1336" s="1"/>
      <c r="Z1336" s="31">
        <v>0.1</v>
      </c>
      <c r="AA1336" s="223">
        <v>0.09</v>
      </c>
      <c r="AB1336" s="302" t="s">
        <v>7069</v>
      </c>
      <c r="AC1336" s="302"/>
      <c r="AD1336" s="302"/>
      <c r="AE1336" s="302"/>
      <c r="AF1336">
        <f t="shared" si="297"/>
        <v>0</v>
      </c>
    </row>
    <row r="1337" spans="1:32" hidden="1" x14ac:dyDescent="0.25">
      <c r="A1337" s="322" t="s">
        <v>3787</v>
      </c>
      <c r="B1337" s="93" t="str">
        <f t="shared" si="299"/>
        <v>YES</v>
      </c>
      <c r="C1337" s="93" t="s">
        <v>5503</v>
      </c>
      <c r="D1337" s="4">
        <v>40710</v>
      </c>
      <c r="E1337" s="2">
        <v>40756</v>
      </c>
      <c r="F1337" s="2">
        <f t="shared" si="298"/>
        <v>44409</v>
      </c>
      <c r="G1337" s="6">
        <v>973.07</v>
      </c>
      <c r="H1337" s="3" t="s">
        <v>453</v>
      </c>
      <c r="I1337" s="7" t="s">
        <v>86</v>
      </c>
      <c r="J1337" s="186"/>
      <c r="K1337" s="266">
        <f t="shared" si="300"/>
        <v>2021</v>
      </c>
      <c r="L1337" s="301" t="s">
        <v>5514</v>
      </c>
      <c r="M1337" s="301" t="s">
        <v>5683</v>
      </c>
      <c r="N1337" s="32" t="s">
        <v>7785</v>
      </c>
      <c r="O1337" s="32" t="s">
        <v>3672</v>
      </c>
      <c r="P1337" s="278"/>
      <c r="Q1337" s="233" t="s">
        <v>3788</v>
      </c>
      <c r="R1337" s="75">
        <v>3554</v>
      </c>
      <c r="S1337" s="74">
        <v>0</v>
      </c>
      <c r="T1337" s="75">
        <v>3554</v>
      </c>
      <c r="U1337" s="204">
        <v>1461</v>
      </c>
      <c r="V1337" s="287">
        <f t="shared" ca="1" si="301"/>
        <v>9</v>
      </c>
      <c r="W1337" s="75">
        <f t="shared" ca="1" si="302"/>
        <v>15097</v>
      </c>
      <c r="X1337" s="200">
        <f t="shared" ca="1" si="296"/>
        <v>17190</v>
      </c>
      <c r="Y1337" s="1"/>
      <c r="Z1337" s="31">
        <v>0.1</v>
      </c>
      <c r="AA1337" s="223">
        <v>0.09</v>
      </c>
      <c r="AB1337" s="302" t="s">
        <v>7070</v>
      </c>
      <c r="AC1337" s="302"/>
      <c r="AD1337" s="302"/>
      <c r="AE1337" s="302"/>
      <c r="AF1337">
        <f t="shared" si="297"/>
        <v>0</v>
      </c>
    </row>
    <row r="1338" spans="1:32" hidden="1" x14ac:dyDescent="0.25">
      <c r="A1338" s="322" t="s">
        <v>3789</v>
      </c>
      <c r="B1338" s="93" t="str">
        <f t="shared" si="299"/>
        <v>YES</v>
      </c>
      <c r="C1338" s="93" t="s">
        <v>5503</v>
      </c>
      <c r="D1338" s="4">
        <v>40710</v>
      </c>
      <c r="E1338" s="2">
        <v>40756</v>
      </c>
      <c r="F1338" s="2">
        <f t="shared" si="298"/>
        <v>44409</v>
      </c>
      <c r="G1338" s="6">
        <v>240</v>
      </c>
      <c r="H1338" s="3" t="s">
        <v>453</v>
      </c>
      <c r="I1338" s="7" t="s">
        <v>86</v>
      </c>
      <c r="J1338" s="186"/>
      <c r="K1338" s="266">
        <f t="shared" si="300"/>
        <v>2021</v>
      </c>
      <c r="L1338" s="301" t="s">
        <v>5514</v>
      </c>
      <c r="M1338" s="301" t="s">
        <v>5683</v>
      </c>
      <c r="N1338" s="32" t="s">
        <v>7785</v>
      </c>
      <c r="O1338" s="32" t="s">
        <v>3791</v>
      </c>
      <c r="P1338" s="278"/>
      <c r="Q1338" s="233" t="s">
        <v>3790</v>
      </c>
      <c r="R1338" s="75">
        <v>985</v>
      </c>
      <c r="S1338" s="75">
        <v>5280</v>
      </c>
      <c r="T1338" s="75">
        <v>6265</v>
      </c>
      <c r="U1338" s="204">
        <v>360</v>
      </c>
      <c r="V1338" s="287">
        <f t="shared" ca="1" si="301"/>
        <v>9</v>
      </c>
      <c r="W1338" s="75">
        <f t="shared" ca="1" si="302"/>
        <v>3720</v>
      </c>
      <c r="X1338" s="200">
        <f t="shared" ca="1" si="296"/>
        <v>9625</v>
      </c>
      <c r="Y1338" s="1"/>
      <c r="Z1338" s="31">
        <v>0.1</v>
      </c>
      <c r="AA1338" s="223">
        <v>0.09</v>
      </c>
      <c r="AB1338" s="302" t="s">
        <v>7071</v>
      </c>
      <c r="AC1338" s="302"/>
      <c r="AD1338" s="302"/>
      <c r="AE1338" s="302"/>
      <c r="AF1338">
        <f t="shared" si="297"/>
        <v>0</v>
      </c>
    </row>
    <row r="1339" spans="1:32" ht="26.25" hidden="1" x14ac:dyDescent="0.25">
      <c r="A1339" s="322" t="s">
        <v>3792</v>
      </c>
      <c r="B1339" s="93" t="str">
        <f t="shared" si="299"/>
        <v>YES</v>
      </c>
      <c r="C1339" s="93" t="s">
        <v>5503</v>
      </c>
      <c r="D1339" s="4">
        <v>40710</v>
      </c>
      <c r="E1339" s="2">
        <v>40756</v>
      </c>
      <c r="F1339" s="2">
        <f t="shared" si="298"/>
        <v>44409</v>
      </c>
      <c r="G1339" s="6">
        <v>837</v>
      </c>
      <c r="H1339" s="3" t="s">
        <v>453</v>
      </c>
      <c r="I1339" s="7" t="s">
        <v>86</v>
      </c>
      <c r="J1339" s="186"/>
      <c r="K1339" s="266">
        <f t="shared" si="300"/>
        <v>2021</v>
      </c>
      <c r="L1339" s="301" t="s">
        <v>5514</v>
      </c>
      <c r="M1339" s="301" t="s">
        <v>5683</v>
      </c>
      <c r="N1339" s="32" t="s">
        <v>7785</v>
      </c>
      <c r="O1339" s="32" t="s">
        <v>3794</v>
      </c>
      <c r="P1339" s="278"/>
      <c r="Q1339" s="233" t="s">
        <v>3793</v>
      </c>
      <c r="R1339" s="75">
        <v>3074.5</v>
      </c>
      <c r="S1339" s="75">
        <v>0</v>
      </c>
      <c r="T1339" s="75">
        <v>3074.5</v>
      </c>
      <c r="U1339" s="204">
        <v>1255.5</v>
      </c>
      <c r="V1339" s="287">
        <f t="shared" ca="1" si="301"/>
        <v>9</v>
      </c>
      <c r="W1339" s="75">
        <f t="shared" ca="1" si="302"/>
        <v>12973.5</v>
      </c>
      <c r="X1339" s="200">
        <f t="shared" ca="1" si="296"/>
        <v>14792.5</v>
      </c>
      <c r="Y1339" s="1"/>
      <c r="Z1339" s="31">
        <v>0.1</v>
      </c>
      <c r="AA1339" s="223">
        <v>0.09</v>
      </c>
      <c r="AB1339" s="302" t="s">
        <v>7072</v>
      </c>
      <c r="AC1339" s="302"/>
      <c r="AD1339" s="302"/>
      <c r="AE1339" s="302"/>
      <c r="AF1339">
        <f t="shared" si="297"/>
        <v>0</v>
      </c>
    </row>
    <row r="1340" spans="1:32" hidden="1" x14ac:dyDescent="0.25">
      <c r="A1340" s="322" t="s">
        <v>3795</v>
      </c>
      <c r="B1340" s="93" t="str">
        <f t="shared" si="299"/>
        <v>YES</v>
      </c>
      <c r="C1340" s="93" t="s">
        <v>5503</v>
      </c>
      <c r="D1340" s="4">
        <v>40710</v>
      </c>
      <c r="E1340" s="2">
        <v>40756</v>
      </c>
      <c r="F1340" s="2">
        <f t="shared" si="298"/>
        <v>44409</v>
      </c>
      <c r="G1340" s="6">
        <v>1705.39</v>
      </c>
      <c r="H1340" s="3" t="s">
        <v>453</v>
      </c>
      <c r="I1340" s="7" t="s">
        <v>86</v>
      </c>
      <c r="J1340" s="186"/>
      <c r="K1340" s="266">
        <f t="shared" si="300"/>
        <v>2021</v>
      </c>
      <c r="L1340" s="301" t="s">
        <v>5514</v>
      </c>
      <c r="M1340" s="301" t="s">
        <v>5683</v>
      </c>
      <c r="N1340" s="32" t="s">
        <v>7785</v>
      </c>
      <c r="O1340" s="32" t="s">
        <v>3797</v>
      </c>
      <c r="P1340" s="278"/>
      <c r="Q1340" s="233" t="s">
        <v>3796</v>
      </c>
      <c r="R1340" s="75">
        <v>6116</v>
      </c>
      <c r="S1340" s="75">
        <v>0</v>
      </c>
      <c r="T1340" s="75">
        <v>6116</v>
      </c>
      <c r="U1340" s="204">
        <v>2559</v>
      </c>
      <c r="V1340" s="287">
        <f t="shared" ca="1" si="301"/>
        <v>9</v>
      </c>
      <c r="W1340" s="75">
        <f t="shared" ca="1" si="302"/>
        <v>26443</v>
      </c>
      <c r="X1340" s="200">
        <f t="shared" ca="1" si="296"/>
        <v>30000</v>
      </c>
      <c r="Y1340" s="1"/>
      <c r="Z1340" s="31">
        <v>0.1</v>
      </c>
      <c r="AA1340" s="223">
        <v>0.09</v>
      </c>
      <c r="AB1340" s="302" t="s">
        <v>7073</v>
      </c>
      <c r="AC1340" s="302"/>
      <c r="AD1340" s="302"/>
      <c r="AE1340" s="302"/>
      <c r="AF1340">
        <f t="shared" si="297"/>
        <v>0</v>
      </c>
    </row>
    <row r="1341" spans="1:32" hidden="1" x14ac:dyDescent="0.25">
      <c r="A1341" s="322" t="s">
        <v>3798</v>
      </c>
      <c r="B1341" s="93" t="str">
        <f t="shared" si="299"/>
        <v>YES</v>
      </c>
      <c r="C1341" s="93" t="s">
        <v>5503</v>
      </c>
      <c r="D1341" s="4">
        <v>40710</v>
      </c>
      <c r="E1341" s="2">
        <v>40756</v>
      </c>
      <c r="F1341" s="2">
        <f t="shared" si="298"/>
        <v>44409</v>
      </c>
      <c r="G1341" s="6">
        <v>282.5</v>
      </c>
      <c r="H1341" s="3" t="s">
        <v>453</v>
      </c>
      <c r="I1341" s="7" t="s">
        <v>86</v>
      </c>
      <c r="J1341" s="186"/>
      <c r="K1341" s="266">
        <f t="shared" si="300"/>
        <v>2021</v>
      </c>
      <c r="L1341" s="301" t="s">
        <v>5514</v>
      </c>
      <c r="M1341" s="301" t="s">
        <v>5683</v>
      </c>
      <c r="N1341" s="32" t="s">
        <v>7785</v>
      </c>
      <c r="O1341" s="32" t="s">
        <v>3800</v>
      </c>
      <c r="P1341" s="278"/>
      <c r="Q1341" s="233" t="s">
        <v>3799</v>
      </c>
      <c r="R1341" s="75">
        <v>1135.5</v>
      </c>
      <c r="S1341" s="75">
        <v>0</v>
      </c>
      <c r="T1341" s="75">
        <v>1135.5</v>
      </c>
      <c r="U1341" s="204">
        <v>424.5</v>
      </c>
      <c r="V1341" s="287">
        <f t="shared" ca="1" si="301"/>
        <v>9</v>
      </c>
      <c r="W1341" s="75">
        <f t="shared" ca="1" si="302"/>
        <v>4386.5</v>
      </c>
      <c r="X1341" s="200">
        <f t="shared" ca="1" si="296"/>
        <v>5097.5</v>
      </c>
      <c r="Y1341" s="1"/>
      <c r="Z1341" s="31">
        <v>0.1</v>
      </c>
      <c r="AA1341" s="223">
        <v>0.09</v>
      </c>
      <c r="AB1341" s="302" t="s">
        <v>7074</v>
      </c>
      <c r="AC1341" s="302"/>
      <c r="AD1341" s="302"/>
      <c r="AE1341" s="302"/>
      <c r="AF1341">
        <f t="shared" si="297"/>
        <v>0</v>
      </c>
    </row>
    <row r="1342" spans="1:32" ht="39" hidden="1" x14ac:dyDescent="0.25">
      <c r="A1342" s="322" t="s">
        <v>3801</v>
      </c>
      <c r="B1342" s="93" t="str">
        <f t="shared" si="299"/>
        <v>YES</v>
      </c>
      <c r="C1342" s="93" t="s">
        <v>5503</v>
      </c>
      <c r="D1342" s="4">
        <v>40710</v>
      </c>
      <c r="E1342" s="2">
        <v>40756</v>
      </c>
      <c r="F1342" s="2">
        <f t="shared" si="298"/>
        <v>44409</v>
      </c>
      <c r="G1342" s="6">
        <v>408.79</v>
      </c>
      <c r="H1342" s="3" t="s">
        <v>453</v>
      </c>
      <c r="I1342" s="7" t="s">
        <v>86</v>
      </c>
      <c r="J1342" s="186"/>
      <c r="K1342" s="266">
        <f t="shared" si="300"/>
        <v>2021</v>
      </c>
      <c r="L1342" s="301" t="s">
        <v>5514</v>
      </c>
      <c r="M1342" s="301" t="s">
        <v>5683</v>
      </c>
      <c r="N1342" s="32" t="s">
        <v>7785</v>
      </c>
      <c r="O1342" s="32" t="s">
        <v>3803</v>
      </c>
      <c r="P1342" s="278"/>
      <c r="Q1342" s="233" t="s">
        <v>3802</v>
      </c>
      <c r="R1342" s="75">
        <v>1576.5</v>
      </c>
      <c r="S1342" s="75">
        <v>9816</v>
      </c>
      <c r="T1342" s="75">
        <v>11392.5</v>
      </c>
      <c r="U1342" s="204">
        <v>613.5</v>
      </c>
      <c r="V1342" s="287">
        <f t="shared" ca="1" si="301"/>
        <v>9</v>
      </c>
      <c r="W1342" s="75">
        <f t="shared" ca="1" si="302"/>
        <v>6339.5</v>
      </c>
      <c r="X1342" s="200">
        <f t="shared" ca="1" si="296"/>
        <v>17118.5</v>
      </c>
      <c r="Y1342" s="1"/>
      <c r="Z1342" s="31">
        <v>0.1</v>
      </c>
      <c r="AA1342" s="223">
        <v>0.09</v>
      </c>
      <c r="AB1342" s="302" t="s">
        <v>7075</v>
      </c>
      <c r="AC1342" s="302"/>
      <c r="AD1342" s="302"/>
      <c r="AE1342" s="302"/>
      <c r="AF1342">
        <f t="shared" si="297"/>
        <v>0</v>
      </c>
    </row>
    <row r="1343" spans="1:32" ht="26.25" hidden="1" x14ac:dyDescent="0.25">
      <c r="A1343" s="322" t="s">
        <v>3804</v>
      </c>
      <c r="B1343" s="93" t="str">
        <f t="shared" si="299"/>
        <v>YES</v>
      </c>
      <c r="C1343" s="93" t="s">
        <v>5503</v>
      </c>
      <c r="D1343" s="4">
        <v>40710</v>
      </c>
      <c r="E1343" s="2">
        <v>40756</v>
      </c>
      <c r="F1343" s="2">
        <f t="shared" si="298"/>
        <v>44409</v>
      </c>
      <c r="G1343" s="6">
        <v>904.92</v>
      </c>
      <c r="H1343" s="3" t="s">
        <v>453</v>
      </c>
      <c r="I1343" s="7" t="s">
        <v>86</v>
      </c>
      <c r="J1343" s="186"/>
      <c r="K1343" s="266">
        <f t="shared" si="300"/>
        <v>2021</v>
      </c>
      <c r="L1343" s="301" t="s">
        <v>5514</v>
      </c>
      <c r="M1343" s="301" t="s">
        <v>5683</v>
      </c>
      <c r="N1343" s="32" t="s">
        <v>7785</v>
      </c>
      <c r="O1343" s="32" t="s">
        <v>3806</v>
      </c>
      <c r="P1343" s="278"/>
      <c r="Q1343" s="233" t="s">
        <v>3805</v>
      </c>
      <c r="R1343" s="75">
        <v>3312.5</v>
      </c>
      <c r="S1343" s="75">
        <v>23530</v>
      </c>
      <c r="T1343" s="75">
        <v>26842.5</v>
      </c>
      <c r="U1343" s="204">
        <v>1357.5</v>
      </c>
      <c r="V1343" s="287">
        <f t="shared" ca="1" si="301"/>
        <v>9</v>
      </c>
      <c r="W1343" s="75">
        <f t="shared" ca="1" si="302"/>
        <v>14027.5</v>
      </c>
      <c r="X1343" s="200">
        <f t="shared" ca="1" si="296"/>
        <v>39512.5</v>
      </c>
      <c r="Y1343" s="1"/>
      <c r="Z1343" s="31">
        <v>0.1</v>
      </c>
      <c r="AA1343" s="223">
        <v>0.09</v>
      </c>
      <c r="AB1343" s="302" t="s">
        <v>7076</v>
      </c>
      <c r="AC1343" s="302"/>
      <c r="AD1343" s="302"/>
      <c r="AE1343" s="302"/>
      <c r="AF1343">
        <f t="shared" si="297"/>
        <v>0</v>
      </c>
    </row>
    <row r="1344" spans="1:32" ht="51.75" hidden="1" x14ac:dyDescent="0.25">
      <c r="A1344" s="322" t="s">
        <v>3807</v>
      </c>
      <c r="B1344" s="93" t="str">
        <f t="shared" si="299"/>
        <v>YES</v>
      </c>
      <c r="C1344" s="93" t="s">
        <v>5503</v>
      </c>
      <c r="D1344" s="4">
        <v>40710</v>
      </c>
      <c r="E1344" s="2">
        <v>40756</v>
      </c>
      <c r="F1344" s="2">
        <f t="shared" si="298"/>
        <v>44409</v>
      </c>
      <c r="G1344" s="6">
        <v>488.17</v>
      </c>
      <c r="H1344" s="3" t="s">
        <v>453</v>
      </c>
      <c r="I1344" s="7" t="s">
        <v>86</v>
      </c>
      <c r="J1344" s="186"/>
      <c r="K1344" s="266">
        <f t="shared" si="300"/>
        <v>2021</v>
      </c>
      <c r="L1344" s="301" t="s">
        <v>5514</v>
      </c>
      <c r="M1344" s="301" t="s">
        <v>5683</v>
      </c>
      <c r="N1344" s="32" t="s">
        <v>7785</v>
      </c>
      <c r="O1344" s="32" t="s">
        <v>3809</v>
      </c>
      <c r="P1344" s="278"/>
      <c r="Q1344" s="233" t="s">
        <v>3808</v>
      </c>
      <c r="R1344" s="75">
        <v>1856.5</v>
      </c>
      <c r="S1344" s="75">
        <v>0</v>
      </c>
      <c r="T1344" s="75">
        <v>1856.5</v>
      </c>
      <c r="U1344" s="204">
        <v>733.5</v>
      </c>
      <c r="V1344" s="287">
        <f t="shared" ca="1" si="301"/>
        <v>9</v>
      </c>
      <c r="W1344" s="75">
        <f t="shared" ca="1" si="302"/>
        <v>7579.5</v>
      </c>
      <c r="X1344" s="200">
        <f t="shared" ca="1" si="296"/>
        <v>8702.5</v>
      </c>
      <c r="Y1344" s="1"/>
      <c r="Z1344" s="31">
        <v>0.1</v>
      </c>
      <c r="AA1344" s="223">
        <v>0.09</v>
      </c>
      <c r="AB1344" s="302" t="s">
        <v>7077</v>
      </c>
      <c r="AC1344" s="302"/>
      <c r="AD1344" s="302"/>
      <c r="AE1344" s="302"/>
      <c r="AF1344">
        <f t="shared" si="297"/>
        <v>0</v>
      </c>
    </row>
    <row r="1345" spans="1:32" ht="26.25" hidden="1" x14ac:dyDescent="0.25">
      <c r="A1345" s="322" t="s">
        <v>3810</v>
      </c>
      <c r="B1345" s="93" t="str">
        <f t="shared" ref="B1345:B1370" si="303">IF(COUNTIF(GIS,A1345),"YES","NO")</f>
        <v>YES</v>
      </c>
      <c r="C1345" s="93" t="s">
        <v>5503</v>
      </c>
      <c r="D1345" s="4">
        <v>40710</v>
      </c>
      <c r="E1345" s="2">
        <v>40756</v>
      </c>
      <c r="F1345" s="2">
        <f t="shared" si="298"/>
        <v>44409</v>
      </c>
      <c r="G1345" s="6">
        <v>160</v>
      </c>
      <c r="H1345" s="3" t="s">
        <v>453</v>
      </c>
      <c r="I1345" s="7" t="s">
        <v>86</v>
      </c>
      <c r="J1345" s="109" t="s">
        <v>1097</v>
      </c>
      <c r="K1345" s="266">
        <f t="shared" ref="K1345:K1370" si="304">YEAR(F1345)</f>
        <v>2021</v>
      </c>
      <c r="L1345" s="301" t="s">
        <v>5514</v>
      </c>
      <c r="M1345" s="417" t="s">
        <v>5835</v>
      </c>
      <c r="N1345" s="32" t="s">
        <v>7785</v>
      </c>
      <c r="O1345" s="32" t="s">
        <v>3812</v>
      </c>
      <c r="P1345" s="278"/>
      <c r="Q1345" s="233" t="s">
        <v>3811</v>
      </c>
      <c r="R1345" s="75">
        <v>705</v>
      </c>
      <c r="S1345" s="75">
        <v>640</v>
      </c>
      <c r="T1345" s="75">
        <v>1345</v>
      </c>
      <c r="U1345" s="204">
        <v>240</v>
      </c>
      <c r="V1345" s="287">
        <f t="shared" ref="V1345:V1370" ca="1" si="305">IF(YEAR($W$3)-YEAR(E1345)&gt;9,10,IF(MONTH($W$3)&lt;MONTH(E1345),YEAR($W$3)-YEAR(E1345),YEAR($W$3)-YEAR(E1345)+1))</f>
        <v>9</v>
      </c>
      <c r="W1345" s="75">
        <f t="shared" ref="W1345:W1370" ca="1" si="306">IF(V1345&lt;6, ROUNDUP(G1345,0)*$W$6*V1345, ROUNDUP(G1345,0)*($W$6*5 + (V1345-5)*$W$7))</f>
        <v>2480</v>
      </c>
      <c r="X1345" s="200">
        <f t="shared" ref="X1345:X1370" ca="1" si="307">IF(V1345=0,T1345,((T1345-ROUNDUP(G1345,0)*1.5)+W1345))</f>
        <v>3585</v>
      </c>
      <c r="Y1345" s="1"/>
      <c r="Z1345" s="31">
        <v>0.1</v>
      </c>
      <c r="AA1345" s="223">
        <v>0.09</v>
      </c>
      <c r="AB1345" s="302" t="s">
        <v>7078</v>
      </c>
      <c r="AC1345" s="302"/>
      <c r="AD1345" s="302"/>
      <c r="AE1345" s="302"/>
      <c r="AF1345">
        <f t="shared" si="297"/>
        <v>0</v>
      </c>
    </row>
    <row r="1346" spans="1:32" ht="26.25" hidden="1" x14ac:dyDescent="0.25">
      <c r="A1346" s="322" t="s">
        <v>3813</v>
      </c>
      <c r="B1346" s="93" t="str">
        <f t="shared" si="303"/>
        <v>YES</v>
      </c>
      <c r="C1346" s="93" t="s">
        <v>5503</v>
      </c>
      <c r="D1346" s="4">
        <v>40710</v>
      </c>
      <c r="E1346" s="2">
        <v>40756</v>
      </c>
      <c r="F1346" s="2">
        <f t="shared" si="298"/>
        <v>44409</v>
      </c>
      <c r="G1346" s="6">
        <v>161.55000000000001</v>
      </c>
      <c r="H1346" s="3" t="s">
        <v>453</v>
      </c>
      <c r="I1346" s="7" t="s">
        <v>86</v>
      </c>
      <c r="J1346" s="186"/>
      <c r="K1346" s="266">
        <f t="shared" si="304"/>
        <v>2021</v>
      </c>
      <c r="L1346" s="301" t="s">
        <v>5514</v>
      </c>
      <c r="M1346" s="301" t="s">
        <v>5683</v>
      </c>
      <c r="N1346" s="32" t="s">
        <v>7785</v>
      </c>
      <c r="O1346" s="32" t="s">
        <v>3815</v>
      </c>
      <c r="P1346" s="278"/>
      <c r="Q1346" s="233" t="s">
        <v>3814</v>
      </c>
      <c r="R1346" s="75">
        <v>712</v>
      </c>
      <c r="S1346" s="75">
        <v>648</v>
      </c>
      <c r="T1346" s="75">
        <v>1360</v>
      </c>
      <c r="U1346" s="204">
        <v>243</v>
      </c>
      <c r="V1346" s="287">
        <f t="shared" ca="1" si="305"/>
        <v>9</v>
      </c>
      <c r="W1346" s="75">
        <f t="shared" ca="1" si="306"/>
        <v>2511</v>
      </c>
      <c r="X1346" s="200">
        <f t="shared" ca="1" si="307"/>
        <v>3628</v>
      </c>
      <c r="Y1346" s="1"/>
      <c r="Z1346" s="31">
        <v>0.1</v>
      </c>
      <c r="AA1346" s="223">
        <v>0.09</v>
      </c>
      <c r="AB1346" s="302" t="s">
        <v>7079</v>
      </c>
      <c r="AC1346" s="302"/>
      <c r="AD1346" s="302"/>
      <c r="AE1346" s="302"/>
      <c r="AF1346">
        <f t="shared" si="297"/>
        <v>0</v>
      </c>
    </row>
    <row r="1347" spans="1:32" ht="39" hidden="1" x14ac:dyDescent="0.25">
      <c r="A1347" s="322" t="s">
        <v>7856</v>
      </c>
      <c r="B1347" s="93" t="str">
        <f t="shared" si="303"/>
        <v>YES</v>
      </c>
      <c r="C1347" s="93" t="s">
        <v>5503</v>
      </c>
      <c r="D1347" s="4"/>
      <c r="E1347" s="2">
        <v>40756</v>
      </c>
      <c r="F1347" s="2">
        <f t="shared" si="298"/>
        <v>44409</v>
      </c>
      <c r="G1347" s="6">
        <v>700.94</v>
      </c>
      <c r="H1347" s="3" t="s">
        <v>453</v>
      </c>
      <c r="I1347" s="7" t="s">
        <v>86</v>
      </c>
      <c r="J1347" s="105" t="s">
        <v>7873</v>
      </c>
      <c r="K1347" s="266">
        <f t="shared" si="304"/>
        <v>2021</v>
      </c>
      <c r="L1347" s="301" t="s">
        <v>5514</v>
      </c>
      <c r="M1347" s="301" t="s">
        <v>6133</v>
      </c>
      <c r="N1347" s="32" t="s">
        <v>7785</v>
      </c>
      <c r="O1347" s="32" t="s">
        <v>7874</v>
      </c>
      <c r="P1347" s="278"/>
      <c r="Q1347" s="233"/>
      <c r="R1347" s="75"/>
      <c r="S1347" s="75"/>
      <c r="T1347" s="75"/>
      <c r="U1347" s="204"/>
      <c r="V1347" s="287"/>
      <c r="W1347" s="75"/>
      <c r="X1347" s="200"/>
      <c r="Y1347" s="1"/>
      <c r="Z1347" s="31"/>
      <c r="AA1347" s="223"/>
      <c r="AB1347" s="302" t="s">
        <v>8118</v>
      </c>
      <c r="AC1347" s="302"/>
      <c r="AD1347" s="302"/>
      <c r="AE1347" s="302"/>
    </row>
    <row r="1348" spans="1:32" ht="39" hidden="1" x14ac:dyDescent="0.25">
      <c r="A1348" s="322" t="s">
        <v>7857</v>
      </c>
      <c r="B1348" s="93" t="str">
        <f t="shared" si="303"/>
        <v>YES</v>
      </c>
      <c r="C1348" s="93" t="s">
        <v>5503</v>
      </c>
      <c r="D1348" s="4"/>
      <c r="E1348" s="2">
        <v>40756</v>
      </c>
      <c r="F1348" s="2">
        <f t="shared" si="298"/>
        <v>44409</v>
      </c>
      <c r="G1348" s="6">
        <v>160.57</v>
      </c>
      <c r="H1348" s="3" t="s">
        <v>453</v>
      </c>
      <c r="I1348" s="7" t="s">
        <v>86</v>
      </c>
      <c r="J1348" s="105" t="s">
        <v>7873</v>
      </c>
      <c r="K1348" s="266">
        <f t="shared" si="304"/>
        <v>2021</v>
      </c>
      <c r="L1348" s="301" t="s">
        <v>5514</v>
      </c>
      <c r="M1348" s="301" t="s">
        <v>6133</v>
      </c>
      <c r="N1348" s="32" t="s">
        <v>7785</v>
      </c>
      <c r="O1348" s="32" t="s">
        <v>7875</v>
      </c>
      <c r="P1348" s="278"/>
      <c r="Q1348" s="233"/>
      <c r="R1348" s="75"/>
      <c r="S1348" s="75"/>
      <c r="T1348" s="75"/>
      <c r="U1348" s="204"/>
      <c r="V1348" s="287"/>
      <c r="W1348" s="75"/>
      <c r="X1348" s="200"/>
      <c r="Y1348" s="1"/>
      <c r="Z1348" s="31"/>
      <c r="AA1348" s="223"/>
      <c r="AB1348" s="302" t="s">
        <v>8118</v>
      </c>
      <c r="AC1348" s="302"/>
      <c r="AD1348" s="302"/>
      <c r="AE1348" s="302"/>
    </row>
    <row r="1349" spans="1:32" ht="39" hidden="1" x14ac:dyDescent="0.25">
      <c r="A1349" s="322" t="s">
        <v>7858</v>
      </c>
      <c r="B1349" s="93" t="str">
        <f t="shared" si="303"/>
        <v>YES</v>
      </c>
      <c r="C1349" s="93" t="s">
        <v>5503</v>
      </c>
      <c r="D1349" s="4"/>
      <c r="E1349" s="2">
        <v>40756</v>
      </c>
      <c r="F1349" s="2">
        <f t="shared" si="298"/>
        <v>44409</v>
      </c>
      <c r="G1349" s="6">
        <v>644.32000000000005</v>
      </c>
      <c r="H1349" s="3" t="s">
        <v>453</v>
      </c>
      <c r="I1349" s="7" t="s">
        <v>86</v>
      </c>
      <c r="J1349" s="105" t="s">
        <v>7873</v>
      </c>
      <c r="K1349" s="266">
        <f t="shared" si="304"/>
        <v>2021</v>
      </c>
      <c r="L1349" s="301" t="s">
        <v>5514</v>
      </c>
      <c r="M1349" s="301" t="s">
        <v>6133</v>
      </c>
      <c r="N1349" s="32" t="s">
        <v>7785</v>
      </c>
      <c r="O1349" s="32" t="s">
        <v>7876</v>
      </c>
      <c r="P1349" s="278"/>
      <c r="Q1349" s="233"/>
      <c r="R1349" s="75"/>
      <c r="S1349" s="75"/>
      <c r="T1349" s="75"/>
      <c r="U1349" s="204"/>
      <c r="V1349" s="287"/>
      <c r="W1349" s="75"/>
      <c r="X1349" s="200"/>
      <c r="Y1349" s="1"/>
      <c r="Z1349" s="31"/>
      <c r="AA1349" s="223"/>
      <c r="AB1349" s="302" t="s">
        <v>8118</v>
      </c>
      <c r="AC1349" s="302"/>
      <c r="AD1349" s="302"/>
      <c r="AE1349" s="302"/>
    </row>
    <row r="1350" spans="1:32" ht="39" hidden="1" x14ac:dyDescent="0.25">
      <c r="A1350" s="322" t="s">
        <v>7859</v>
      </c>
      <c r="B1350" s="93" t="str">
        <f t="shared" si="303"/>
        <v>YES</v>
      </c>
      <c r="C1350" s="93" t="s">
        <v>5503</v>
      </c>
      <c r="D1350" s="4"/>
      <c r="E1350" s="2">
        <v>40756</v>
      </c>
      <c r="F1350" s="2">
        <f t="shared" si="298"/>
        <v>44409</v>
      </c>
      <c r="G1350" s="6">
        <v>743.24</v>
      </c>
      <c r="H1350" s="3" t="s">
        <v>453</v>
      </c>
      <c r="I1350" s="7" t="s">
        <v>86</v>
      </c>
      <c r="J1350" s="105" t="s">
        <v>7873</v>
      </c>
      <c r="K1350" s="266">
        <f t="shared" si="304"/>
        <v>2021</v>
      </c>
      <c r="L1350" s="301" t="s">
        <v>5514</v>
      </c>
      <c r="M1350" s="301" t="s">
        <v>6133</v>
      </c>
      <c r="N1350" s="32" t="s">
        <v>7785</v>
      </c>
      <c r="O1350" s="32" t="s">
        <v>7877</v>
      </c>
      <c r="P1350" s="278"/>
      <c r="Q1350" s="233"/>
      <c r="R1350" s="75"/>
      <c r="S1350" s="75"/>
      <c r="T1350" s="75"/>
      <c r="U1350" s="204"/>
      <c r="V1350" s="287"/>
      <c r="W1350" s="75"/>
      <c r="X1350" s="200"/>
      <c r="Y1350" s="1"/>
      <c r="Z1350" s="31"/>
      <c r="AA1350" s="223"/>
      <c r="AB1350" s="302" t="s">
        <v>8118</v>
      </c>
      <c r="AC1350" s="302"/>
      <c r="AD1350" s="302"/>
      <c r="AE1350" s="302"/>
    </row>
    <row r="1351" spans="1:32" ht="39" hidden="1" x14ac:dyDescent="0.25">
      <c r="A1351" s="322" t="s">
        <v>7860</v>
      </c>
      <c r="B1351" s="93" t="str">
        <f t="shared" si="303"/>
        <v>YES</v>
      </c>
      <c r="C1351" s="93" t="s">
        <v>5503</v>
      </c>
      <c r="D1351" s="4"/>
      <c r="E1351" s="2">
        <v>40756</v>
      </c>
      <c r="F1351" s="2">
        <f t="shared" si="298"/>
        <v>44409</v>
      </c>
      <c r="G1351" s="6">
        <v>639.32000000000005</v>
      </c>
      <c r="H1351" s="3" t="s">
        <v>453</v>
      </c>
      <c r="I1351" s="7" t="s">
        <v>86</v>
      </c>
      <c r="J1351" s="105" t="s">
        <v>7873</v>
      </c>
      <c r="K1351" s="266">
        <f t="shared" si="304"/>
        <v>2021</v>
      </c>
      <c r="L1351" s="301" t="s">
        <v>5514</v>
      </c>
      <c r="M1351" s="301" t="s">
        <v>6133</v>
      </c>
      <c r="N1351" s="32" t="s">
        <v>7785</v>
      </c>
      <c r="O1351" s="32" t="s">
        <v>7878</v>
      </c>
      <c r="P1351" s="278"/>
      <c r="Q1351" s="233"/>
      <c r="R1351" s="75"/>
      <c r="S1351" s="75"/>
      <c r="T1351" s="75"/>
      <c r="U1351" s="204"/>
      <c r="V1351" s="287"/>
      <c r="W1351" s="75"/>
      <c r="X1351" s="200"/>
      <c r="Y1351" s="1"/>
      <c r="Z1351" s="31"/>
      <c r="AA1351" s="223"/>
      <c r="AB1351" s="302" t="s">
        <v>8118</v>
      </c>
      <c r="AC1351" s="302"/>
      <c r="AD1351" s="302"/>
      <c r="AE1351" s="302"/>
    </row>
    <row r="1352" spans="1:32" ht="39" hidden="1" x14ac:dyDescent="0.25">
      <c r="A1352" s="322" t="s">
        <v>7861</v>
      </c>
      <c r="B1352" s="93" t="str">
        <f t="shared" si="303"/>
        <v>YES</v>
      </c>
      <c r="C1352" s="93" t="s">
        <v>5503</v>
      </c>
      <c r="D1352" s="4"/>
      <c r="E1352" s="2">
        <v>40756</v>
      </c>
      <c r="F1352" s="2">
        <f t="shared" si="298"/>
        <v>44409</v>
      </c>
      <c r="G1352" s="6">
        <v>701.8</v>
      </c>
      <c r="H1352" s="3" t="s">
        <v>453</v>
      </c>
      <c r="I1352" s="7" t="s">
        <v>86</v>
      </c>
      <c r="J1352" s="105" t="s">
        <v>7873</v>
      </c>
      <c r="K1352" s="266">
        <f t="shared" si="304"/>
        <v>2021</v>
      </c>
      <c r="L1352" s="301" t="s">
        <v>5514</v>
      </c>
      <c r="M1352" s="301" t="s">
        <v>6133</v>
      </c>
      <c r="N1352" s="32" t="s">
        <v>7785</v>
      </c>
      <c r="O1352" s="32" t="s">
        <v>7879</v>
      </c>
      <c r="P1352" s="278"/>
      <c r="Q1352" s="233"/>
      <c r="R1352" s="75"/>
      <c r="S1352" s="75"/>
      <c r="T1352" s="75"/>
      <c r="U1352" s="204"/>
      <c r="V1352" s="287"/>
      <c r="W1352" s="75"/>
      <c r="X1352" s="200"/>
      <c r="Y1352" s="1"/>
      <c r="Z1352" s="31"/>
      <c r="AA1352" s="223"/>
      <c r="AB1352" s="302" t="s">
        <v>8118</v>
      </c>
      <c r="AC1352" s="302"/>
      <c r="AD1352" s="302"/>
      <c r="AE1352" s="302"/>
    </row>
    <row r="1353" spans="1:32" ht="39" hidden="1" x14ac:dyDescent="0.25">
      <c r="A1353" s="322" t="s">
        <v>7862</v>
      </c>
      <c r="B1353" s="93" t="str">
        <f t="shared" si="303"/>
        <v>YES</v>
      </c>
      <c r="C1353" s="93" t="s">
        <v>5503</v>
      </c>
      <c r="D1353" s="4"/>
      <c r="E1353" s="2">
        <v>40756</v>
      </c>
      <c r="F1353" s="2">
        <f t="shared" si="298"/>
        <v>44409</v>
      </c>
      <c r="G1353" s="6">
        <v>311.94</v>
      </c>
      <c r="H1353" s="3" t="s">
        <v>453</v>
      </c>
      <c r="I1353" s="7" t="s">
        <v>86</v>
      </c>
      <c r="J1353" s="105" t="s">
        <v>7873</v>
      </c>
      <c r="K1353" s="266">
        <f t="shared" si="304"/>
        <v>2021</v>
      </c>
      <c r="L1353" s="301" t="s">
        <v>5514</v>
      </c>
      <c r="M1353" s="301" t="s">
        <v>6133</v>
      </c>
      <c r="N1353" s="32" t="s">
        <v>7785</v>
      </c>
      <c r="O1353" s="32" t="s">
        <v>7880</v>
      </c>
      <c r="P1353" s="278"/>
      <c r="Q1353" s="233"/>
      <c r="R1353" s="75"/>
      <c r="S1353" s="75"/>
      <c r="T1353" s="75"/>
      <c r="U1353" s="204"/>
      <c r="V1353" s="287"/>
      <c r="W1353" s="75"/>
      <c r="X1353" s="200"/>
      <c r="Y1353" s="1"/>
      <c r="Z1353" s="31"/>
      <c r="AA1353" s="223"/>
      <c r="AB1353" s="302" t="s">
        <v>8118</v>
      </c>
      <c r="AC1353" s="302"/>
      <c r="AD1353" s="302"/>
      <c r="AE1353" s="302"/>
    </row>
    <row r="1354" spans="1:32" ht="39" hidden="1" x14ac:dyDescent="0.25">
      <c r="A1354" s="322" t="s">
        <v>7863</v>
      </c>
      <c r="B1354" s="93" t="str">
        <f t="shared" si="303"/>
        <v>YES</v>
      </c>
      <c r="C1354" s="93" t="s">
        <v>5503</v>
      </c>
      <c r="D1354" s="4"/>
      <c r="E1354" s="2">
        <v>40756</v>
      </c>
      <c r="F1354" s="2">
        <f t="shared" si="298"/>
        <v>44409</v>
      </c>
      <c r="G1354" s="6">
        <v>644.72</v>
      </c>
      <c r="H1354" s="3" t="s">
        <v>453</v>
      </c>
      <c r="I1354" s="7" t="s">
        <v>86</v>
      </c>
      <c r="J1354" s="105" t="s">
        <v>7873</v>
      </c>
      <c r="K1354" s="266">
        <f t="shared" si="304"/>
        <v>2021</v>
      </c>
      <c r="L1354" s="301" t="s">
        <v>5514</v>
      </c>
      <c r="M1354" s="301" t="s">
        <v>6133</v>
      </c>
      <c r="N1354" s="32" t="s">
        <v>7785</v>
      </c>
      <c r="O1354" s="32" t="s">
        <v>7881</v>
      </c>
      <c r="P1354" s="278"/>
      <c r="Q1354" s="233"/>
      <c r="R1354" s="75"/>
      <c r="S1354" s="75"/>
      <c r="T1354" s="75"/>
      <c r="U1354" s="204"/>
      <c r="V1354" s="287"/>
      <c r="W1354" s="75"/>
      <c r="X1354" s="200"/>
      <c r="Y1354" s="1"/>
      <c r="Z1354" s="31"/>
      <c r="AA1354" s="223"/>
      <c r="AB1354" s="302" t="s">
        <v>8118</v>
      </c>
      <c r="AC1354" s="302"/>
      <c r="AD1354" s="302"/>
      <c r="AE1354" s="302"/>
    </row>
    <row r="1355" spans="1:32" ht="39" hidden="1" x14ac:dyDescent="0.25">
      <c r="A1355" s="322" t="s">
        <v>7872</v>
      </c>
      <c r="B1355" s="93" t="str">
        <f t="shared" si="303"/>
        <v>YES</v>
      </c>
      <c r="C1355" s="93" t="s">
        <v>5503</v>
      </c>
      <c r="D1355" s="4"/>
      <c r="E1355" s="2">
        <v>40756</v>
      </c>
      <c r="F1355" s="2">
        <f t="shared" si="298"/>
        <v>44409</v>
      </c>
      <c r="G1355" s="6">
        <v>527.52</v>
      </c>
      <c r="H1355" s="3" t="s">
        <v>453</v>
      </c>
      <c r="I1355" s="7" t="s">
        <v>86</v>
      </c>
      <c r="J1355" s="105" t="s">
        <v>7873</v>
      </c>
      <c r="K1355" s="266">
        <f t="shared" si="304"/>
        <v>2021</v>
      </c>
      <c r="L1355" s="301" t="s">
        <v>5514</v>
      </c>
      <c r="M1355" s="301" t="s">
        <v>6133</v>
      </c>
      <c r="N1355" s="32" t="s">
        <v>7785</v>
      </c>
      <c r="O1355" s="32" t="s">
        <v>7882</v>
      </c>
      <c r="P1355" s="278"/>
      <c r="Q1355" s="233"/>
      <c r="R1355" s="75"/>
      <c r="S1355" s="75"/>
      <c r="T1355" s="75"/>
      <c r="U1355" s="204"/>
      <c r="V1355" s="287"/>
      <c r="W1355" s="75"/>
      <c r="X1355" s="200"/>
      <c r="Y1355" s="1"/>
      <c r="Z1355" s="31"/>
      <c r="AA1355" s="223"/>
      <c r="AB1355" s="302" t="s">
        <v>8118</v>
      </c>
      <c r="AC1355" s="302"/>
      <c r="AD1355" s="302"/>
      <c r="AE1355" s="302"/>
    </row>
    <row r="1356" spans="1:32" ht="39" hidden="1" x14ac:dyDescent="0.25">
      <c r="A1356" s="322" t="s">
        <v>7864</v>
      </c>
      <c r="B1356" s="93" t="str">
        <f t="shared" si="303"/>
        <v>YES</v>
      </c>
      <c r="C1356" s="93" t="s">
        <v>5503</v>
      </c>
      <c r="D1356" s="4"/>
      <c r="E1356" s="2">
        <v>40756</v>
      </c>
      <c r="F1356" s="2">
        <f t="shared" si="298"/>
        <v>44409</v>
      </c>
      <c r="G1356" s="6">
        <v>860.39</v>
      </c>
      <c r="H1356" s="3" t="s">
        <v>453</v>
      </c>
      <c r="I1356" s="7" t="s">
        <v>86</v>
      </c>
      <c r="J1356" s="105" t="s">
        <v>7873</v>
      </c>
      <c r="K1356" s="266">
        <f t="shared" si="304"/>
        <v>2021</v>
      </c>
      <c r="L1356" s="301" t="s">
        <v>5514</v>
      </c>
      <c r="M1356" s="301" t="s">
        <v>6133</v>
      </c>
      <c r="N1356" s="32" t="s">
        <v>7785</v>
      </c>
      <c r="O1356" s="32" t="s">
        <v>7883</v>
      </c>
      <c r="P1356" s="278"/>
      <c r="Q1356" s="233"/>
      <c r="R1356" s="75"/>
      <c r="S1356" s="75"/>
      <c r="T1356" s="75"/>
      <c r="U1356" s="204"/>
      <c r="V1356" s="287"/>
      <c r="W1356" s="75"/>
      <c r="X1356" s="200"/>
      <c r="Y1356" s="1"/>
      <c r="Z1356" s="31"/>
      <c r="AA1356" s="223"/>
      <c r="AB1356" s="302" t="s">
        <v>8118</v>
      </c>
      <c r="AC1356" s="302"/>
      <c r="AD1356" s="302"/>
      <c r="AE1356" s="302"/>
    </row>
    <row r="1357" spans="1:32" ht="39" hidden="1" x14ac:dyDescent="0.25">
      <c r="A1357" s="322" t="s">
        <v>7865</v>
      </c>
      <c r="B1357" s="93" t="str">
        <f t="shared" si="303"/>
        <v>YES</v>
      </c>
      <c r="C1357" s="93" t="s">
        <v>5503</v>
      </c>
      <c r="D1357" s="4"/>
      <c r="E1357" s="2">
        <v>40756</v>
      </c>
      <c r="F1357" s="2">
        <f t="shared" si="298"/>
        <v>44409</v>
      </c>
      <c r="G1357" s="6">
        <v>241.22</v>
      </c>
      <c r="H1357" s="3" t="s">
        <v>453</v>
      </c>
      <c r="I1357" s="7" t="s">
        <v>86</v>
      </c>
      <c r="J1357" s="105" t="s">
        <v>7873</v>
      </c>
      <c r="K1357" s="266">
        <f t="shared" si="304"/>
        <v>2021</v>
      </c>
      <c r="L1357" s="301" t="s">
        <v>5514</v>
      </c>
      <c r="M1357" s="301" t="s">
        <v>6133</v>
      </c>
      <c r="N1357" s="32" t="s">
        <v>7785</v>
      </c>
      <c r="O1357" s="32" t="s">
        <v>7884</v>
      </c>
      <c r="P1357" s="278"/>
      <c r="Q1357" s="233"/>
      <c r="R1357" s="75"/>
      <c r="S1357" s="75"/>
      <c r="T1357" s="75"/>
      <c r="U1357" s="204"/>
      <c r="V1357" s="287"/>
      <c r="W1357" s="75"/>
      <c r="X1357" s="200"/>
      <c r="Y1357" s="1"/>
      <c r="Z1357" s="31"/>
      <c r="AA1357" s="223"/>
      <c r="AB1357" s="302" t="s">
        <v>8118</v>
      </c>
      <c r="AC1357" s="302"/>
      <c r="AD1357" s="302"/>
      <c r="AE1357" s="302"/>
    </row>
    <row r="1358" spans="1:32" ht="39" hidden="1" x14ac:dyDescent="0.25">
      <c r="A1358" s="322" t="s">
        <v>7866</v>
      </c>
      <c r="B1358" s="93" t="str">
        <f t="shared" si="303"/>
        <v>YES</v>
      </c>
      <c r="C1358" s="93" t="s">
        <v>5503</v>
      </c>
      <c r="D1358" s="4"/>
      <c r="E1358" s="2">
        <v>40756</v>
      </c>
      <c r="F1358" s="2">
        <f t="shared" si="298"/>
        <v>44409</v>
      </c>
      <c r="G1358" s="6">
        <v>636.03</v>
      </c>
      <c r="H1358" s="3" t="s">
        <v>453</v>
      </c>
      <c r="I1358" s="7" t="s">
        <v>86</v>
      </c>
      <c r="J1358" s="105" t="s">
        <v>7873</v>
      </c>
      <c r="K1358" s="266">
        <f t="shared" si="304"/>
        <v>2021</v>
      </c>
      <c r="L1358" s="301" t="s">
        <v>5514</v>
      </c>
      <c r="M1358" s="301" t="s">
        <v>6133</v>
      </c>
      <c r="N1358" s="32" t="s">
        <v>7785</v>
      </c>
      <c r="O1358" s="32" t="s">
        <v>7885</v>
      </c>
      <c r="P1358" s="278"/>
      <c r="Q1358" s="233"/>
      <c r="R1358" s="75"/>
      <c r="S1358" s="75"/>
      <c r="T1358" s="75"/>
      <c r="U1358" s="204"/>
      <c r="V1358" s="287"/>
      <c r="W1358" s="75"/>
      <c r="X1358" s="200"/>
      <c r="Y1358" s="1"/>
      <c r="Z1358" s="31"/>
      <c r="AA1358" s="223"/>
      <c r="AB1358" s="302" t="s">
        <v>8118</v>
      </c>
      <c r="AC1358" s="302"/>
      <c r="AD1358" s="302"/>
      <c r="AE1358" s="302"/>
    </row>
    <row r="1359" spans="1:32" ht="39" hidden="1" x14ac:dyDescent="0.25">
      <c r="A1359" s="322" t="s">
        <v>7867</v>
      </c>
      <c r="B1359" s="93" t="str">
        <f t="shared" si="303"/>
        <v>YES</v>
      </c>
      <c r="C1359" s="93" t="s">
        <v>5503</v>
      </c>
      <c r="D1359" s="4"/>
      <c r="E1359" s="2">
        <v>40756</v>
      </c>
      <c r="F1359" s="2">
        <f t="shared" si="298"/>
        <v>44409</v>
      </c>
      <c r="G1359" s="6">
        <v>392.74</v>
      </c>
      <c r="H1359" s="3" t="s">
        <v>453</v>
      </c>
      <c r="I1359" s="7" t="s">
        <v>86</v>
      </c>
      <c r="J1359" s="105" t="s">
        <v>7873</v>
      </c>
      <c r="K1359" s="266">
        <f t="shared" si="304"/>
        <v>2021</v>
      </c>
      <c r="L1359" s="301" t="s">
        <v>5514</v>
      </c>
      <c r="M1359" s="301" t="s">
        <v>6133</v>
      </c>
      <c r="N1359" s="32" t="s">
        <v>7785</v>
      </c>
      <c r="O1359" s="32" t="s">
        <v>7886</v>
      </c>
      <c r="P1359" s="278"/>
      <c r="Q1359" s="233"/>
      <c r="R1359" s="75"/>
      <c r="S1359" s="75"/>
      <c r="T1359" s="75"/>
      <c r="U1359" s="204"/>
      <c r="V1359" s="287"/>
      <c r="W1359" s="75"/>
      <c r="X1359" s="200"/>
      <c r="Y1359" s="1"/>
      <c r="Z1359" s="31"/>
      <c r="AA1359" s="223"/>
      <c r="AB1359" s="302" t="s">
        <v>8118</v>
      </c>
      <c r="AC1359" s="302"/>
      <c r="AD1359" s="302"/>
      <c r="AE1359" s="302"/>
    </row>
    <row r="1360" spans="1:32" ht="39" hidden="1" x14ac:dyDescent="0.25">
      <c r="A1360" s="322" t="s">
        <v>7868</v>
      </c>
      <c r="B1360" s="93" t="str">
        <f t="shared" si="303"/>
        <v>YES</v>
      </c>
      <c r="C1360" s="93" t="s">
        <v>5503</v>
      </c>
      <c r="D1360" s="4"/>
      <c r="E1360" s="2">
        <v>40756</v>
      </c>
      <c r="F1360" s="2">
        <f t="shared" si="298"/>
        <v>44409</v>
      </c>
      <c r="G1360" s="6">
        <v>41.17</v>
      </c>
      <c r="H1360" s="3" t="s">
        <v>453</v>
      </c>
      <c r="I1360" s="7" t="s">
        <v>86</v>
      </c>
      <c r="J1360" s="105" t="s">
        <v>7873</v>
      </c>
      <c r="K1360" s="266">
        <f t="shared" si="304"/>
        <v>2021</v>
      </c>
      <c r="L1360" s="301" t="s">
        <v>5514</v>
      </c>
      <c r="M1360" s="301" t="s">
        <v>6133</v>
      </c>
      <c r="N1360" s="32" t="s">
        <v>7785</v>
      </c>
      <c r="O1360" s="32" t="s">
        <v>7887</v>
      </c>
      <c r="P1360" s="278"/>
      <c r="Q1360" s="233"/>
      <c r="R1360" s="75"/>
      <c r="S1360" s="75"/>
      <c r="T1360" s="75"/>
      <c r="U1360" s="204"/>
      <c r="V1360" s="287"/>
      <c r="W1360" s="75"/>
      <c r="X1360" s="200"/>
      <c r="Y1360" s="1"/>
      <c r="Z1360" s="31"/>
      <c r="AA1360" s="223"/>
      <c r="AB1360" s="302" t="s">
        <v>8118</v>
      </c>
      <c r="AC1360" s="302"/>
      <c r="AD1360" s="302"/>
      <c r="AE1360" s="302"/>
    </row>
    <row r="1361" spans="1:32" ht="39" hidden="1" x14ac:dyDescent="0.25">
      <c r="A1361" s="322" t="s">
        <v>7869</v>
      </c>
      <c r="B1361" s="93" t="str">
        <f t="shared" si="303"/>
        <v>NO</v>
      </c>
      <c r="C1361" s="93" t="s">
        <v>5503</v>
      </c>
      <c r="D1361" s="4"/>
      <c r="E1361" s="2">
        <v>40756</v>
      </c>
      <c r="F1361" s="2">
        <f t="shared" si="298"/>
        <v>44409</v>
      </c>
      <c r="G1361" s="6">
        <v>465.98</v>
      </c>
      <c r="H1361" s="3" t="s">
        <v>453</v>
      </c>
      <c r="I1361" s="7" t="s">
        <v>86</v>
      </c>
      <c r="J1361" s="105" t="s">
        <v>7873</v>
      </c>
      <c r="K1361" s="266">
        <f t="shared" si="304"/>
        <v>2021</v>
      </c>
      <c r="L1361" s="301" t="s">
        <v>5834</v>
      </c>
      <c r="M1361" s="301" t="s">
        <v>6133</v>
      </c>
      <c r="N1361" s="32" t="s">
        <v>7785</v>
      </c>
      <c r="O1361" s="32" t="s">
        <v>7888</v>
      </c>
      <c r="P1361" s="278"/>
      <c r="Q1361" s="233"/>
      <c r="R1361" s="75"/>
      <c r="S1361" s="75"/>
      <c r="T1361" s="75"/>
      <c r="U1361" s="204"/>
      <c r="V1361" s="287"/>
      <c r="W1361" s="75"/>
      <c r="X1361" s="200"/>
      <c r="Y1361" s="1"/>
      <c r="Z1361" s="31"/>
      <c r="AA1361" s="223"/>
      <c r="AB1361" s="302" t="s">
        <v>8118</v>
      </c>
      <c r="AC1361" s="302"/>
      <c r="AD1361" s="302"/>
      <c r="AE1361" s="302"/>
    </row>
    <row r="1362" spans="1:32" ht="39" hidden="1" x14ac:dyDescent="0.25">
      <c r="A1362" s="322" t="s">
        <v>7870</v>
      </c>
      <c r="B1362" s="93" t="str">
        <f t="shared" si="303"/>
        <v>YES</v>
      </c>
      <c r="C1362" s="93" t="s">
        <v>5503</v>
      </c>
      <c r="D1362" s="4"/>
      <c r="E1362" s="2">
        <v>40756</v>
      </c>
      <c r="F1362" s="2">
        <f t="shared" si="298"/>
        <v>44409</v>
      </c>
      <c r="G1362" s="6">
        <v>955.5</v>
      </c>
      <c r="H1362" s="3" t="s">
        <v>453</v>
      </c>
      <c r="I1362" s="7" t="s">
        <v>86</v>
      </c>
      <c r="J1362" s="105" t="s">
        <v>7873</v>
      </c>
      <c r="K1362" s="266">
        <f t="shared" si="304"/>
        <v>2021</v>
      </c>
      <c r="L1362" s="301" t="s">
        <v>5834</v>
      </c>
      <c r="M1362" s="301" t="s">
        <v>6133</v>
      </c>
      <c r="N1362" s="32" t="s">
        <v>7785</v>
      </c>
      <c r="O1362" s="32" t="s">
        <v>7889</v>
      </c>
      <c r="P1362" s="278"/>
      <c r="Q1362" s="233"/>
      <c r="R1362" s="75"/>
      <c r="S1362" s="75"/>
      <c r="T1362" s="75"/>
      <c r="U1362" s="204"/>
      <c r="V1362" s="287"/>
      <c r="W1362" s="75"/>
      <c r="X1362" s="200"/>
      <c r="Y1362" s="1"/>
      <c r="Z1362" s="31"/>
      <c r="AA1362" s="223"/>
      <c r="AB1362" s="302" t="s">
        <v>8118</v>
      </c>
      <c r="AC1362" s="302"/>
      <c r="AD1362" s="302"/>
      <c r="AE1362" s="302"/>
    </row>
    <row r="1363" spans="1:32" ht="39" hidden="1" x14ac:dyDescent="0.25">
      <c r="A1363" s="322" t="s">
        <v>7871</v>
      </c>
      <c r="B1363" s="93" t="str">
        <f t="shared" si="303"/>
        <v>YES</v>
      </c>
      <c r="C1363" s="93" t="s">
        <v>5503</v>
      </c>
      <c r="D1363" s="4"/>
      <c r="E1363" s="2">
        <v>40756</v>
      </c>
      <c r="F1363" s="2">
        <f t="shared" si="298"/>
        <v>44409</v>
      </c>
      <c r="G1363" s="6">
        <v>40</v>
      </c>
      <c r="H1363" s="3" t="s">
        <v>453</v>
      </c>
      <c r="I1363" s="7" t="s">
        <v>86</v>
      </c>
      <c r="J1363" s="105" t="s">
        <v>7873</v>
      </c>
      <c r="K1363" s="266">
        <f t="shared" si="304"/>
        <v>2021</v>
      </c>
      <c r="L1363" s="301" t="s">
        <v>5834</v>
      </c>
      <c r="M1363" s="301" t="s">
        <v>6133</v>
      </c>
      <c r="N1363" s="32" t="s">
        <v>7785</v>
      </c>
      <c r="O1363" s="32" t="s">
        <v>7890</v>
      </c>
      <c r="P1363" s="278"/>
      <c r="Q1363" s="233"/>
      <c r="R1363" s="75"/>
      <c r="S1363" s="75"/>
      <c r="T1363" s="75"/>
      <c r="U1363" s="204"/>
      <c r="V1363" s="287"/>
      <c r="W1363" s="75"/>
      <c r="X1363" s="200"/>
      <c r="Y1363" s="1"/>
      <c r="Z1363" s="31"/>
      <c r="AA1363" s="223"/>
      <c r="AB1363" s="302" t="s">
        <v>8118</v>
      </c>
      <c r="AC1363" s="302"/>
      <c r="AD1363" s="302"/>
      <c r="AE1363" s="302"/>
    </row>
    <row r="1364" spans="1:32" ht="39" hidden="1" x14ac:dyDescent="0.25">
      <c r="A1364" s="322" t="s">
        <v>3816</v>
      </c>
      <c r="B1364" s="93" t="str">
        <f t="shared" si="303"/>
        <v>YES</v>
      </c>
      <c r="C1364" s="93" t="s">
        <v>5503</v>
      </c>
      <c r="D1364" s="4">
        <v>40710</v>
      </c>
      <c r="E1364" s="11">
        <v>40817</v>
      </c>
      <c r="F1364" s="2">
        <f t="shared" si="298"/>
        <v>44470</v>
      </c>
      <c r="G1364" s="6">
        <v>817.95</v>
      </c>
      <c r="H1364" s="3" t="s">
        <v>453</v>
      </c>
      <c r="I1364" s="7" t="s">
        <v>86</v>
      </c>
      <c r="J1364" s="105" t="s">
        <v>3817</v>
      </c>
      <c r="K1364" s="266">
        <f t="shared" si="304"/>
        <v>2021</v>
      </c>
      <c r="L1364" s="301" t="s">
        <v>5514</v>
      </c>
      <c r="M1364" s="301" t="s">
        <v>5840</v>
      </c>
      <c r="N1364" s="32" t="s">
        <v>7785</v>
      </c>
      <c r="O1364" s="32" t="s">
        <v>3818</v>
      </c>
      <c r="P1364" s="278"/>
      <c r="Q1364" s="237"/>
      <c r="R1364" s="75">
        <v>3946</v>
      </c>
      <c r="S1364" s="75">
        <v>0</v>
      </c>
      <c r="T1364" s="75">
        <v>3946</v>
      </c>
      <c r="U1364" s="204">
        <v>1227</v>
      </c>
      <c r="V1364" s="287">
        <f t="shared" ca="1" si="305"/>
        <v>9</v>
      </c>
      <c r="W1364" s="75">
        <f t="shared" ca="1" si="306"/>
        <v>12679</v>
      </c>
      <c r="X1364" s="200">
        <f t="shared" ca="1" si="307"/>
        <v>15398</v>
      </c>
      <c r="Y1364" s="1"/>
      <c r="Z1364" s="31">
        <v>0.1</v>
      </c>
      <c r="AA1364" s="223">
        <v>0.09</v>
      </c>
      <c r="AB1364" s="302" t="s">
        <v>8112</v>
      </c>
      <c r="AC1364" s="302"/>
      <c r="AD1364" s="302"/>
      <c r="AE1364" s="302"/>
      <c r="AF1364">
        <f t="shared" si="297"/>
        <v>0</v>
      </c>
    </row>
    <row r="1365" spans="1:32" ht="26.25" hidden="1" x14ac:dyDescent="0.25">
      <c r="A1365" s="322" t="s">
        <v>3819</v>
      </c>
      <c r="B1365" s="93" t="str">
        <f t="shared" si="303"/>
        <v>YES</v>
      </c>
      <c r="C1365" s="93" t="s">
        <v>5503</v>
      </c>
      <c r="D1365" s="4">
        <v>40710</v>
      </c>
      <c r="E1365" s="2">
        <v>40756</v>
      </c>
      <c r="F1365" s="2">
        <f t="shared" si="298"/>
        <v>44409</v>
      </c>
      <c r="G1365" s="6">
        <v>333.38</v>
      </c>
      <c r="H1365" s="3" t="s">
        <v>111</v>
      </c>
      <c r="I1365" s="7" t="s">
        <v>86</v>
      </c>
      <c r="J1365" s="186"/>
      <c r="K1365" s="266">
        <f t="shared" si="304"/>
        <v>2021</v>
      </c>
      <c r="L1365" s="301" t="s">
        <v>5514</v>
      </c>
      <c r="M1365" s="301" t="s">
        <v>5840</v>
      </c>
      <c r="N1365" s="32" t="s">
        <v>7785</v>
      </c>
      <c r="O1365" s="32" t="s">
        <v>3821</v>
      </c>
      <c r="P1365" s="278"/>
      <c r="Q1365" s="233" t="s">
        <v>3820</v>
      </c>
      <c r="R1365" s="75">
        <v>1314</v>
      </c>
      <c r="S1365" s="75">
        <v>0</v>
      </c>
      <c r="T1365" s="75">
        <v>1314</v>
      </c>
      <c r="U1365" s="204">
        <v>501</v>
      </c>
      <c r="V1365" s="287">
        <f t="shared" ca="1" si="305"/>
        <v>9</v>
      </c>
      <c r="W1365" s="75">
        <f t="shared" ca="1" si="306"/>
        <v>5177</v>
      </c>
      <c r="X1365" s="200">
        <f t="shared" ca="1" si="307"/>
        <v>5990</v>
      </c>
      <c r="Y1365" s="1"/>
      <c r="Z1365" s="31">
        <v>0.1</v>
      </c>
      <c r="AA1365" s="223">
        <v>0.09</v>
      </c>
      <c r="AB1365" s="302" t="s">
        <v>7080</v>
      </c>
      <c r="AC1365" s="302"/>
      <c r="AD1365" s="302"/>
      <c r="AE1365" s="302"/>
      <c r="AF1365">
        <f t="shared" si="297"/>
        <v>0</v>
      </c>
    </row>
    <row r="1366" spans="1:32" hidden="1" x14ac:dyDescent="0.25">
      <c r="A1366" s="322" t="s">
        <v>3822</v>
      </c>
      <c r="B1366" s="93" t="str">
        <f t="shared" si="303"/>
        <v>YES</v>
      </c>
      <c r="C1366" s="93" t="s">
        <v>5503</v>
      </c>
      <c r="D1366" s="4">
        <v>40710</v>
      </c>
      <c r="E1366" s="2">
        <v>40756</v>
      </c>
      <c r="F1366" s="2">
        <f t="shared" si="298"/>
        <v>44409</v>
      </c>
      <c r="G1366" s="6">
        <v>1879.63</v>
      </c>
      <c r="H1366" s="3" t="s">
        <v>111</v>
      </c>
      <c r="I1366" s="7" t="s">
        <v>86</v>
      </c>
      <c r="J1366" s="186"/>
      <c r="K1366" s="266">
        <f t="shared" si="304"/>
        <v>2021</v>
      </c>
      <c r="L1366" s="301" t="s">
        <v>5514</v>
      </c>
      <c r="M1366" s="301" t="s">
        <v>5840</v>
      </c>
      <c r="N1366" s="32" t="s">
        <v>7785</v>
      </c>
      <c r="O1366" s="32" t="s">
        <v>3672</v>
      </c>
      <c r="P1366" s="278"/>
      <c r="Q1366" s="233" t="s">
        <v>3823</v>
      </c>
      <c r="R1366" s="75">
        <v>6725</v>
      </c>
      <c r="S1366" s="75">
        <v>48880</v>
      </c>
      <c r="T1366" s="75">
        <v>55605</v>
      </c>
      <c r="U1366" s="204">
        <v>2820</v>
      </c>
      <c r="V1366" s="287">
        <f t="shared" ca="1" si="305"/>
        <v>9</v>
      </c>
      <c r="W1366" s="75">
        <f t="shared" ca="1" si="306"/>
        <v>29140</v>
      </c>
      <c r="X1366" s="200">
        <f t="shared" ca="1" si="307"/>
        <v>81925</v>
      </c>
      <c r="Y1366" s="1"/>
      <c r="Z1366" s="31">
        <v>0.1</v>
      </c>
      <c r="AA1366" s="223">
        <v>0.09</v>
      </c>
      <c r="AB1366" s="302" t="s">
        <v>7081</v>
      </c>
      <c r="AC1366" s="302"/>
      <c r="AD1366" s="302"/>
      <c r="AE1366" s="302"/>
      <c r="AF1366">
        <f t="shared" si="297"/>
        <v>0</v>
      </c>
    </row>
    <row r="1367" spans="1:32" ht="39" hidden="1" x14ac:dyDescent="0.25">
      <c r="A1367" s="322" t="s">
        <v>3824</v>
      </c>
      <c r="B1367" s="93" t="str">
        <f t="shared" si="303"/>
        <v>YES</v>
      </c>
      <c r="C1367" s="93" t="s">
        <v>5503</v>
      </c>
      <c r="D1367" s="4">
        <v>40710</v>
      </c>
      <c r="E1367" s="11">
        <v>40817</v>
      </c>
      <c r="F1367" s="2">
        <f t="shared" si="298"/>
        <v>44470</v>
      </c>
      <c r="G1367" s="6">
        <v>86.61</v>
      </c>
      <c r="H1367" s="3" t="s">
        <v>111</v>
      </c>
      <c r="I1367" s="7" t="s">
        <v>86</v>
      </c>
      <c r="J1367" s="105" t="s">
        <v>3825</v>
      </c>
      <c r="K1367" s="266">
        <f t="shared" si="304"/>
        <v>2021</v>
      </c>
      <c r="L1367" s="301" t="s">
        <v>5514</v>
      </c>
      <c r="M1367" s="301" t="s">
        <v>5840</v>
      </c>
      <c r="N1367" s="32" t="s">
        <v>7785</v>
      </c>
      <c r="O1367" s="32" t="s">
        <v>3826</v>
      </c>
      <c r="P1367" s="278"/>
      <c r="Q1367" s="237"/>
      <c r="R1367" s="75">
        <v>848.5</v>
      </c>
      <c r="S1367" s="75">
        <v>4020</v>
      </c>
      <c r="T1367" s="75">
        <v>4868.5</v>
      </c>
      <c r="U1367" s="204">
        <v>130.5</v>
      </c>
      <c r="V1367" s="287">
        <f t="shared" ca="1" si="305"/>
        <v>9</v>
      </c>
      <c r="W1367" s="75">
        <f t="shared" ca="1" si="306"/>
        <v>1348.5</v>
      </c>
      <c r="X1367" s="200">
        <f t="shared" ca="1" si="307"/>
        <v>6086.5</v>
      </c>
      <c r="Y1367" s="1"/>
      <c r="Z1367" s="31">
        <v>0.1</v>
      </c>
      <c r="AA1367" s="223">
        <v>0.09</v>
      </c>
      <c r="AB1367" s="302" t="s">
        <v>7082</v>
      </c>
      <c r="AC1367" s="302"/>
      <c r="AD1367" s="302"/>
      <c r="AE1367" s="302"/>
      <c r="AF1367">
        <f t="shared" si="297"/>
        <v>0</v>
      </c>
    </row>
    <row r="1368" spans="1:32" ht="26.25" hidden="1" x14ac:dyDescent="0.25">
      <c r="A1368" s="322" t="s">
        <v>3827</v>
      </c>
      <c r="B1368" s="93" t="str">
        <f t="shared" si="303"/>
        <v>YES</v>
      </c>
      <c r="C1368" s="93" t="s">
        <v>5503</v>
      </c>
      <c r="D1368" s="4">
        <v>40710</v>
      </c>
      <c r="E1368" s="2">
        <v>40756</v>
      </c>
      <c r="F1368" s="2">
        <f t="shared" si="298"/>
        <v>44409</v>
      </c>
      <c r="G1368" s="6">
        <v>581.67999999999995</v>
      </c>
      <c r="H1368" s="3" t="s">
        <v>111</v>
      </c>
      <c r="I1368" s="7" t="s">
        <v>86</v>
      </c>
      <c r="J1368" s="186"/>
      <c r="K1368" s="266">
        <f t="shared" si="304"/>
        <v>2021</v>
      </c>
      <c r="L1368" s="301" t="s">
        <v>5514</v>
      </c>
      <c r="M1368" s="301" t="s">
        <v>5840</v>
      </c>
      <c r="N1368" s="32" t="s">
        <v>7785</v>
      </c>
      <c r="O1368" s="32" t="s">
        <v>3829</v>
      </c>
      <c r="P1368" s="278"/>
      <c r="Q1368" s="233" t="s">
        <v>3828</v>
      </c>
      <c r="R1368" s="75">
        <v>2182</v>
      </c>
      <c r="S1368" s="75">
        <v>0</v>
      </c>
      <c r="T1368" s="75">
        <v>2182</v>
      </c>
      <c r="U1368" s="204">
        <v>873</v>
      </c>
      <c r="V1368" s="287">
        <f t="shared" ca="1" si="305"/>
        <v>9</v>
      </c>
      <c r="W1368" s="75">
        <f t="shared" ca="1" si="306"/>
        <v>9021</v>
      </c>
      <c r="X1368" s="200">
        <f t="shared" ca="1" si="307"/>
        <v>10330</v>
      </c>
      <c r="Y1368" s="1"/>
      <c r="Z1368" s="31">
        <v>0.1</v>
      </c>
      <c r="AA1368" s="223">
        <v>0.09</v>
      </c>
      <c r="AB1368" s="302" t="s">
        <v>7083</v>
      </c>
      <c r="AC1368" s="302"/>
      <c r="AD1368" s="302"/>
      <c r="AE1368" s="302"/>
      <c r="AF1368">
        <f t="shared" si="297"/>
        <v>0</v>
      </c>
    </row>
    <row r="1369" spans="1:32" ht="26.25" hidden="1" x14ac:dyDescent="0.25">
      <c r="A1369" s="322" t="s">
        <v>3830</v>
      </c>
      <c r="B1369" s="93" t="str">
        <f t="shared" si="303"/>
        <v>NO</v>
      </c>
      <c r="C1369" s="93" t="s">
        <v>5503</v>
      </c>
      <c r="D1369" s="4">
        <v>40710</v>
      </c>
      <c r="E1369" s="2">
        <v>40756</v>
      </c>
      <c r="F1369" s="2">
        <f t="shared" si="298"/>
        <v>44409</v>
      </c>
      <c r="G1369" s="6"/>
      <c r="H1369" s="3" t="s">
        <v>111</v>
      </c>
      <c r="I1369" s="7" t="s">
        <v>86</v>
      </c>
      <c r="J1369" s="105" t="s">
        <v>3831</v>
      </c>
      <c r="K1369" s="266">
        <f t="shared" si="304"/>
        <v>2021</v>
      </c>
      <c r="L1369" s="412"/>
      <c r="M1369" s="412"/>
      <c r="N1369" s="32" t="s">
        <v>7785</v>
      </c>
      <c r="O1369" s="32" t="s">
        <v>3832</v>
      </c>
      <c r="P1369" s="278"/>
      <c r="Q1369" s="237"/>
      <c r="R1369" s="108"/>
      <c r="S1369" s="108"/>
      <c r="T1369" s="108"/>
      <c r="U1369" s="204"/>
      <c r="V1369" s="287">
        <f t="shared" ca="1" si="305"/>
        <v>9</v>
      </c>
      <c r="W1369" s="75">
        <f t="shared" ca="1" si="306"/>
        <v>0</v>
      </c>
      <c r="X1369" s="200">
        <f t="shared" ca="1" si="307"/>
        <v>0</v>
      </c>
      <c r="Y1369" s="1"/>
      <c r="Z1369" s="31">
        <v>0.1</v>
      </c>
      <c r="AA1369" s="223">
        <v>0.09</v>
      </c>
      <c r="AB1369" s="302"/>
      <c r="AC1369" s="302"/>
      <c r="AD1369" s="302"/>
      <c r="AE1369" s="302"/>
      <c r="AF1369">
        <f t="shared" si="297"/>
        <v>0</v>
      </c>
    </row>
    <row r="1370" spans="1:32" ht="51.75" hidden="1" x14ac:dyDescent="0.25">
      <c r="A1370" s="322" t="s">
        <v>3833</v>
      </c>
      <c r="B1370" s="93" t="str">
        <f t="shared" si="303"/>
        <v>YES</v>
      </c>
      <c r="C1370" s="93" t="s">
        <v>5503</v>
      </c>
      <c r="D1370" s="4">
        <v>40710</v>
      </c>
      <c r="E1370" s="2">
        <v>40756</v>
      </c>
      <c r="F1370" s="2">
        <f t="shared" si="298"/>
        <v>44409</v>
      </c>
      <c r="G1370" s="6">
        <v>534.1</v>
      </c>
      <c r="H1370" s="3" t="s">
        <v>332</v>
      </c>
      <c r="I1370" s="7" t="s">
        <v>86</v>
      </c>
      <c r="J1370" s="109" t="s">
        <v>7855</v>
      </c>
      <c r="K1370" s="266">
        <f t="shared" si="304"/>
        <v>2021</v>
      </c>
      <c r="L1370" s="301" t="s">
        <v>5519</v>
      </c>
      <c r="M1370" s="301" t="s">
        <v>5835</v>
      </c>
      <c r="N1370" s="32" t="s">
        <v>7785</v>
      </c>
      <c r="O1370" s="32" t="s">
        <v>3835</v>
      </c>
      <c r="P1370" s="278"/>
      <c r="Q1370" s="233" t="s">
        <v>3834</v>
      </c>
      <c r="R1370" s="75">
        <v>2017.5</v>
      </c>
      <c r="S1370" s="75">
        <v>4280</v>
      </c>
      <c r="T1370" s="75">
        <v>6297.5</v>
      </c>
      <c r="U1370" s="204">
        <v>802.5</v>
      </c>
      <c r="V1370" s="287">
        <f t="shared" ca="1" si="305"/>
        <v>9</v>
      </c>
      <c r="W1370" s="75">
        <f t="shared" ca="1" si="306"/>
        <v>8292.5</v>
      </c>
      <c r="X1370" s="200">
        <f t="shared" ca="1" si="307"/>
        <v>13787.5</v>
      </c>
      <c r="Y1370" s="1"/>
      <c r="Z1370" s="31">
        <v>0.1</v>
      </c>
      <c r="AA1370" s="223">
        <v>0.09</v>
      </c>
      <c r="AB1370" s="302" t="s">
        <v>7084</v>
      </c>
      <c r="AC1370" s="302"/>
      <c r="AD1370" s="302"/>
      <c r="AE1370" s="302"/>
      <c r="AF1370">
        <f t="shared" si="297"/>
        <v>0</v>
      </c>
    </row>
    <row r="1371" spans="1:32" ht="15.75" hidden="1" thickBot="1" x14ac:dyDescent="0.3">
      <c r="A1371" s="322"/>
      <c r="D1371" s="7"/>
      <c r="E1371" s="8"/>
      <c r="F1371" s="2"/>
      <c r="G1371" s="6"/>
      <c r="H1371" s="7"/>
      <c r="I1371" s="7"/>
      <c r="J1371" s="186"/>
      <c r="K1371" s="186"/>
      <c r="L1371" s="386"/>
      <c r="M1371" s="386"/>
      <c r="N1371" s="32"/>
      <c r="O1371" s="32"/>
      <c r="P1371" s="278"/>
      <c r="Q1371" s="233"/>
      <c r="R1371" s="76">
        <v>168724</v>
      </c>
      <c r="S1371" s="76">
        <v>293274</v>
      </c>
      <c r="T1371" s="76">
        <v>461998</v>
      </c>
      <c r="U1371" s="200"/>
      <c r="V1371" s="75"/>
      <c r="W1371" s="75"/>
      <c r="X1371" s="200"/>
      <c r="Y1371" s="1"/>
      <c r="Z1371" s="1"/>
      <c r="AA1371" s="219"/>
      <c r="AB1371" s="302"/>
      <c r="AC1371" s="302"/>
      <c r="AD1371" s="302"/>
      <c r="AE1371" s="302"/>
      <c r="AF1371">
        <f t="shared" si="297"/>
        <v>0</v>
      </c>
    </row>
    <row r="1372" spans="1:32" hidden="1" x14ac:dyDescent="0.25">
      <c r="A1372" s="322"/>
      <c r="D1372" s="7"/>
      <c r="E1372" s="8"/>
      <c r="F1372" s="2"/>
      <c r="G1372" s="6"/>
      <c r="H1372" s="7"/>
      <c r="I1372" s="7"/>
      <c r="J1372" s="186"/>
      <c r="K1372" s="186"/>
      <c r="L1372" s="386"/>
      <c r="M1372" s="386"/>
      <c r="N1372" s="32"/>
      <c r="O1372" s="32"/>
      <c r="P1372" s="278"/>
      <c r="Q1372" s="233" t="s">
        <v>3836</v>
      </c>
      <c r="R1372" s="75"/>
      <c r="S1372" s="75"/>
      <c r="T1372" s="89">
        <v>-5484</v>
      </c>
      <c r="U1372" s="200"/>
      <c r="V1372" s="75"/>
      <c r="W1372" s="75"/>
      <c r="X1372" s="200"/>
      <c r="Y1372" s="1"/>
      <c r="Z1372" s="1"/>
      <c r="AA1372" s="219"/>
      <c r="AB1372" s="302"/>
      <c r="AC1372" s="302"/>
      <c r="AD1372" s="302"/>
      <c r="AE1372" s="302"/>
      <c r="AF1372">
        <f t="shared" ref="AF1372:AF1435" si="308">COUNTIF(FilterList,A1372)</f>
        <v>0</v>
      </c>
    </row>
    <row r="1373" spans="1:32" ht="15.75" hidden="1" thickBot="1" x14ac:dyDescent="0.3">
      <c r="A1373" s="322"/>
      <c r="D1373" s="7"/>
      <c r="E1373" s="8"/>
      <c r="F1373" s="2"/>
      <c r="G1373" s="6"/>
      <c r="H1373" s="7"/>
      <c r="I1373" s="7"/>
      <c r="J1373" s="186"/>
      <c r="K1373" s="186"/>
      <c r="L1373" s="386"/>
      <c r="M1373" s="386"/>
      <c r="N1373" s="32"/>
      <c r="O1373" s="32"/>
      <c r="P1373" s="278"/>
      <c r="Q1373" s="233"/>
      <c r="R1373" s="75"/>
      <c r="S1373" s="75"/>
      <c r="T1373" s="88">
        <v>467482</v>
      </c>
      <c r="U1373" s="200"/>
      <c r="V1373" s="75"/>
      <c r="W1373" s="75"/>
      <c r="X1373" s="200"/>
      <c r="Y1373" s="1"/>
      <c r="Z1373" s="74"/>
      <c r="AA1373" s="224"/>
      <c r="AB1373" s="302"/>
      <c r="AC1373" s="302"/>
      <c r="AD1373" s="302"/>
      <c r="AE1373" s="302"/>
      <c r="AF1373">
        <f t="shared" si="308"/>
        <v>0</v>
      </c>
    </row>
    <row r="1374" spans="1:32" hidden="1" x14ac:dyDescent="0.25">
      <c r="A1374" s="322"/>
      <c r="D1374" s="7"/>
      <c r="E1374" s="8"/>
      <c r="F1374" s="2"/>
      <c r="G1374" s="6"/>
      <c r="H1374" s="7"/>
      <c r="I1374" s="7"/>
      <c r="J1374" s="186"/>
      <c r="K1374" s="186"/>
      <c r="L1374" s="386"/>
      <c r="M1374" s="386"/>
      <c r="N1374" s="32"/>
      <c r="O1374" s="32"/>
      <c r="P1374" s="278"/>
      <c r="Q1374" s="233"/>
      <c r="R1374" s="75"/>
      <c r="S1374" s="75"/>
      <c r="T1374" s="75"/>
      <c r="U1374" s="200"/>
      <c r="V1374" s="75"/>
      <c r="W1374" s="75"/>
      <c r="X1374" s="200"/>
      <c r="Y1374" s="1"/>
      <c r="Z1374" s="1"/>
      <c r="AA1374" s="219"/>
      <c r="AB1374" s="302"/>
      <c r="AC1374" s="302"/>
      <c r="AD1374" s="302"/>
      <c r="AE1374" s="302"/>
      <c r="AF1374">
        <f t="shared" si="308"/>
        <v>0</v>
      </c>
    </row>
    <row r="1375" spans="1:32" hidden="1" x14ac:dyDescent="0.25">
      <c r="A1375" s="322" t="s">
        <v>3837</v>
      </c>
      <c r="B1375" s="93" t="str">
        <f t="shared" ref="B1375:B1380" si="309">IF(COUNTIF(GIS,A1375),"YES","NO")</f>
        <v>YES</v>
      </c>
      <c r="C1375" s="93" t="s">
        <v>5503</v>
      </c>
      <c r="D1375" s="4">
        <v>40744</v>
      </c>
      <c r="E1375" s="2">
        <v>40787</v>
      </c>
      <c r="F1375" s="2">
        <f t="shared" ref="F1375:F1436" si="310">DATE(YEAR(E1375)+10,MONTH(E1375),DAY(E1375))</f>
        <v>44440</v>
      </c>
      <c r="G1375" s="6">
        <v>1600</v>
      </c>
      <c r="H1375" s="7" t="s">
        <v>892</v>
      </c>
      <c r="I1375" s="7" t="s">
        <v>512</v>
      </c>
      <c r="J1375" s="186"/>
      <c r="K1375" s="266">
        <f>YEAR(F1375)</f>
        <v>2021</v>
      </c>
      <c r="L1375" s="390" t="s">
        <v>5659</v>
      </c>
      <c r="M1375" s="390" t="s">
        <v>7539</v>
      </c>
      <c r="N1375" s="32" t="s">
        <v>7802</v>
      </c>
      <c r="O1375" s="32" t="s">
        <v>3839</v>
      </c>
      <c r="P1375" s="278"/>
      <c r="Q1375" s="233" t="s">
        <v>3838</v>
      </c>
      <c r="R1375" s="75">
        <v>5745</v>
      </c>
      <c r="S1375" s="75">
        <v>186255</v>
      </c>
      <c r="T1375" s="75">
        <v>192000</v>
      </c>
      <c r="U1375" s="200">
        <v>2400</v>
      </c>
      <c r="V1375" s="287">
        <f ca="1">IF(YEAR($W$3)-YEAR(E1375)&gt;9,10,IF(MONTH($W$3)&lt;MONTH(E1375),YEAR($W$3)-YEAR(E1375),YEAR($W$3)-YEAR(E1375)+1))</f>
        <v>9</v>
      </c>
      <c r="W1375" s="75">
        <f t="shared" ref="W1375:W1376" ca="1" si="311">IF(V1375&lt;6, ROUNDUP(G1375,0)*$W$6*V1375, ROUNDUP(G1375,0)*($W$6*5 + (V1375-5)*$W$7))</f>
        <v>24800</v>
      </c>
      <c r="X1375" s="200">
        <f t="shared" ref="X1375:X1376" ca="1" si="312">IF(V1375=0,T1375,((T1375-ROUNDUP(G1375,0)*1.5)+W1375))</f>
        <v>214400</v>
      </c>
      <c r="Y1375" s="1"/>
      <c r="Z1375" s="31">
        <v>0.1</v>
      </c>
      <c r="AA1375" s="223">
        <v>0.09</v>
      </c>
      <c r="AB1375" s="302" t="s">
        <v>7085</v>
      </c>
      <c r="AC1375" s="302"/>
      <c r="AD1375" s="302"/>
      <c r="AE1375" s="302"/>
      <c r="AF1375">
        <f t="shared" si="308"/>
        <v>0</v>
      </c>
    </row>
    <row r="1376" spans="1:32" hidden="1" x14ac:dyDescent="0.25">
      <c r="A1376" s="322" t="s">
        <v>3840</v>
      </c>
      <c r="B1376" s="93" t="str">
        <f t="shared" si="309"/>
        <v>YES</v>
      </c>
      <c r="C1376" s="93" t="s">
        <v>5503</v>
      </c>
      <c r="D1376" s="4">
        <v>40744</v>
      </c>
      <c r="E1376" s="2">
        <v>40787</v>
      </c>
      <c r="F1376" s="2">
        <f t="shared" si="310"/>
        <v>44440</v>
      </c>
      <c r="G1376" s="6">
        <v>120</v>
      </c>
      <c r="H1376" s="7" t="s">
        <v>899</v>
      </c>
      <c r="I1376" s="7" t="s">
        <v>512</v>
      </c>
      <c r="J1376" s="186"/>
      <c r="K1376" s="266">
        <f>YEAR(F1376)</f>
        <v>2021</v>
      </c>
      <c r="L1376" s="390" t="s">
        <v>5741</v>
      </c>
      <c r="M1376" s="390" t="s">
        <v>7526</v>
      </c>
      <c r="N1376" s="32" t="s">
        <v>7802</v>
      </c>
      <c r="O1376" s="32" t="s">
        <v>3842</v>
      </c>
      <c r="P1376" s="278"/>
      <c r="Q1376" s="233" t="s">
        <v>3841</v>
      </c>
      <c r="R1376" s="75">
        <v>565</v>
      </c>
      <c r="S1376" s="75">
        <v>32435</v>
      </c>
      <c r="T1376" s="75">
        <v>33000</v>
      </c>
      <c r="U1376" s="200">
        <v>180</v>
      </c>
      <c r="V1376" s="287">
        <f ca="1">IF(YEAR($W$3)-YEAR(E1376)&gt;9,10,IF(MONTH($W$3)&lt;MONTH(E1376),YEAR($W$3)-YEAR(E1376),YEAR($W$3)-YEAR(E1376)+1))</f>
        <v>9</v>
      </c>
      <c r="W1376" s="75">
        <f t="shared" ca="1" si="311"/>
        <v>1860</v>
      </c>
      <c r="X1376" s="200">
        <f t="shared" ca="1" si="312"/>
        <v>34680</v>
      </c>
      <c r="Y1376" s="1"/>
      <c r="Z1376" s="31">
        <v>0.1</v>
      </c>
      <c r="AA1376" s="223">
        <v>0.09</v>
      </c>
      <c r="AB1376" s="302" t="s">
        <v>5394</v>
      </c>
      <c r="AC1376" s="310">
        <v>42829</v>
      </c>
      <c r="AD1376" s="311">
        <v>0.25</v>
      </c>
      <c r="AE1376" s="312" t="s">
        <v>6231</v>
      </c>
      <c r="AF1376">
        <f t="shared" si="308"/>
        <v>0</v>
      </c>
    </row>
    <row r="1377" spans="1:32" ht="26.25" hidden="1" x14ac:dyDescent="0.25">
      <c r="A1377" s="322" t="s">
        <v>3588</v>
      </c>
      <c r="B1377" s="93" t="str">
        <f t="shared" si="309"/>
        <v>NO</v>
      </c>
      <c r="C1377" s="93" t="s">
        <v>5503</v>
      </c>
      <c r="D1377" s="4">
        <v>40744</v>
      </c>
      <c r="E1377" s="113"/>
      <c r="F1377" s="2"/>
      <c r="G1377" s="6">
        <v>40</v>
      </c>
      <c r="H1377" s="7"/>
      <c r="I1377" s="7"/>
      <c r="J1377" s="105" t="s">
        <v>3843</v>
      </c>
      <c r="K1377" s="266"/>
      <c r="L1377" s="381"/>
      <c r="M1377" s="381"/>
      <c r="N1377" s="32"/>
      <c r="O1377" s="32"/>
      <c r="P1377" s="278"/>
      <c r="Q1377" s="237"/>
      <c r="R1377" s="108"/>
      <c r="S1377" s="108"/>
      <c r="T1377" s="108"/>
      <c r="U1377" s="200"/>
      <c r="V1377" s="75"/>
      <c r="W1377" s="75"/>
      <c r="X1377" s="200"/>
      <c r="Y1377" s="1"/>
      <c r="Z1377" s="1"/>
      <c r="AA1377" s="219"/>
      <c r="AB1377" s="302"/>
      <c r="AC1377" s="302"/>
      <c r="AD1377" s="302"/>
      <c r="AE1377" s="302"/>
      <c r="AF1377">
        <f t="shared" si="308"/>
        <v>0</v>
      </c>
    </row>
    <row r="1378" spans="1:32" ht="26.25" hidden="1" x14ac:dyDescent="0.25">
      <c r="A1378" s="322" t="s">
        <v>3593</v>
      </c>
      <c r="B1378" s="93" t="str">
        <f t="shared" si="309"/>
        <v>NO</v>
      </c>
      <c r="C1378" s="93" t="s">
        <v>5503</v>
      </c>
      <c r="D1378" s="4">
        <v>40744</v>
      </c>
      <c r="E1378" s="113"/>
      <c r="F1378" s="2"/>
      <c r="G1378" s="6">
        <v>80</v>
      </c>
      <c r="H1378" s="7"/>
      <c r="I1378" s="7"/>
      <c r="J1378" s="105" t="s">
        <v>3844</v>
      </c>
      <c r="K1378" s="266"/>
      <c r="L1378" s="381"/>
      <c r="M1378" s="381"/>
      <c r="N1378" s="32"/>
      <c r="O1378" s="32"/>
      <c r="P1378" s="278"/>
      <c r="Q1378" s="237"/>
      <c r="R1378" s="108"/>
      <c r="S1378" s="108"/>
      <c r="T1378" s="108"/>
      <c r="U1378" s="200"/>
      <c r="V1378" s="75"/>
      <c r="W1378" s="75"/>
      <c r="X1378" s="200"/>
      <c r="Y1378" s="1"/>
      <c r="Z1378" s="1"/>
      <c r="AA1378" s="219"/>
      <c r="AB1378" s="302"/>
      <c r="AC1378" s="302"/>
      <c r="AD1378" s="302"/>
      <c r="AE1378" s="302"/>
      <c r="AF1378">
        <f t="shared" si="308"/>
        <v>0</v>
      </c>
    </row>
    <row r="1379" spans="1:32" ht="26.25" hidden="1" x14ac:dyDescent="0.25">
      <c r="A1379" s="322" t="s">
        <v>3845</v>
      </c>
      <c r="B1379" s="93" t="str">
        <f t="shared" si="309"/>
        <v>YES</v>
      </c>
      <c r="C1379" s="93" t="s">
        <v>5503</v>
      </c>
      <c r="D1379" s="4">
        <v>40744</v>
      </c>
      <c r="E1379" s="2">
        <v>40787</v>
      </c>
      <c r="F1379" s="2">
        <f t="shared" si="310"/>
        <v>44440</v>
      </c>
      <c r="G1379" s="6">
        <v>71.084999999999994</v>
      </c>
      <c r="H1379" s="7" t="s">
        <v>1359</v>
      </c>
      <c r="I1379" s="7" t="s">
        <v>15</v>
      </c>
      <c r="J1379" s="186"/>
      <c r="K1379" s="266">
        <f>YEAR(F1379)</f>
        <v>2021</v>
      </c>
      <c r="L1379" s="390"/>
      <c r="M1379" s="390"/>
      <c r="N1379" s="32" t="s">
        <v>3847</v>
      </c>
      <c r="O1379" s="32" t="s">
        <v>3848</v>
      </c>
      <c r="P1379" s="278"/>
      <c r="Q1379" s="233" t="s">
        <v>3846</v>
      </c>
      <c r="R1379" s="75">
        <v>397</v>
      </c>
      <c r="S1379" s="75">
        <v>11843</v>
      </c>
      <c r="T1379" s="75">
        <v>12240</v>
      </c>
      <c r="U1379" s="200">
        <v>108</v>
      </c>
      <c r="V1379" s="287">
        <f ca="1">IF(YEAR($W$3)-YEAR(E1379)&gt;9,10,IF(MONTH($W$3)&lt;MONTH(E1379),YEAR($W$3)-YEAR(E1379),YEAR($W$3)-YEAR(E1379)+1))</f>
        <v>9</v>
      </c>
      <c r="W1379" s="75">
        <f t="shared" ref="W1379:W1380" ca="1" si="313">IF(V1379&lt;6, ROUNDUP(G1379,0)*$W$6*V1379, ROUNDUP(G1379,0)*($W$6*5 + (V1379-5)*$W$7))</f>
        <v>1116</v>
      </c>
      <c r="X1379" s="200">
        <f t="shared" ref="X1379:X1380" ca="1" si="314">IF(V1379=0,T1379,((T1379-ROUNDUP(G1379,0)*1.5)+W1379))</f>
        <v>13248</v>
      </c>
      <c r="Y1379" s="1"/>
      <c r="Z1379" s="31">
        <v>0.1</v>
      </c>
      <c r="AA1379" s="223">
        <v>0.09</v>
      </c>
      <c r="AB1379" s="302" t="s">
        <v>7086</v>
      </c>
      <c r="AC1379" s="302"/>
      <c r="AD1379" s="302"/>
      <c r="AE1379" s="302"/>
      <c r="AF1379">
        <f t="shared" si="308"/>
        <v>0</v>
      </c>
    </row>
    <row r="1380" spans="1:32" ht="26.25" hidden="1" x14ac:dyDescent="0.25">
      <c r="A1380" s="322" t="s">
        <v>3849</v>
      </c>
      <c r="B1380" s="93" t="str">
        <f t="shared" si="309"/>
        <v>YES</v>
      </c>
      <c r="C1380" s="93" t="s">
        <v>5503</v>
      </c>
      <c r="D1380" s="4">
        <v>40744</v>
      </c>
      <c r="E1380" s="2">
        <v>40787</v>
      </c>
      <c r="F1380" s="2">
        <f t="shared" si="310"/>
        <v>44440</v>
      </c>
      <c r="G1380" s="6">
        <v>46.4</v>
      </c>
      <c r="H1380" s="7" t="s">
        <v>862</v>
      </c>
      <c r="I1380" s="7" t="s">
        <v>15</v>
      </c>
      <c r="J1380" s="186"/>
      <c r="K1380" s="266">
        <f>YEAR(F1380)</f>
        <v>2021</v>
      </c>
      <c r="L1380" s="390"/>
      <c r="M1380" s="390"/>
      <c r="N1380" s="32" t="s">
        <v>3851</v>
      </c>
      <c r="O1380" s="32" t="s">
        <v>3848</v>
      </c>
      <c r="P1380" s="278"/>
      <c r="Q1380" s="233" t="s">
        <v>3850</v>
      </c>
      <c r="R1380" s="75">
        <v>309.5</v>
      </c>
      <c r="S1380" s="75">
        <v>24130.5</v>
      </c>
      <c r="T1380" s="75">
        <v>24440</v>
      </c>
      <c r="U1380" s="200">
        <v>70.5</v>
      </c>
      <c r="V1380" s="287">
        <f ca="1">IF(YEAR($W$3)-YEAR(E1380)&gt;9,10,IF(MONTH($W$3)&lt;MONTH(E1380),YEAR($W$3)-YEAR(E1380),YEAR($W$3)-YEAR(E1380)+1))</f>
        <v>9</v>
      </c>
      <c r="W1380" s="75">
        <f t="shared" ca="1" si="313"/>
        <v>728.5</v>
      </c>
      <c r="X1380" s="200">
        <f t="shared" ca="1" si="314"/>
        <v>25098</v>
      </c>
      <c r="Y1380" s="1"/>
      <c r="Z1380" s="31">
        <v>0.1</v>
      </c>
      <c r="AA1380" s="223">
        <v>0.09</v>
      </c>
      <c r="AB1380" s="302" t="s">
        <v>7087</v>
      </c>
      <c r="AC1380" s="302"/>
      <c r="AD1380" s="302"/>
      <c r="AE1380" s="302"/>
      <c r="AF1380">
        <f t="shared" si="308"/>
        <v>0</v>
      </c>
    </row>
    <row r="1381" spans="1:32" ht="15.75" hidden="1" thickBot="1" x14ac:dyDescent="0.3">
      <c r="A1381" s="322"/>
      <c r="D1381" s="7"/>
      <c r="E1381" s="8"/>
      <c r="F1381" s="2"/>
      <c r="G1381" s="6"/>
      <c r="H1381" s="7"/>
      <c r="I1381" s="7"/>
      <c r="J1381" s="186"/>
      <c r="K1381" s="186"/>
      <c r="L1381" s="386"/>
      <c r="M1381" s="386"/>
      <c r="N1381" s="32"/>
      <c r="O1381" s="32"/>
      <c r="P1381" s="278"/>
      <c r="Q1381" s="235"/>
      <c r="R1381" s="76">
        <v>7016.5</v>
      </c>
      <c r="S1381" s="76">
        <v>254663.5</v>
      </c>
      <c r="T1381" s="76">
        <v>261680</v>
      </c>
      <c r="U1381" s="200"/>
      <c r="V1381" s="75"/>
      <c r="W1381" s="75"/>
      <c r="X1381" s="200"/>
      <c r="Y1381" s="1"/>
      <c r="Z1381" s="74"/>
      <c r="AA1381" s="224"/>
      <c r="AB1381" s="302"/>
      <c r="AC1381" s="302"/>
      <c r="AD1381" s="302"/>
      <c r="AE1381" s="302"/>
      <c r="AF1381">
        <f t="shared" si="308"/>
        <v>0</v>
      </c>
    </row>
    <row r="1382" spans="1:32" hidden="1" x14ac:dyDescent="0.25">
      <c r="A1382" s="322"/>
      <c r="D1382" s="7"/>
      <c r="E1382" s="8"/>
      <c r="F1382" s="2"/>
      <c r="G1382" s="6"/>
      <c r="H1382" s="7"/>
      <c r="I1382" s="7"/>
      <c r="J1382" s="186"/>
      <c r="K1382" s="186"/>
      <c r="L1382" s="386"/>
      <c r="M1382" s="386"/>
      <c r="N1382" s="32"/>
      <c r="O1382" s="32"/>
      <c r="P1382" s="278"/>
      <c r="Q1382" s="233"/>
      <c r="R1382" s="75"/>
      <c r="S1382" s="75"/>
      <c r="T1382" s="75"/>
      <c r="U1382" s="200"/>
      <c r="V1382" s="75"/>
      <c r="W1382" s="75"/>
      <c r="X1382" s="200"/>
      <c r="Y1382" s="1"/>
      <c r="Z1382" s="1"/>
      <c r="AA1382" s="219"/>
      <c r="AB1382" s="302"/>
      <c r="AC1382" s="302"/>
      <c r="AD1382" s="302"/>
      <c r="AE1382" s="302"/>
      <c r="AF1382">
        <f t="shared" si="308"/>
        <v>0</v>
      </c>
    </row>
    <row r="1383" spans="1:32" hidden="1" x14ac:dyDescent="0.25">
      <c r="A1383" s="322" t="s">
        <v>5402</v>
      </c>
      <c r="B1383" s="93" t="str">
        <f t="shared" ref="B1383:B1407" si="315">IF(COUNTIF(GIS,A1383),"YES","NO")</f>
        <v>YES</v>
      </c>
      <c r="C1383" s="93" t="s">
        <v>5503</v>
      </c>
      <c r="D1383" s="4">
        <v>40801</v>
      </c>
      <c r="E1383" s="2">
        <v>40848</v>
      </c>
      <c r="F1383" s="2">
        <f t="shared" si="310"/>
        <v>44501</v>
      </c>
      <c r="G1383" s="6">
        <v>637.12</v>
      </c>
      <c r="H1383" s="7" t="s">
        <v>453</v>
      </c>
      <c r="I1383" s="7" t="s">
        <v>86</v>
      </c>
      <c r="J1383" s="189"/>
      <c r="K1383" s="266">
        <f t="shared" ref="K1383:K1407" si="316">YEAR(F1383)</f>
        <v>2021</v>
      </c>
      <c r="L1383" s="417" t="s">
        <v>5834</v>
      </c>
      <c r="M1383" s="417" t="s">
        <v>5835</v>
      </c>
      <c r="N1383" s="32" t="s">
        <v>7785</v>
      </c>
      <c r="O1383" s="32" t="s">
        <v>3853</v>
      </c>
      <c r="P1383" s="278"/>
      <c r="Q1383" s="233" t="s">
        <v>3852</v>
      </c>
      <c r="R1383" s="83">
        <v>2378</v>
      </c>
      <c r="S1383" s="83">
        <v>37004</v>
      </c>
      <c r="T1383" s="83">
        <v>39382</v>
      </c>
      <c r="U1383" s="200">
        <v>957</v>
      </c>
      <c r="V1383" s="287">
        <f t="shared" ref="V1383:V1407" ca="1" si="317">IF(YEAR($W$3)-YEAR(E1383)&gt;9,10,IF(MONTH($W$3)&lt;MONTH(E1383),YEAR($W$3)-YEAR(E1383),YEAR($W$3)-YEAR(E1383)+1))</f>
        <v>9</v>
      </c>
      <c r="W1383" s="75">
        <f t="shared" ref="W1383:W1407" ca="1" si="318">IF(V1383&lt;6, ROUNDUP(G1383,0)*$W$6*V1383, ROUNDUP(G1383,0)*($W$6*5 + (V1383-5)*$W$7))</f>
        <v>9889</v>
      </c>
      <c r="X1383" s="200">
        <f t="shared" ref="X1383:X1407" ca="1" si="319">IF(V1383=0,T1383,((T1383-ROUNDUP(G1383,0)*1.5)+W1383))</f>
        <v>48314</v>
      </c>
      <c r="Y1383" s="1"/>
      <c r="Z1383" s="31">
        <v>0.1</v>
      </c>
      <c r="AA1383" s="223">
        <v>0.09</v>
      </c>
      <c r="AB1383" s="302" t="s">
        <v>7088</v>
      </c>
      <c r="AC1383" s="302"/>
      <c r="AD1383" s="302"/>
      <c r="AE1383" s="302"/>
      <c r="AF1383">
        <f t="shared" si="308"/>
        <v>0</v>
      </c>
    </row>
    <row r="1384" spans="1:32" hidden="1" x14ac:dyDescent="0.25">
      <c r="A1384" s="326" t="s">
        <v>3854</v>
      </c>
      <c r="B1384" s="93" t="str">
        <f t="shared" si="315"/>
        <v>YES</v>
      </c>
      <c r="C1384" s="93" t="s">
        <v>5503</v>
      </c>
      <c r="D1384" s="4">
        <v>40801</v>
      </c>
      <c r="E1384" s="2">
        <v>40848</v>
      </c>
      <c r="F1384" s="2">
        <f t="shared" si="310"/>
        <v>44501</v>
      </c>
      <c r="G1384" s="6">
        <v>382.12</v>
      </c>
      <c r="H1384" s="7" t="s">
        <v>453</v>
      </c>
      <c r="I1384" s="7" t="s">
        <v>86</v>
      </c>
      <c r="J1384" s="189"/>
      <c r="K1384" s="266">
        <f t="shared" si="316"/>
        <v>2021</v>
      </c>
      <c r="L1384" s="417" t="s">
        <v>5834</v>
      </c>
      <c r="M1384" s="417" t="s">
        <v>5835</v>
      </c>
      <c r="N1384" s="32" t="s">
        <v>7785</v>
      </c>
      <c r="O1384" s="32" t="s">
        <v>3856</v>
      </c>
      <c r="P1384" s="278"/>
      <c r="Q1384" s="233" t="s">
        <v>3855</v>
      </c>
      <c r="R1384" s="83">
        <v>1485.5</v>
      </c>
      <c r="S1384" s="83">
        <v>83494</v>
      </c>
      <c r="T1384" s="83">
        <v>84979.5</v>
      </c>
      <c r="U1384" s="200">
        <v>574.5</v>
      </c>
      <c r="V1384" s="287">
        <f t="shared" ca="1" si="317"/>
        <v>9</v>
      </c>
      <c r="W1384" s="75">
        <f t="shared" ca="1" si="318"/>
        <v>5936.5</v>
      </c>
      <c r="X1384" s="200">
        <f t="shared" ca="1" si="319"/>
        <v>90341.5</v>
      </c>
      <c r="Y1384" s="1"/>
      <c r="Z1384" s="31">
        <v>0.1</v>
      </c>
      <c r="AA1384" s="223">
        <v>0.09</v>
      </c>
      <c r="AB1384" s="302" t="s">
        <v>7089</v>
      </c>
      <c r="AC1384" s="302"/>
      <c r="AD1384" s="302"/>
      <c r="AE1384" s="302"/>
      <c r="AF1384">
        <f t="shared" si="308"/>
        <v>0</v>
      </c>
    </row>
    <row r="1385" spans="1:32" ht="51.75" hidden="1" x14ac:dyDescent="0.25">
      <c r="A1385" s="326" t="s">
        <v>3857</v>
      </c>
      <c r="B1385" s="93" t="str">
        <f t="shared" si="315"/>
        <v>YES</v>
      </c>
      <c r="C1385" s="93" t="s">
        <v>5503</v>
      </c>
      <c r="D1385" s="4">
        <v>40801</v>
      </c>
      <c r="E1385" s="2">
        <v>40848</v>
      </c>
      <c r="F1385" s="2">
        <f t="shared" si="310"/>
        <v>44501</v>
      </c>
      <c r="G1385" s="6">
        <v>516</v>
      </c>
      <c r="H1385" s="7" t="s">
        <v>453</v>
      </c>
      <c r="I1385" s="7" t="s">
        <v>86</v>
      </c>
      <c r="J1385" s="109" t="s">
        <v>7855</v>
      </c>
      <c r="K1385" s="266">
        <f t="shared" si="316"/>
        <v>2021</v>
      </c>
      <c r="L1385" s="417" t="s">
        <v>5834</v>
      </c>
      <c r="M1385" s="417" t="s">
        <v>5835</v>
      </c>
      <c r="N1385" s="32" t="s">
        <v>7785</v>
      </c>
      <c r="O1385" s="32" t="s">
        <v>3859</v>
      </c>
      <c r="P1385" s="278"/>
      <c r="Q1385" s="233" t="s">
        <v>3858</v>
      </c>
      <c r="R1385" s="83">
        <v>1951</v>
      </c>
      <c r="S1385" s="83">
        <v>112488</v>
      </c>
      <c r="T1385" s="83">
        <v>114439</v>
      </c>
      <c r="U1385" s="200">
        <v>774</v>
      </c>
      <c r="V1385" s="287">
        <f t="shared" ca="1" si="317"/>
        <v>9</v>
      </c>
      <c r="W1385" s="75">
        <f t="shared" ca="1" si="318"/>
        <v>7998</v>
      </c>
      <c r="X1385" s="200">
        <f t="shared" ca="1" si="319"/>
        <v>121663</v>
      </c>
      <c r="Y1385" s="1"/>
      <c r="Z1385" s="31">
        <v>0.1</v>
      </c>
      <c r="AA1385" s="223">
        <v>0.09</v>
      </c>
      <c r="AB1385" s="302" t="s">
        <v>8119</v>
      </c>
      <c r="AC1385" s="302"/>
      <c r="AD1385" s="302"/>
      <c r="AE1385" s="302"/>
      <c r="AF1385">
        <f t="shared" si="308"/>
        <v>0</v>
      </c>
    </row>
    <row r="1386" spans="1:32" hidden="1" x14ac:dyDescent="0.25">
      <c r="A1386" s="326" t="s">
        <v>3860</v>
      </c>
      <c r="B1386" s="93" t="str">
        <f t="shared" si="315"/>
        <v>YES</v>
      </c>
      <c r="C1386" s="93" t="s">
        <v>5503</v>
      </c>
      <c r="D1386" s="4">
        <v>40801</v>
      </c>
      <c r="E1386" s="2">
        <v>40848</v>
      </c>
      <c r="F1386" s="2">
        <f t="shared" si="310"/>
        <v>44501</v>
      </c>
      <c r="G1386" s="6">
        <v>546.53</v>
      </c>
      <c r="H1386" s="7" t="s">
        <v>453</v>
      </c>
      <c r="I1386" s="7" t="s">
        <v>86</v>
      </c>
      <c r="J1386" s="189"/>
      <c r="K1386" s="266">
        <f t="shared" si="316"/>
        <v>2021</v>
      </c>
      <c r="L1386" s="417" t="s">
        <v>7529</v>
      </c>
      <c r="M1386" s="417" t="s">
        <v>6133</v>
      </c>
      <c r="N1386" s="32" t="s">
        <v>7785</v>
      </c>
      <c r="O1386" s="32" t="s">
        <v>3862</v>
      </c>
      <c r="P1386" s="278"/>
      <c r="Q1386" s="233" t="s">
        <v>3861</v>
      </c>
      <c r="R1386" s="83">
        <v>2059.5</v>
      </c>
      <c r="S1386" s="83">
        <v>124716</v>
      </c>
      <c r="T1386" s="83">
        <v>126775.5</v>
      </c>
      <c r="U1386" s="200">
        <v>820.5</v>
      </c>
      <c r="V1386" s="287">
        <f t="shared" ca="1" si="317"/>
        <v>9</v>
      </c>
      <c r="W1386" s="75">
        <f t="shared" ca="1" si="318"/>
        <v>8478.5</v>
      </c>
      <c r="X1386" s="200">
        <f t="shared" ca="1" si="319"/>
        <v>134433.5</v>
      </c>
      <c r="Y1386" s="1"/>
      <c r="Z1386" s="31">
        <v>0.1</v>
      </c>
      <c r="AA1386" s="223">
        <v>0.09</v>
      </c>
      <c r="AB1386" s="302" t="s">
        <v>7090</v>
      </c>
      <c r="AC1386" s="302"/>
      <c r="AD1386" s="302"/>
      <c r="AE1386" s="302"/>
      <c r="AF1386">
        <f t="shared" si="308"/>
        <v>0</v>
      </c>
    </row>
    <row r="1387" spans="1:32" ht="39" hidden="1" x14ac:dyDescent="0.25">
      <c r="A1387" s="326" t="s">
        <v>3863</v>
      </c>
      <c r="B1387" s="93" t="str">
        <f t="shared" si="315"/>
        <v>YES</v>
      </c>
      <c r="C1387" s="93" t="s">
        <v>5503</v>
      </c>
      <c r="D1387" s="4">
        <v>40801</v>
      </c>
      <c r="E1387" s="2">
        <v>40848</v>
      </c>
      <c r="F1387" s="2">
        <f t="shared" si="310"/>
        <v>44501</v>
      </c>
      <c r="G1387" s="6">
        <v>520.73</v>
      </c>
      <c r="H1387" s="7" t="s">
        <v>453</v>
      </c>
      <c r="I1387" s="7" t="s">
        <v>86</v>
      </c>
      <c r="J1387" s="109" t="s">
        <v>4866</v>
      </c>
      <c r="K1387" s="266">
        <f t="shared" si="316"/>
        <v>2021</v>
      </c>
      <c r="L1387" s="417" t="s">
        <v>7529</v>
      </c>
      <c r="M1387" s="417" t="s">
        <v>6133</v>
      </c>
      <c r="N1387" s="32" t="s">
        <v>7785</v>
      </c>
      <c r="O1387" s="32" t="s">
        <v>3862</v>
      </c>
      <c r="P1387" s="278"/>
      <c r="Q1387" s="233" t="s">
        <v>3864</v>
      </c>
      <c r="R1387" s="83">
        <v>1968.5</v>
      </c>
      <c r="S1387" s="83">
        <v>113578</v>
      </c>
      <c r="T1387" s="83">
        <v>115546.5</v>
      </c>
      <c r="U1387" s="200">
        <v>781.5</v>
      </c>
      <c r="V1387" s="287">
        <f t="shared" ca="1" si="317"/>
        <v>9</v>
      </c>
      <c r="W1387" s="75">
        <f t="shared" ca="1" si="318"/>
        <v>8075.5</v>
      </c>
      <c r="X1387" s="200">
        <f t="shared" ca="1" si="319"/>
        <v>122840.5</v>
      </c>
      <c r="Y1387" s="1"/>
      <c r="Z1387" s="31">
        <v>0.1</v>
      </c>
      <c r="AA1387" s="223">
        <v>0.09</v>
      </c>
      <c r="AB1387" s="302" t="s">
        <v>7091</v>
      </c>
      <c r="AC1387" s="308">
        <v>42080</v>
      </c>
      <c r="AD1387" s="309">
        <v>0.22</v>
      </c>
      <c r="AE1387" s="302" t="s">
        <v>6224</v>
      </c>
      <c r="AF1387">
        <f t="shared" si="308"/>
        <v>0</v>
      </c>
    </row>
    <row r="1388" spans="1:32" hidden="1" x14ac:dyDescent="0.25">
      <c r="A1388" s="326" t="s">
        <v>3865</v>
      </c>
      <c r="B1388" s="93" t="str">
        <f t="shared" si="315"/>
        <v>YES</v>
      </c>
      <c r="C1388" s="93" t="s">
        <v>5503</v>
      </c>
      <c r="D1388" s="4">
        <v>40801</v>
      </c>
      <c r="E1388" s="2">
        <v>40848</v>
      </c>
      <c r="F1388" s="2">
        <f t="shared" si="310"/>
        <v>44501</v>
      </c>
      <c r="G1388" s="6">
        <v>351.11</v>
      </c>
      <c r="H1388" s="7" t="s">
        <v>453</v>
      </c>
      <c r="I1388" s="7" t="s">
        <v>86</v>
      </c>
      <c r="J1388" s="189"/>
      <c r="K1388" s="266">
        <f t="shared" si="316"/>
        <v>2021</v>
      </c>
      <c r="L1388" s="417" t="s">
        <v>5834</v>
      </c>
      <c r="M1388" s="417" t="s">
        <v>7593</v>
      </c>
      <c r="N1388" s="32" t="s">
        <v>7785</v>
      </c>
      <c r="O1388" s="32" t="s">
        <v>3862</v>
      </c>
      <c r="P1388" s="278"/>
      <c r="Q1388" s="233" t="s">
        <v>3866</v>
      </c>
      <c r="R1388" s="83">
        <v>1377</v>
      </c>
      <c r="S1388" s="83">
        <v>9856</v>
      </c>
      <c r="T1388" s="83">
        <v>11233</v>
      </c>
      <c r="U1388" s="200">
        <v>528</v>
      </c>
      <c r="V1388" s="287">
        <f t="shared" ca="1" si="317"/>
        <v>9</v>
      </c>
      <c r="W1388" s="75">
        <f t="shared" ca="1" si="318"/>
        <v>5456</v>
      </c>
      <c r="X1388" s="200">
        <f t="shared" ca="1" si="319"/>
        <v>16161</v>
      </c>
      <c r="Y1388" s="1"/>
      <c r="Z1388" s="31">
        <v>0.1</v>
      </c>
      <c r="AA1388" s="223">
        <v>0.09</v>
      </c>
      <c r="AB1388" s="302" t="s">
        <v>7092</v>
      </c>
      <c r="AC1388" s="302"/>
      <c r="AD1388" s="302"/>
      <c r="AE1388" s="302"/>
      <c r="AF1388">
        <f t="shared" si="308"/>
        <v>0</v>
      </c>
    </row>
    <row r="1389" spans="1:32" hidden="1" x14ac:dyDescent="0.25">
      <c r="A1389" s="326" t="s">
        <v>3867</v>
      </c>
      <c r="B1389" s="93" t="str">
        <f t="shared" si="315"/>
        <v>YES</v>
      </c>
      <c r="C1389" s="93" t="s">
        <v>5503</v>
      </c>
      <c r="D1389" s="4">
        <v>40801</v>
      </c>
      <c r="E1389" s="11">
        <v>40909</v>
      </c>
      <c r="F1389" s="2">
        <f t="shared" si="310"/>
        <v>44562</v>
      </c>
      <c r="G1389" s="6">
        <v>637.98</v>
      </c>
      <c r="H1389" s="7" t="s">
        <v>453</v>
      </c>
      <c r="I1389" s="7" t="s">
        <v>86</v>
      </c>
      <c r="J1389" s="189"/>
      <c r="K1389" s="266">
        <f t="shared" si="316"/>
        <v>2022</v>
      </c>
      <c r="L1389" s="417" t="s">
        <v>5834</v>
      </c>
      <c r="M1389" s="417" t="s">
        <v>7593</v>
      </c>
      <c r="N1389" s="32" t="s">
        <v>7785</v>
      </c>
      <c r="O1389" s="32" t="s">
        <v>3862</v>
      </c>
      <c r="P1389" s="278"/>
      <c r="Q1389" s="233" t="s">
        <v>3868</v>
      </c>
      <c r="R1389" s="83">
        <v>2378</v>
      </c>
      <c r="S1389" s="83">
        <v>49708.5</v>
      </c>
      <c r="T1389" s="83">
        <v>52086.5</v>
      </c>
      <c r="U1389" s="200">
        <v>957</v>
      </c>
      <c r="V1389" s="287">
        <f t="shared" ca="1" si="317"/>
        <v>9</v>
      </c>
      <c r="W1389" s="75">
        <f t="shared" ca="1" si="318"/>
        <v>9889</v>
      </c>
      <c r="X1389" s="200">
        <f t="shared" ca="1" si="319"/>
        <v>61018.5</v>
      </c>
      <c r="Y1389" s="1"/>
      <c r="Z1389" s="31">
        <v>0.1</v>
      </c>
      <c r="AA1389" s="223">
        <v>0.09</v>
      </c>
      <c r="AB1389" s="302" t="s">
        <v>7093</v>
      </c>
      <c r="AC1389" s="302"/>
      <c r="AD1389" s="302"/>
      <c r="AE1389" s="302"/>
      <c r="AF1389">
        <f t="shared" si="308"/>
        <v>0</v>
      </c>
    </row>
    <row r="1390" spans="1:32" hidden="1" x14ac:dyDescent="0.25">
      <c r="A1390" s="326" t="s">
        <v>3869</v>
      </c>
      <c r="B1390" s="93" t="str">
        <f t="shared" si="315"/>
        <v>YES</v>
      </c>
      <c r="C1390" s="93" t="s">
        <v>5503</v>
      </c>
      <c r="D1390" s="4">
        <v>40801</v>
      </c>
      <c r="E1390" s="11">
        <v>40909</v>
      </c>
      <c r="F1390" s="2">
        <f t="shared" si="310"/>
        <v>44562</v>
      </c>
      <c r="G1390" s="6">
        <v>603.98</v>
      </c>
      <c r="H1390" s="7" t="s">
        <v>453</v>
      </c>
      <c r="I1390" s="7" t="s">
        <v>86</v>
      </c>
      <c r="J1390" s="189"/>
      <c r="K1390" s="266">
        <f t="shared" si="316"/>
        <v>2022</v>
      </c>
      <c r="L1390" s="417" t="s">
        <v>5834</v>
      </c>
      <c r="M1390" s="417" t="s">
        <v>7593</v>
      </c>
      <c r="N1390" s="32" t="s">
        <v>7785</v>
      </c>
      <c r="O1390" s="32" t="s">
        <v>3871</v>
      </c>
      <c r="P1390" s="278"/>
      <c r="Q1390" s="233" t="s">
        <v>3870</v>
      </c>
      <c r="R1390" s="83">
        <v>2259</v>
      </c>
      <c r="S1390" s="83">
        <v>41067.5</v>
      </c>
      <c r="T1390" s="83">
        <v>43326.5</v>
      </c>
      <c r="U1390" s="200">
        <v>906</v>
      </c>
      <c r="V1390" s="287">
        <f t="shared" ca="1" si="317"/>
        <v>9</v>
      </c>
      <c r="W1390" s="75">
        <f t="shared" ca="1" si="318"/>
        <v>9362</v>
      </c>
      <c r="X1390" s="200">
        <f t="shared" ca="1" si="319"/>
        <v>51782.5</v>
      </c>
      <c r="Y1390" s="1"/>
      <c r="Z1390" s="31">
        <v>0.1</v>
      </c>
      <c r="AA1390" s="223">
        <v>0.09</v>
      </c>
      <c r="AB1390" s="302" t="s">
        <v>7094</v>
      </c>
      <c r="AC1390" s="302"/>
      <c r="AD1390" s="302"/>
      <c r="AE1390" s="302"/>
      <c r="AF1390">
        <f t="shared" si="308"/>
        <v>0</v>
      </c>
    </row>
    <row r="1391" spans="1:32" hidden="1" x14ac:dyDescent="0.25">
      <c r="A1391" s="326" t="s">
        <v>3872</v>
      </c>
      <c r="B1391" s="93" t="str">
        <f t="shared" si="315"/>
        <v>YES</v>
      </c>
      <c r="C1391" s="93" t="s">
        <v>5503</v>
      </c>
      <c r="D1391" s="4">
        <v>40801</v>
      </c>
      <c r="E1391" s="2">
        <v>40848</v>
      </c>
      <c r="F1391" s="2">
        <f t="shared" si="310"/>
        <v>44501</v>
      </c>
      <c r="G1391" s="6">
        <v>600.71</v>
      </c>
      <c r="H1391" s="7" t="s">
        <v>453</v>
      </c>
      <c r="I1391" s="7" t="s">
        <v>86</v>
      </c>
      <c r="J1391" s="189"/>
      <c r="K1391" s="266">
        <f t="shared" si="316"/>
        <v>2021</v>
      </c>
      <c r="L1391" s="417" t="s">
        <v>5834</v>
      </c>
      <c r="M1391" s="417" t="s">
        <v>7593</v>
      </c>
      <c r="N1391" s="32" t="s">
        <v>7785</v>
      </c>
      <c r="O1391" s="32" t="s">
        <v>3874</v>
      </c>
      <c r="P1391" s="278"/>
      <c r="Q1391" s="233" t="s">
        <v>3873</v>
      </c>
      <c r="R1391" s="83">
        <v>2248.5</v>
      </c>
      <c r="S1391" s="83">
        <v>46878</v>
      </c>
      <c r="T1391" s="83">
        <v>49126.5</v>
      </c>
      <c r="U1391" s="200">
        <v>901.5</v>
      </c>
      <c r="V1391" s="287">
        <f t="shared" ca="1" si="317"/>
        <v>9</v>
      </c>
      <c r="W1391" s="75">
        <f t="shared" ca="1" si="318"/>
        <v>9315.5</v>
      </c>
      <c r="X1391" s="200">
        <f t="shared" ca="1" si="319"/>
        <v>57540.5</v>
      </c>
      <c r="Y1391" s="1"/>
      <c r="Z1391" s="31">
        <v>0.1</v>
      </c>
      <c r="AA1391" s="223">
        <v>0.09</v>
      </c>
      <c r="AB1391" s="302" t="s">
        <v>7095</v>
      </c>
      <c r="AC1391" s="302"/>
      <c r="AD1391" s="302"/>
      <c r="AE1391" s="302"/>
      <c r="AF1391">
        <f t="shared" si="308"/>
        <v>0</v>
      </c>
    </row>
    <row r="1392" spans="1:32" hidden="1" x14ac:dyDescent="0.25">
      <c r="A1392" s="326" t="s">
        <v>3875</v>
      </c>
      <c r="B1392" s="93" t="str">
        <f t="shared" si="315"/>
        <v>YES</v>
      </c>
      <c r="C1392" s="93" t="s">
        <v>5503</v>
      </c>
      <c r="D1392" s="4">
        <v>40801</v>
      </c>
      <c r="E1392" s="2">
        <v>40848</v>
      </c>
      <c r="F1392" s="2">
        <f t="shared" si="310"/>
        <v>44501</v>
      </c>
      <c r="G1392" s="6">
        <v>685.24</v>
      </c>
      <c r="H1392" s="7" t="s">
        <v>453</v>
      </c>
      <c r="I1392" s="7" t="s">
        <v>86</v>
      </c>
      <c r="J1392" s="189"/>
      <c r="K1392" s="266">
        <f t="shared" si="316"/>
        <v>2021</v>
      </c>
      <c r="L1392" s="417" t="s">
        <v>7529</v>
      </c>
      <c r="M1392" s="417" t="s">
        <v>7593</v>
      </c>
      <c r="N1392" s="32" t="s">
        <v>7785</v>
      </c>
      <c r="O1392" s="32" t="s">
        <v>3862</v>
      </c>
      <c r="P1392" s="278"/>
      <c r="Q1392" s="233" t="s">
        <v>3876</v>
      </c>
      <c r="R1392" s="83">
        <v>2546</v>
      </c>
      <c r="S1392" s="83">
        <v>19208</v>
      </c>
      <c r="T1392" s="83">
        <v>21754</v>
      </c>
      <c r="U1392" s="200">
        <v>1029</v>
      </c>
      <c r="V1392" s="287">
        <f t="shared" ca="1" si="317"/>
        <v>9</v>
      </c>
      <c r="W1392" s="75">
        <f t="shared" ca="1" si="318"/>
        <v>10633</v>
      </c>
      <c r="X1392" s="200">
        <f t="shared" ca="1" si="319"/>
        <v>31358</v>
      </c>
      <c r="Y1392" s="1"/>
      <c r="Z1392" s="31">
        <v>0.1</v>
      </c>
      <c r="AA1392" s="223">
        <v>0.09</v>
      </c>
      <c r="AB1392" s="302" t="s">
        <v>7096</v>
      </c>
      <c r="AC1392" s="302"/>
      <c r="AD1392" s="302"/>
      <c r="AE1392" s="302"/>
      <c r="AF1392">
        <f t="shared" si="308"/>
        <v>0</v>
      </c>
    </row>
    <row r="1393" spans="1:32" hidden="1" x14ac:dyDescent="0.25">
      <c r="A1393" s="326" t="s">
        <v>3877</v>
      </c>
      <c r="B1393" s="93" t="str">
        <f t="shared" si="315"/>
        <v>YES</v>
      </c>
      <c r="C1393" s="93" t="s">
        <v>5503</v>
      </c>
      <c r="D1393" s="4">
        <v>40801</v>
      </c>
      <c r="E1393" s="2">
        <v>40848</v>
      </c>
      <c r="F1393" s="2">
        <f t="shared" si="310"/>
        <v>44501</v>
      </c>
      <c r="G1393" s="6">
        <v>685.9</v>
      </c>
      <c r="H1393" s="7" t="s">
        <v>453</v>
      </c>
      <c r="I1393" s="7" t="s">
        <v>86</v>
      </c>
      <c r="J1393" s="189"/>
      <c r="K1393" s="266">
        <f t="shared" si="316"/>
        <v>2021</v>
      </c>
      <c r="L1393" s="417" t="s">
        <v>7529</v>
      </c>
      <c r="M1393" s="417" t="s">
        <v>7593</v>
      </c>
      <c r="N1393" s="32" t="s">
        <v>7785</v>
      </c>
      <c r="O1393" s="32" t="s">
        <v>3862</v>
      </c>
      <c r="P1393" s="278"/>
      <c r="Q1393" s="233" t="s">
        <v>3878</v>
      </c>
      <c r="R1393" s="83">
        <v>2546</v>
      </c>
      <c r="S1393" s="83">
        <v>19208</v>
      </c>
      <c r="T1393" s="83">
        <v>21754</v>
      </c>
      <c r="U1393" s="200">
        <v>1029</v>
      </c>
      <c r="V1393" s="287">
        <f t="shared" ca="1" si="317"/>
        <v>9</v>
      </c>
      <c r="W1393" s="75">
        <f t="shared" ca="1" si="318"/>
        <v>10633</v>
      </c>
      <c r="X1393" s="200">
        <f t="shared" ca="1" si="319"/>
        <v>31358</v>
      </c>
      <c r="Y1393" s="1"/>
      <c r="Z1393" s="31">
        <v>0.1</v>
      </c>
      <c r="AA1393" s="223">
        <v>0.09</v>
      </c>
      <c r="AB1393" s="302" t="s">
        <v>7097</v>
      </c>
      <c r="AC1393" s="302"/>
      <c r="AD1393" s="302"/>
      <c r="AE1393" s="302"/>
      <c r="AF1393">
        <f t="shared" si="308"/>
        <v>0</v>
      </c>
    </row>
    <row r="1394" spans="1:32" hidden="1" x14ac:dyDescent="0.25">
      <c r="A1394" s="326" t="s">
        <v>3879</v>
      </c>
      <c r="B1394" s="93" t="str">
        <f t="shared" si="315"/>
        <v>YES</v>
      </c>
      <c r="C1394" s="93" t="s">
        <v>5503</v>
      </c>
      <c r="D1394" s="4">
        <v>40801</v>
      </c>
      <c r="E1394" s="2">
        <v>40848</v>
      </c>
      <c r="F1394" s="2">
        <f t="shared" si="310"/>
        <v>44501</v>
      </c>
      <c r="G1394" s="6">
        <v>505.72</v>
      </c>
      <c r="H1394" s="7" t="s">
        <v>453</v>
      </c>
      <c r="I1394" s="7" t="s">
        <v>86</v>
      </c>
      <c r="J1394" s="189"/>
      <c r="K1394" s="266">
        <f t="shared" si="316"/>
        <v>2021</v>
      </c>
      <c r="L1394" s="417" t="s">
        <v>7529</v>
      </c>
      <c r="M1394" s="417" t="s">
        <v>7593</v>
      </c>
      <c r="N1394" s="32" t="s">
        <v>7785</v>
      </c>
      <c r="O1394" s="32" t="s">
        <v>3862</v>
      </c>
      <c r="P1394" s="278"/>
      <c r="Q1394" s="233" t="s">
        <v>3880</v>
      </c>
      <c r="R1394" s="83">
        <v>1916</v>
      </c>
      <c r="S1394" s="83">
        <v>14168</v>
      </c>
      <c r="T1394" s="83">
        <v>16084</v>
      </c>
      <c r="U1394" s="200">
        <v>759</v>
      </c>
      <c r="V1394" s="287">
        <f t="shared" ca="1" si="317"/>
        <v>9</v>
      </c>
      <c r="W1394" s="75">
        <f t="shared" ca="1" si="318"/>
        <v>7843</v>
      </c>
      <c r="X1394" s="200">
        <f t="shared" ca="1" si="319"/>
        <v>23168</v>
      </c>
      <c r="Y1394" s="1"/>
      <c r="Z1394" s="31">
        <v>0.1</v>
      </c>
      <c r="AA1394" s="223">
        <v>0.09</v>
      </c>
      <c r="AB1394" s="302" t="s">
        <v>7098</v>
      </c>
      <c r="AC1394" s="302"/>
      <c r="AD1394" s="302"/>
      <c r="AE1394" s="302"/>
      <c r="AF1394">
        <f t="shared" si="308"/>
        <v>0</v>
      </c>
    </row>
    <row r="1395" spans="1:32" hidden="1" x14ac:dyDescent="0.25">
      <c r="A1395" s="326" t="s">
        <v>3881</v>
      </c>
      <c r="B1395" s="93" t="str">
        <f t="shared" si="315"/>
        <v>YES</v>
      </c>
      <c r="C1395" s="93" t="s">
        <v>5503</v>
      </c>
      <c r="D1395" s="4">
        <v>40801</v>
      </c>
      <c r="E1395" s="2">
        <v>40848</v>
      </c>
      <c r="F1395" s="2">
        <f t="shared" si="310"/>
        <v>44501</v>
      </c>
      <c r="G1395" s="6">
        <v>141.91999999999999</v>
      </c>
      <c r="H1395" s="7" t="s">
        <v>453</v>
      </c>
      <c r="I1395" s="7" t="s">
        <v>86</v>
      </c>
      <c r="J1395" s="189"/>
      <c r="K1395" s="266">
        <f t="shared" si="316"/>
        <v>2021</v>
      </c>
      <c r="L1395" s="417" t="s">
        <v>7529</v>
      </c>
      <c r="M1395" s="417" t="s">
        <v>7593</v>
      </c>
      <c r="N1395" s="32" t="s">
        <v>7785</v>
      </c>
      <c r="O1395" s="32" t="s">
        <v>3862</v>
      </c>
      <c r="P1395" s="278"/>
      <c r="Q1395" s="233" t="s">
        <v>3882</v>
      </c>
      <c r="R1395" s="83">
        <v>642</v>
      </c>
      <c r="S1395" s="83">
        <v>3976</v>
      </c>
      <c r="T1395" s="83">
        <v>4618</v>
      </c>
      <c r="U1395" s="200">
        <v>213</v>
      </c>
      <c r="V1395" s="287">
        <f t="shared" ca="1" si="317"/>
        <v>9</v>
      </c>
      <c r="W1395" s="75">
        <f t="shared" ca="1" si="318"/>
        <v>2201</v>
      </c>
      <c r="X1395" s="200">
        <f t="shared" ca="1" si="319"/>
        <v>6606</v>
      </c>
      <c r="Y1395" s="1"/>
      <c r="Z1395" s="31">
        <v>0.1</v>
      </c>
      <c r="AA1395" s="223">
        <v>0.09</v>
      </c>
      <c r="AB1395" s="302" t="s">
        <v>7099</v>
      </c>
      <c r="AC1395" s="302"/>
      <c r="AD1395" s="302"/>
      <c r="AE1395" s="302"/>
      <c r="AF1395">
        <f t="shared" si="308"/>
        <v>0</v>
      </c>
    </row>
    <row r="1396" spans="1:32" ht="39" hidden="1" customHeight="1" x14ac:dyDescent="0.25">
      <c r="A1396" s="326" t="s">
        <v>3883</v>
      </c>
      <c r="B1396" s="93" t="str">
        <f t="shared" si="315"/>
        <v>YES</v>
      </c>
      <c r="C1396" s="93" t="s">
        <v>5503</v>
      </c>
      <c r="D1396" s="4">
        <v>40801</v>
      </c>
      <c r="E1396" s="2">
        <v>40848</v>
      </c>
      <c r="F1396" s="2">
        <f t="shared" si="310"/>
        <v>44501</v>
      </c>
      <c r="G1396" s="6">
        <v>273.8</v>
      </c>
      <c r="H1396" s="7" t="s">
        <v>453</v>
      </c>
      <c r="I1396" s="7" t="s">
        <v>86</v>
      </c>
      <c r="J1396" s="189"/>
      <c r="K1396" s="266">
        <f t="shared" si="316"/>
        <v>2021</v>
      </c>
      <c r="L1396" s="417" t="s">
        <v>7529</v>
      </c>
      <c r="M1396" s="417" t="s">
        <v>7593</v>
      </c>
      <c r="N1396" s="32" t="s">
        <v>7785</v>
      </c>
      <c r="O1396" s="32" t="s">
        <v>3885</v>
      </c>
      <c r="P1396" s="278"/>
      <c r="Q1396" s="233" t="s">
        <v>3884</v>
      </c>
      <c r="R1396" s="83">
        <v>1104</v>
      </c>
      <c r="S1396" s="83">
        <v>13152</v>
      </c>
      <c r="T1396" s="83">
        <v>14256</v>
      </c>
      <c r="U1396" s="200">
        <v>411</v>
      </c>
      <c r="V1396" s="287">
        <f t="shared" ca="1" si="317"/>
        <v>9</v>
      </c>
      <c r="W1396" s="75">
        <f t="shared" ca="1" si="318"/>
        <v>4247</v>
      </c>
      <c r="X1396" s="200">
        <f t="shared" ca="1" si="319"/>
        <v>18092</v>
      </c>
      <c r="Y1396" s="1"/>
      <c r="Z1396" s="31">
        <v>0.1</v>
      </c>
      <c r="AA1396" s="223">
        <v>0.09</v>
      </c>
      <c r="AB1396" s="302" t="s">
        <v>7100</v>
      </c>
      <c r="AC1396" s="302"/>
      <c r="AD1396" s="302"/>
      <c r="AE1396" s="302"/>
      <c r="AF1396">
        <f t="shared" si="308"/>
        <v>0</v>
      </c>
    </row>
    <row r="1397" spans="1:32" hidden="1" x14ac:dyDescent="0.25">
      <c r="A1397" s="326" t="s">
        <v>3886</v>
      </c>
      <c r="B1397" s="93" t="str">
        <f t="shared" si="315"/>
        <v>YES</v>
      </c>
      <c r="C1397" s="93" t="s">
        <v>5503</v>
      </c>
      <c r="D1397" s="4">
        <v>40801</v>
      </c>
      <c r="E1397" s="2">
        <v>40848</v>
      </c>
      <c r="F1397" s="2">
        <f t="shared" si="310"/>
        <v>44501</v>
      </c>
      <c r="G1397" s="6">
        <v>612.36</v>
      </c>
      <c r="H1397" s="7" t="s">
        <v>453</v>
      </c>
      <c r="I1397" s="7" t="s">
        <v>86</v>
      </c>
      <c r="J1397" s="189"/>
      <c r="K1397" s="266">
        <f t="shared" si="316"/>
        <v>2021</v>
      </c>
      <c r="L1397" s="417" t="s">
        <v>7529</v>
      </c>
      <c r="M1397" s="417" t="s">
        <v>7593</v>
      </c>
      <c r="N1397" s="32" t="s">
        <v>7785</v>
      </c>
      <c r="O1397" s="32" t="s">
        <v>3888</v>
      </c>
      <c r="P1397" s="278"/>
      <c r="Q1397" s="233" t="s">
        <v>3887</v>
      </c>
      <c r="R1397" s="83">
        <v>2290.5</v>
      </c>
      <c r="S1397" s="83">
        <v>29424</v>
      </c>
      <c r="T1397" s="83">
        <v>31714.5</v>
      </c>
      <c r="U1397" s="200">
        <v>919.5</v>
      </c>
      <c r="V1397" s="287">
        <f t="shared" ca="1" si="317"/>
        <v>9</v>
      </c>
      <c r="W1397" s="75">
        <f t="shared" ca="1" si="318"/>
        <v>9501.5</v>
      </c>
      <c r="X1397" s="200">
        <f t="shared" ca="1" si="319"/>
        <v>40296.5</v>
      </c>
      <c r="Y1397" s="1"/>
      <c r="Z1397" s="31">
        <v>0.1</v>
      </c>
      <c r="AA1397" s="223">
        <v>0.09</v>
      </c>
      <c r="AB1397" s="302" t="s">
        <v>7101</v>
      </c>
      <c r="AC1397" s="302"/>
      <c r="AD1397" s="302"/>
      <c r="AE1397" s="302"/>
      <c r="AF1397">
        <f t="shared" si="308"/>
        <v>0</v>
      </c>
    </row>
    <row r="1398" spans="1:32" hidden="1" x14ac:dyDescent="0.25">
      <c r="A1398" s="326" t="s">
        <v>3889</v>
      </c>
      <c r="B1398" s="93" t="str">
        <f t="shared" si="315"/>
        <v>YES</v>
      </c>
      <c r="C1398" s="93" t="s">
        <v>5503</v>
      </c>
      <c r="D1398" s="4">
        <v>40801</v>
      </c>
      <c r="E1398" s="2">
        <v>40848</v>
      </c>
      <c r="F1398" s="2">
        <f t="shared" si="310"/>
        <v>44501</v>
      </c>
      <c r="G1398" s="6">
        <v>283.54000000000002</v>
      </c>
      <c r="H1398" s="7" t="s">
        <v>453</v>
      </c>
      <c r="I1398" s="7" t="s">
        <v>86</v>
      </c>
      <c r="J1398" s="189"/>
      <c r="K1398" s="266">
        <f t="shared" si="316"/>
        <v>2021</v>
      </c>
      <c r="L1398" s="417" t="s">
        <v>7529</v>
      </c>
      <c r="M1398" s="417" t="s">
        <v>7593</v>
      </c>
      <c r="N1398" s="32" t="s">
        <v>7785</v>
      </c>
      <c r="O1398" s="32" t="s">
        <v>3862</v>
      </c>
      <c r="P1398" s="278"/>
      <c r="Q1398" s="233" t="s">
        <v>3890</v>
      </c>
      <c r="R1398" s="83">
        <v>1139</v>
      </c>
      <c r="S1398" s="83">
        <v>44872</v>
      </c>
      <c r="T1398" s="83">
        <v>46011</v>
      </c>
      <c r="U1398" s="200">
        <v>426</v>
      </c>
      <c r="V1398" s="287">
        <f t="shared" ca="1" si="317"/>
        <v>9</v>
      </c>
      <c r="W1398" s="75">
        <f t="shared" ca="1" si="318"/>
        <v>4402</v>
      </c>
      <c r="X1398" s="200">
        <f t="shared" ca="1" si="319"/>
        <v>49987</v>
      </c>
      <c r="Y1398" s="1"/>
      <c r="Z1398" s="31">
        <v>0.1</v>
      </c>
      <c r="AA1398" s="223">
        <v>0.09</v>
      </c>
      <c r="AB1398" s="302" t="s">
        <v>7102</v>
      </c>
      <c r="AC1398" s="302"/>
      <c r="AD1398" s="302"/>
      <c r="AE1398" s="302"/>
      <c r="AF1398">
        <f t="shared" si="308"/>
        <v>0</v>
      </c>
    </row>
    <row r="1399" spans="1:32" ht="39" hidden="1" x14ac:dyDescent="0.25">
      <c r="A1399" s="326" t="s">
        <v>3891</v>
      </c>
      <c r="B1399" s="93" t="str">
        <f t="shared" si="315"/>
        <v>YES</v>
      </c>
      <c r="C1399" s="93" t="s">
        <v>5503</v>
      </c>
      <c r="D1399" s="4">
        <v>40801</v>
      </c>
      <c r="E1399" s="11">
        <v>40909</v>
      </c>
      <c r="F1399" s="2">
        <f t="shared" si="310"/>
        <v>44562</v>
      </c>
      <c r="G1399" s="6">
        <v>489.05</v>
      </c>
      <c r="H1399" s="7" t="s">
        <v>453</v>
      </c>
      <c r="I1399" s="7" t="s">
        <v>86</v>
      </c>
      <c r="J1399" s="189"/>
      <c r="K1399" s="266">
        <f t="shared" si="316"/>
        <v>2022</v>
      </c>
      <c r="L1399" s="417" t="s">
        <v>7529</v>
      </c>
      <c r="M1399" s="417" t="s">
        <v>7593</v>
      </c>
      <c r="N1399" s="32" t="s">
        <v>7785</v>
      </c>
      <c r="O1399" s="32" t="s">
        <v>3893</v>
      </c>
      <c r="P1399" s="278"/>
      <c r="Q1399" s="233" t="s">
        <v>3892</v>
      </c>
      <c r="R1399" s="83">
        <v>1930</v>
      </c>
      <c r="S1399" s="83">
        <v>172380</v>
      </c>
      <c r="T1399" s="83">
        <v>174310</v>
      </c>
      <c r="U1399" s="200">
        <v>735</v>
      </c>
      <c r="V1399" s="287">
        <f t="shared" ca="1" si="317"/>
        <v>9</v>
      </c>
      <c r="W1399" s="75">
        <f t="shared" ca="1" si="318"/>
        <v>7595</v>
      </c>
      <c r="X1399" s="200">
        <f t="shared" ca="1" si="319"/>
        <v>181170</v>
      </c>
      <c r="Y1399" s="1"/>
      <c r="Z1399" s="31">
        <v>0.1</v>
      </c>
      <c r="AA1399" s="223">
        <v>0.09</v>
      </c>
      <c r="AB1399" s="302" t="s">
        <v>7103</v>
      </c>
      <c r="AC1399" s="302"/>
      <c r="AD1399" s="302"/>
      <c r="AE1399" s="302"/>
      <c r="AF1399">
        <f t="shared" si="308"/>
        <v>0</v>
      </c>
    </row>
    <row r="1400" spans="1:32" hidden="1" x14ac:dyDescent="0.25">
      <c r="A1400" s="326" t="s">
        <v>3894</v>
      </c>
      <c r="B1400" s="93" t="str">
        <f t="shared" si="315"/>
        <v>YES</v>
      </c>
      <c r="C1400" s="93" t="s">
        <v>5503</v>
      </c>
      <c r="D1400" s="4">
        <v>40801</v>
      </c>
      <c r="E1400" s="11">
        <v>40909</v>
      </c>
      <c r="F1400" s="2">
        <f t="shared" si="310"/>
        <v>44562</v>
      </c>
      <c r="G1400" s="6">
        <v>20.38</v>
      </c>
      <c r="H1400" s="7" t="s">
        <v>453</v>
      </c>
      <c r="I1400" s="7" t="s">
        <v>86</v>
      </c>
      <c r="J1400" s="109" t="s">
        <v>3895</v>
      </c>
      <c r="K1400" s="266">
        <f t="shared" si="316"/>
        <v>2022</v>
      </c>
      <c r="L1400" s="417" t="s">
        <v>7529</v>
      </c>
      <c r="M1400" s="417" t="s">
        <v>7593</v>
      </c>
      <c r="N1400" s="32" t="s">
        <v>7785</v>
      </c>
      <c r="O1400" s="32" t="s">
        <v>3896</v>
      </c>
      <c r="P1400" s="278"/>
      <c r="Q1400" s="233" t="s">
        <v>3892</v>
      </c>
      <c r="R1400" s="83"/>
      <c r="S1400" s="83"/>
      <c r="T1400" s="83"/>
      <c r="U1400" s="200">
        <v>31.5</v>
      </c>
      <c r="V1400" s="287">
        <f t="shared" ca="1" si="317"/>
        <v>9</v>
      </c>
      <c r="W1400" s="75">
        <f t="shared" ca="1" si="318"/>
        <v>325.5</v>
      </c>
      <c r="X1400" s="200">
        <f t="shared" ca="1" si="319"/>
        <v>294</v>
      </c>
      <c r="Y1400" s="1"/>
      <c r="Z1400" s="31">
        <v>0.1</v>
      </c>
      <c r="AA1400" s="223">
        <v>0.09</v>
      </c>
      <c r="AB1400" s="302" t="s">
        <v>7104</v>
      </c>
      <c r="AC1400" s="302"/>
      <c r="AD1400" s="302"/>
      <c r="AE1400" s="302"/>
      <c r="AF1400">
        <f t="shared" si="308"/>
        <v>0</v>
      </c>
    </row>
    <row r="1401" spans="1:32" hidden="1" x14ac:dyDescent="0.25">
      <c r="A1401" s="326" t="s">
        <v>3897</v>
      </c>
      <c r="B1401" s="93" t="str">
        <f t="shared" si="315"/>
        <v>YES</v>
      </c>
      <c r="C1401" s="93" t="s">
        <v>5503</v>
      </c>
      <c r="D1401" s="4">
        <v>40801</v>
      </c>
      <c r="E1401" s="11">
        <v>40878</v>
      </c>
      <c r="F1401" s="2">
        <f t="shared" si="310"/>
        <v>44531</v>
      </c>
      <c r="G1401" s="6">
        <v>40</v>
      </c>
      <c r="H1401" s="7" t="s">
        <v>453</v>
      </c>
      <c r="I1401" s="7" t="s">
        <v>86</v>
      </c>
      <c r="J1401" s="189"/>
      <c r="K1401" s="266">
        <f t="shared" si="316"/>
        <v>2021</v>
      </c>
      <c r="L1401" s="417" t="s">
        <v>5834</v>
      </c>
      <c r="M1401" s="417" t="s">
        <v>7588</v>
      </c>
      <c r="N1401" s="32" t="s">
        <v>7785</v>
      </c>
      <c r="O1401" s="32" t="s">
        <v>3899</v>
      </c>
      <c r="P1401" s="278"/>
      <c r="Q1401" s="233" t="s">
        <v>3898</v>
      </c>
      <c r="R1401" s="83">
        <v>285</v>
      </c>
      <c r="S1401" s="83">
        <v>1720</v>
      </c>
      <c r="T1401" s="83">
        <v>2005</v>
      </c>
      <c r="U1401" s="200">
        <v>60</v>
      </c>
      <c r="V1401" s="287">
        <f t="shared" ca="1" si="317"/>
        <v>9</v>
      </c>
      <c r="W1401" s="75">
        <f t="shared" ca="1" si="318"/>
        <v>620</v>
      </c>
      <c r="X1401" s="200">
        <f t="shared" ca="1" si="319"/>
        <v>2565</v>
      </c>
      <c r="Y1401" s="1"/>
      <c r="Z1401" s="31">
        <v>0.1</v>
      </c>
      <c r="AA1401" s="223">
        <v>0.09</v>
      </c>
      <c r="AB1401" s="302" t="s">
        <v>7105</v>
      </c>
      <c r="AC1401" s="302"/>
      <c r="AD1401" s="302"/>
      <c r="AE1401" s="302"/>
      <c r="AF1401">
        <f t="shared" si="308"/>
        <v>0</v>
      </c>
    </row>
    <row r="1402" spans="1:32" ht="39" hidden="1" x14ac:dyDescent="0.25">
      <c r="A1402" s="326" t="s">
        <v>3900</v>
      </c>
      <c r="B1402" s="93" t="str">
        <f t="shared" si="315"/>
        <v>YES</v>
      </c>
      <c r="C1402" s="93" t="s">
        <v>5503</v>
      </c>
      <c r="D1402" s="4">
        <v>40801</v>
      </c>
      <c r="E1402" s="11">
        <v>40878</v>
      </c>
      <c r="F1402" s="2">
        <f t="shared" si="310"/>
        <v>44531</v>
      </c>
      <c r="G1402" s="6">
        <v>406.45</v>
      </c>
      <c r="H1402" s="7" t="s">
        <v>453</v>
      </c>
      <c r="I1402" s="7" t="s">
        <v>86</v>
      </c>
      <c r="J1402" s="189"/>
      <c r="K1402" s="266">
        <f t="shared" si="316"/>
        <v>2021</v>
      </c>
      <c r="L1402" s="417" t="s">
        <v>5834</v>
      </c>
      <c r="M1402" s="417" t="s">
        <v>7588</v>
      </c>
      <c r="N1402" s="32" t="s">
        <v>7785</v>
      </c>
      <c r="O1402" s="32" t="s">
        <v>3902</v>
      </c>
      <c r="P1402" s="278"/>
      <c r="Q1402" s="233" t="s">
        <v>3901</v>
      </c>
      <c r="R1402" s="83">
        <v>1569.5</v>
      </c>
      <c r="S1402" s="83">
        <v>88726</v>
      </c>
      <c r="T1402" s="83">
        <v>90295.5</v>
      </c>
      <c r="U1402" s="200">
        <v>610.5</v>
      </c>
      <c r="V1402" s="287">
        <f t="shared" ca="1" si="317"/>
        <v>9</v>
      </c>
      <c r="W1402" s="75">
        <f t="shared" ca="1" si="318"/>
        <v>6308.5</v>
      </c>
      <c r="X1402" s="200">
        <f t="shared" ca="1" si="319"/>
        <v>95993.5</v>
      </c>
      <c r="Y1402" s="1"/>
      <c r="Z1402" s="31">
        <v>0.1</v>
      </c>
      <c r="AA1402" s="223">
        <v>0.09</v>
      </c>
      <c r="AB1402" s="302" t="s">
        <v>7106</v>
      </c>
      <c r="AC1402" s="302"/>
      <c r="AD1402" s="302"/>
      <c r="AE1402" s="302"/>
      <c r="AF1402">
        <f t="shared" si="308"/>
        <v>0</v>
      </c>
    </row>
    <row r="1403" spans="1:32" ht="26.25" hidden="1" x14ac:dyDescent="0.25">
      <c r="A1403" s="326" t="s">
        <v>3903</v>
      </c>
      <c r="B1403" s="93" t="str">
        <f t="shared" si="315"/>
        <v>YES</v>
      </c>
      <c r="C1403" s="93" t="s">
        <v>5503</v>
      </c>
      <c r="D1403" s="4">
        <v>40801</v>
      </c>
      <c r="E1403" s="11">
        <v>40878</v>
      </c>
      <c r="F1403" s="2">
        <f t="shared" si="310"/>
        <v>44531</v>
      </c>
      <c r="G1403" s="6">
        <v>538.79</v>
      </c>
      <c r="H1403" s="7" t="s">
        <v>453</v>
      </c>
      <c r="I1403" s="7" t="s">
        <v>86</v>
      </c>
      <c r="J1403" s="189"/>
      <c r="K1403" s="266">
        <f t="shared" si="316"/>
        <v>2021</v>
      </c>
      <c r="L1403" s="417" t="s">
        <v>5834</v>
      </c>
      <c r="M1403" s="417" t="s">
        <v>7588</v>
      </c>
      <c r="N1403" s="32" t="s">
        <v>7785</v>
      </c>
      <c r="O1403" s="32" t="s">
        <v>3905</v>
      </c>
      <c r="P1403" s="278"/>
      <c r="Q1403" s="233" t="s">
        <v>3904</v>
      </c>
      <c r="R1403" s="83">
        <v>2031.5</v>
      </c>
      <c r="S1403" s="83">
        <v>31262</v>
      </c>
      <c r="T1403" s="83">
        <v>33293.5</v>
      </c>
      <c r="U1403" s="200">
        <v>808.5</v>
      </c>
      <c r="V1403" s="287">
        <f t="shared" ca="1" si="317"/>
        <v>9</v>
      </c>
      <c r="W1403" s="75">
        <f t="shared" ca="1" si="318"/>
        <v>8354.5</v>
      </c>
      <c r="X1403" s="200">
        <f t="shared" ca="1" si="319"/>
        <v>40839.5</v>
      </c>
      <c r="Y1403" s="1"/>
      <c r="Z1403" s="31">
        <v>0.1</v>
      </c>
      <c r="AA1403" s="223">
        <v>0.09</v>
      </c>
      <c r="AB1403" s="302" t="s">
        <v>7107</v>
      </c>
      <c r="AC1403" s="302"/>
      <c r="AD1403" s="302"/>
      <c r="AE1403" s="302"/>
      <c r="AF1403">
        <f t="shared" si="308"/>
        <v>0</v>
      </c>
    </row>
    <row r="1404" spans="1:32" hidden="1" x14ac:dyDescent="0.25">
      <c r="A1404" s="326" t="s">
        <v>3906</v>
      </c>
      <c r="B1404" s="93" t="str">
        <f t="shared" si="315"/>
        <v>YES</v>
      </c>
      <c r="C1404" s="93" t="s">
        <v>5503</v>
      </c>
      <c r="D1404" s="4">
        <v>40801</v>
      </c>
      <c r="E1404" s="2">
        <v>40848</v>
      </c>
      <c r="F1404" s="2">
        <f t="shared" si="310"/>
        <v>44501</v>
      </c>
      <c r="G1404" s="6">
        <v>633.99</v>
      </c>
      <c r="H1404" s="7" t="s">
        <v>453</v>
      </c>
      <c r="I1404" s="7" t="s">
        <v>86</v>
      </c>
      <c r="J1404" s="189"/>
      <c r="K1404" s="266">
        <f t="shared" si="316"/>
        <v>2021</v>
      </c>
      <c r="L1404" s="417" t="s">
        <v>7529</v>
      </c>
      <c r="M1404" s="417" t="s">
        <v>7588</v>
      </c>
      <c r="N1404" s="32" t="s">
        <v>7785</v>
      </c>
      <c r="O1404" s="32" t="s">
        <v>3862</v>
      </c>
      <c r="P1404" s="278"/>
      <c r="Q1404" s="233" t="s">
        <v>3907</v>
      </c>
      <c r="R1404" s="83">
        <v>2364</v>
      </c>
      <c r="S1404" s="83">
        <v>271352</v>
      </c>
      <c r="T1404" s="83">
        <v>273716</v>
      </c>
      <c r="U1404" s="200">
        <v>951</v>
      </c>
      <c r="V1404" s="287">
        <f t="shared" ca="1" si="317"/>
        <v>9</v>
      </c>
      <c r="W1404" s="75">
        <f t="shared" ca="1" si="318"/>
        <v>9827</v>
      </c>
      <c r="X1404" s="200">
        <f t="shared" ca="1" si="319"/>
        <v>282592</v>
      </c>
      <c r="Y1404" s="1"/>
      <c r="Z1404" s="31">
        <v>0.1</v>
      </c>
      <c r="AA1404" s="223">
        <v>0.09</v>
      </c>
      <c r="AB1404" s="302" t="s">
        <v>7108</v>
      </c>
      <c r="AC1404" s="302"/>
      <c r="AD1404" s="302"/>
      <c r="AE1404" s="302"/>
      <c r="AF1404">
        <f t="shared" si="308"/>
        <v>0</v>
      </c>
    </row>
    <row r="1405" spans="1:32" ht="26.25" hidden="1" x14ac:dyDescent="0.25">
      <c r="A1405" s="326" t="s">
        <v>3908</v>
      </c>
      <c r="B1405" s="93" t="str">
        <f t="shared" si="315"/>
        <v>YES</v>
      </c>
      <c r="C1405" s="93" t="s">
        <v>5503</v>
      </c>
      <c r="D1405" s="4">
        <v>40801</v>
      </c>
      <c r="E1405" s="2">
        <v>40848</v>
      </c>
      <c r="F1405" s="2">
        <f t="shared" si="310"/>
        <v>44501</v>
      </c>
      <c r="G1405" s="6">
        <v>434.19</v>
      </c>
      <c r="H1405" s="7" t="s">
        <v>453</v>
      </c>
      <c r="I1405" s="7" t="s">
        <v>86</v>
      </c>
      <c r="J1405" s="189"/>
      <c r="K1405" s="266">
        <f t="shared" si="316"/>
        <v>2021</v>
      </c>
      <c r="L1405" s="417" t="s">
        <v>7529</v>
      </c>
      <c r="M1405" s="417" t="s">
        <v>7588</v>
      </c>
      <c r="N1405" s="32" t="s">
        <v>7785</v>
      </c>
      <c r="O1405" s="32" t="s">
        <v>3910</v>
      </c>
      <c r="P1405" s="278"/>
      <c r="Q1405" s="233" t="s">
        <v>3909</v>
      </c>
      <c r="R1405" s="83">
        <v>1667.5</v>
      </c>
      <c r="S1405" s="83">
        <v>133980</v>
      </c>
      <c r="T1405" s="83">
        <v>135647.5</v>
      </c>
      <c r="U1405" s="200">
        <v>652.5</v>
      </c>
      <c r="V1405" s="287">
        <f t="shared" ca="1" si="317"/>
        <v>9</v>
      </c>
      <c r="W1405" s="75">
        <f t="shared" ca="1" si="318"/>
        <v>6742.5</v>
      </c>
      <c r="X1405" s="200">
        <f t="shared" ca="1" si="319"/>
        <v>141737.5</v>
      </c>
      <c r="Y1405" s="1"/>
      <c r="Z1405" s="31">
        <v>0.1</v>
      </c>
      <c r="AA1405" s="223">
        <v>0.09</v>
      </c>
      <c r="AB1405" s="302" t="s">
        <v>7109</v>
      </c>
      <c r="AC1405" s="302"/>
      <c r="AD1405" s="302"/>
      <c r="AE1405" s="302"/>
      <c r="AF1405">
        <f t="shared" si="308"/>
        <v>0</v>
      </c>
    </row>
    <row r="1406" spans="1:32" ht="39" hidden="1" x14ac:dyDescent="0.25">
      <c r="A1406" s="326" t="s">
        <v>3911</v>
      </c>
      <c r="B1406" s="93" t="str">
        <f t="shared" si="315"/>
        <v>YES</v>
      </c>
      <c r="C1406" s="93" t="s">
        <v>5503</v>
      </c>
      <c r="D1406" s="4">
        <v>40801</v>
      </c>
      <c r="E1406" s="2">
        <v>40848</v>
      </c>
      <c r="F1406" s="2">
        <f t="shared" si="310"/>
        <v>44501</v>
      </c>
      <c r="G1406" s="6">
        <v>499.15</v>
      </c>
      <c r="H1406" s="7" t="s">
        <v>453</v>
      </c>
      <c r="I1406" s="7" t="s">
        <v>86</v>
      </c>
      <c r="J1406" s="189"/>
      <c r="K1406" s="266">
        <f t="shared" si="316"/>
        <v>2021</v>
      </c>
      <c r="L1406" s="417" t="s">
        <v>7529</v>
      </c>
      <c r="M1406" s="417" t="s">
        <v>7588</v>
      </c>
      <c r="N1406" s="32" t="s">
        <v>7785</v>
      </c>
      <c r="O1406" s="32" t="s">
        <v>3913</v>
      </c>
      <c r="P1406" s="278"/>
      <c r="Q1406" s="233" t="s">
        <v>3912</v>
      </c>
      <c r="R1406" s="83">
        <v>1895</v>
      </c>
      <c r="S1406" s="83">
        <v>174000</v>
      </c>
      <c r="T1406" s="83">
        <v>175895</v>
      </c>
      <c r="U1406" s="200">
        <v>750</v>
      </c>
      <c r="V1406" s="287">
        <f t="shared" ca="1" si="317"/>
        <v>9</v>
      </c>
      <c r="W1406" s="75">
        <f t="shared" ca="1" si="318"/>
        <v>7750</v>
      </c>
      <c r="X1406" s="200">
        <f t="shared" ca="1" si="319"/>
        <v>182895</v>
      </c>
      <c r="Y1406" s="1"/>
      <c r="Z1406" s="31">
        <v>0.1</v>
      </c>
      <c r="AA1406" s="223">
        <v>0.09</v>
      </c>
      <c r="AB1406" s="302" t="s">
        <v>7110</v>
      </c>
      <c r="AC1406" s="302"/>
      <c r="AD1406" s="302"/>
      <c r="AE1406" s="302"/>
      <c r="AF1406">
        <f t="shared" si="308"/>
        <v>0</v>
      </c>
    </row>
    <row r="1407" spans="1:32" hidden="1" x14ac:dyDescent="0.25">
      <c r="A1407" s="326" t="s">
        <v>3914</v>
      </c>
      <c r="B1407" s="93" t="str">
        <f t="shared" si="315"/>
        <v>YES</v>
      </c>
      <c r="C1407" s="93" t="s">
        <v>5503</v>
      </c>
      <c r="D1407" s="4">
        <v>40801</v>
      </c>
      <c r="E1407" s="11">
        <v>40878</v>
      </c>
      <c r="F1407" s="2">
        <f t="shared" si="310"/>
        <v>44531</v>
      </c>
      <c r="G1407" s="6">
        <v>568.91999999999996</v>
      </c>
      <c r="H1407" s="7" t="s">
        <v>453</v>
      </c>
      <c r="I1407" s="7" t="s">
        <v>86</v>
      </c>
      <c r="J1407" s="189"/>
      <c r="K1407" s="266">
        <f t="shared" si="316"/>
        <v>2021</v>
      </c>
      <c r="L1407" s="417" t="s">
        <v>7529</v>
      </c>
      <c r="M1407" s="417" t="s">
        <v>7588</v>
      </c>
      <c r="N1407" s="32" t="s">
        <v>7785</v>
      </c>
      <c r="O1407" s="32" t="s">
        <v>3916</v>
      </c>
      <c r="P1407" s="278"/>
      <c r="Q1407" s="233" t="s">
        <v>3915</v>
      </c>
      <c r="R1407" s="84">
        <v>2136.5</v>
      </c>
      <c r="S1407" s="84">
        <v>33002</v>
      </c>
      <c r="T1407" s="84">
        <v>35138.5</v>
      </c>
      <c r="U1407" s="200">
        <v>853.5</v>
      </c>
      <c r="V1407" s="287">
        <f t="shared" ca="1" si="317"/>
        <v>9</v>
      </c>
      <c r="W1407" s="75">
        <f t="shared" ca="1" si="318"/>
        <v>8819.5</v>
      </c>
      <c r="X1407" s="200">
        <f t="shared" ca="1" si="319"/>
        <v>43104.5</v>
      </c>
      <c r="Y1407" s="1"/>
      <c r="Z1407" s="31">
        <v>0.1</v>
      </c>
      <c r="AA1407" s="223">
        <v>0.09</v>
      </c>
      <c r="AB1407" s="302" t="s">
        <v>7111</v>
      </c>
      <c r="AC1407" s="302"/>
      <c r="AD1407" s="302"/>
      <c r="AE1407" s="302"/>
      <c r="AF1407">
        <f t="shared" si="308"/>
        <v>0</v>
      </c>
    </row>
    <row r="1408" spans="1:32" ht="15.75" hidden="1" thickBot="1" x14ac:dyDescent="0.3">
      <c r="A1408" s="322"/>
      <c r="D1408" s="7"/>
      <c r="E1408" s="8"/>
      <c r="F1408" s="2"/>
      <c r="G1408" s="6"/>
      <c r="H1408" s="7"/>
      <c r="I1408" s="7"/>
      <c r="J1408" s="186"/>
      <c r="K1408" s="186"/>
      <c r="L1408" s="386"/>
      <c r="M1408" s="386"/>
      <c r="N1408" s="32"/>
      <c r="O1408" s="32"/>
      <c r="P1408" s="278"/>
      <c r="Q1408" s="233"/>
      <c r="R1408" s="76">
        <v>44167.5</v>
      </c>
      <c r="S1408" s="76">
        <v>1669220</v>
      </c>
      <c r="T1408" s="76">
        <v>1713387.5</v>
      </c>
      <c r="U1408" s="200"/>
      <c r="V1408" s="75"/>
      <c r="W1408" s="75"/>
      <c r="X1408" s="200"/>
      <c r="Y1408" s="1"/>
      <c r="Z1408" s="74"/>
      <c r="AA1408" s="224"/>
      <c r="AB1408" s="302"/>
      <c r="AC1408" s="302"/>
      <c r="AD1408" s="302"/>
      <c r="AE1408" s="302"/>
      <c r="AF1408">
        <f t="shared" si="308"/>
        <v>0</v>
      </c>
    </row>
    <row r="1409" spans="1:32" hidden="1" x14ac:dyDescent="0.25">
      <c r="A1409" s="322"/>
      <c r="D1409" s="7"/>
      <c r="E1409" s="8"/>
      <c r="F1409" s="2"/>
      <c r="G1409" s="6"/>
      <c r="H1409" s="7"/>
      <c r="I1409" s="7"/>
      <c r="J1409" s="186"/>
      <c r="K1409" s="186"/>
      <c r="L1409" s="386"/>
      <c r="M1409" s="386"/>
      <c r="N1409" s="32"/>
      <c r="O1409" s="32"/>
      <c r="P1409" s="278"/>
      <c r="Q1409" s="233"/>
      <c r="R1409" s="75"/>
      <c r="S1409" s="75"/>
      <c r="T1409" s="75"/>
      <c r="U1409" s="200"/>
      <c r="V1409" s="75"/>
      <c r="W1409" s="75"/>
      <c r="X1409" s="200"/>
      <c r="Y1409" s="1"/>
      <c r="Z1409" s="1"/>
      <c r="AA1409" s="219"/>
      <c r="AB1409" s="302"/>
      <c r="AC1409" s="302"/>
      <c r="AD1409" s="302"/>
      <c r="AE1409" s="302"/>
      <c r="AF1409">
        <f t="shared" si="308"/>
        <v>0</v>
      </c>
    </row>
    <row r="1410" spans="1:32" hidden="1" x14ac:dyDescent="0.25">
      <c r="A1410" s="322" t="s">
        <v>3917</v>
      </c>
      <c r="B1410" s="93" t="str">
        <f>IF(COUNTIF(GIS,A1410),"YES","NO")</f>
        <v>YES</v>
      </c>
      <c r="C1410" s="93" t="s">
        <v>5503</v>
      </c>
      <c r="D1410" s="4">
        <v>40835</v>
      </c>
      <c r="E1410" s="2">
        <v>40878</v>
      </c>
      <c r="F1410" s="2">
        <f t="shared" si="310"/>
        <v>44531</v>
      </c>
      <c r="G1410" s="6">
        <v>160</v>
      </c>
      <c r="H1410" s="7" t="s">
        <v>899</v>
      </c>
      <c r="I1410" s="7" t="s">
        <v>512</v>
      </c>
      <c r="J1410" s="186"/>
      <c r="K1410" s="266">
        <f>YEAR(F1410)</f>
        <v>2021</v>
      </c>
      <c r="L1410" s="390" t="s">
        <v>7517</v>
      </c>
      <c r="M1410" s="390" t="s">
        <v>7526</v>
      </c>
      <c r="N1410" s="32" t="s">
        <v>7802</v>
      </c>
      <c r="O1410" s="32" t="s">
        <v>3918</v>
      </c>
      <c r="P1410" s="278"/>
      <c r="Q1410" s="233">
        <v>201110010</v>
      </c>
      <c r="R1410" s="75">
        <v>710</v>
      </c>
      <c r="S1410" s="75">
        <v>44480</v>
      </c>
      <c r="T1410" s="75">
        <v>45190</v>
      </c>
      <c r="U1410" s="200">
        <v>240</v>
      </c>
      <c r="V1410" s="287">
        <f ca="1">IF(YEAR($W$3)-YEAR(E1410)&gt;9,10,IF(MONTH($W$3)&lt;MONTH(E1410),YEAR($W$3)-YEAR(E1410),YEAR($W$3)-YEAR(E1410)+1))</f>
        <v>9</v>
      </c>
      <c r="W1410" s="75">
        <f t="shared" ref="W1410:W1411" ca="1" si="320">IF(V1410&lt;6, ROUNDUP(G1410,0)*$W$6*V1410, ROUNDUP(G1410,0)*($W$6*5 + (V1410-5)*$W$7))</f>
        <v>2480</v>
      </c>
      <c r="X1410" s="200">
        <f t="shared" ref="X1410:X1411" ca="1" si="321">IF(V1410=0,T1410,((T1410-ROUNDUP(G1410,0)*1.5)+W1410))</f>
        <v>47430</v>
      </c>
      <c r="Y1410" s="1"/>
      <c r="Z1410" s="31">
        <v>0.1</v>
      </c>
      <c r="AA1410" s="223">
        <v>0.09</v>
      </c>
      <c r="AB1410" s="302" t="s">
        <v>6232</v>
      </c>
      <c r="AC1410" s="308">
        <v>42829</v>
      </c>
      <c r="AD1410" s="309">
        <v>0.25</v>
      </c>
      <c r="AE1410" s="302" t="s">
        <v>6231</v>
      </c>
      <c r="AF1410">
        <f t="shared" si="308"/>
        <v>0</v>
      </c>
    </row>
    <row r="1411" spans="1:32" ht="26.25" hidden="1" x14ac:dyDescent="0.25">
      <c r="A1411" s="322" t="s">
        <v>3919</v>
      </c>
      <c r="B1411" s="93" t="str">
        <f>IF(COUNTIF(GIS,A1411),"YES","NO")</f>
        <v>YES</v>
      </c>
      <c r="C1411" s="93" t="s">
        <v>5503</v>
      </c>
      <c r="D1411" s="4">
        <v>40835</v>
      </c>
      <c r="E1411" s="2">
        <v>40878</v>
      </c>
      <c r="F1411" s="2">
        <f t="shared" si="310"/>
        <v>44531</v>
      </c>
      <c r="G1411" s="6">
        <v>480</v>
      </c>
      <c r="H1411" s="7" t="s">
        <v>522</v>
      </c>
      <c r="I1411" s="7" t="s">
        <v>512</v>
      </c>
      <c r="J1411" s="109" t="s">
        <v>4826</v>
      </c>
      <c r="K1411" s="266">
        <f>YEAR(F1411)</f>
        <v>2021</v>
      </c>
      <c r="L1411" s="391" t="s">
        <v>5648</v>
      </c>
      <c r="M1411" s="391" t="s">
        <v>7536</v>
      </c>
      <c r="N1411" s="32" t="s">
        <v>7802</v>
      </c>
      <c r="O1411" s="32" t="s">
        <v>3920</v>
      </c>
      <c r="P1411" s="278"/>
      <c r="Q1411" s="233">
        <v>201110011</v>
      </c>
      <c r="R1411" s="81">
        <v>1830</v>
      </c>
      <c r="S1411" s="81">
        <v>0</v>
      </c>
      <c r="T1411" s="81">
        <v>1830</v>
      </c>
      <c r="U1411" s="200">
        <v>720</v>
      </c>
      <c r="V1411" s="287">
        <f ca="1">IF(YEAR($W$3)-YEAR(E1411)&gt;9,10,IF(MONTH($W$3)&lt;MONTH(E1411),YEAR($W$3)-YEAR(E1411),YEAR($W$3)-YEAR(E1411)+1))</f>
        <v>9</v>
      </c>
      <c r="W1411" s="75">
        <f t="shared" ca="1" si="320"/>
        <v>7440</v>
      </c>
      <c r="X1411" s="200">
        <f t="shared" ca="1" si="321"/>
        <v>8550</v>
      </c>
      <c r="Y1411" s="1"/>
      <c r="Z1411" s="31">
        <v>0.1</v>
      </c>
      <c r="AA1411" s="223">
        <v>0.09</v>
      </c>
      <c r="AB1411" s="302" t="s">
        <v>7112</v>
      </c>
      <c r="AC1411" s="302"/>
      <c r="AD1411" s="302"/>
      <c r="AE1411" s="302"/>
      <c r="AF1411">
        <f t="shared" si="308"/>
        <v>0</v>
      </c>
    </row>
    <row r="1412" spans="1:32" ht="15.75" hidden="1" thickBot="1" x14ac:dyDescent="0.3">
      <c r="A1412" s="322"/>
      <c r="D1412" s="7"/>
      <c r="E1412" s="8"/>
      <c r="F1412" s="2"/>
      <c r="G1412" s="6"/>
      <c r="H1412" s="7"/>
      <c r="I1412" s="7"/>
      <c r="J1412" s="186"/>
      <c r="K1412" s="186"/>
      <c r="L1412" s="386"/>
      <c r="M1412" s="386"/>
      <c r="N1412" s="32"/>
      <c r="O1412" s="32"/>
      <c r="P1412" s="278"/>
      <c r="Q1412" s="233"/>
      <c r="R1412" s="82">
        <v>2540</v>
      </c>
      <c r="S1412" s="82">
        <v>44480</v>
      </c>
      <c r="T1412" s="82">
        <v>47020</v>
      </c>
      <c r="U1412" s="200"/>
      <c r="V1412" s="75"/>
      <c r="W1412" s="75"/>
      <c r="X1412" s="200"/>
      <c r="Y1412" s="1"/>
      <c r="Z1412" s="74"/>
      <c r="AA1412" s="224"/>
      <c r="AB1412" s="302"/>
      <c r="AC1412" s="302"/>
      <c r="AD1412" s="302"/>
      <c r="AE1412" s="302"/>
      <c r="AF1412">
        <f t="shared" si="308"/>
        <v>0</v>
      </c>
    </row>
    <row r="1413" spans="1:32" hidden="1" x14ac:dyDescent="0.25">
      <c r="A1413" s="322"/>
      <c r="D1413" s="7"/>
      <c r="E1413" s="8"/>
      <c r="F1413" s="2"/>
      <c r="G1413" s="6"/>
      <c r="H1413" s="7"/>
      <c r="I1413" s="7"/>
      <c r="J1413" s="186"/>
      <c r="K1413" s="186"/>
      <c r="L1413" s="386"/>
      <c r="M1413" s="386"/>
      <c r="N1413" s="32"/>
      <c r="O1413" s="32"/>
      <c r="P1413" s="278"/>
      <c r="Q1413" s="233"/>
      <c r="R1413" s="75"/>
      <c r="S1413" s="75"/>
      <c r="T1413" s="75"/>
      <c r="U1413" s="200"/>
      <c r="V1413" s="75"/>
      <c r="W1413" s="75"/>
      <c r="X1413" s="200"/>
      <c r="Y1413" s="1"/>
      <c r="Z1413" s="1"/>
      <c r="AA1413" s="219"/>
      <c r="AB1413" s="302"/>
      <c r="AC1413" s="302"/>
      <c r="AD1413" s="302"/>
      <c r="AE1413" s="302"/>
      <c r="AF1413">
        <f t="shared" si="308"/>
        <v>0</v>
      </c>
    </row>
    <row r="1414" spans="1:32" ht="39" hidden="1" x14ac:dyDescent="0.25">
      <c r="A1414" s="322" t="s">
        <v>3921</v>
      </c>
      <c r="B1414" s="93" t="str">
        <f t="shared" ref="B1414:B1453" si="322">IF(COUNTIF(GIS,A1414),"YES","NO")</f>
        <v>YES</v>
      </c>
      <c r="C1414" s="93" t="s">
        <v>5503</v>
      </c>
      <c r="D1414" s="4">
        <v>40884</v>
      </c>
      <c r="E1414" s="11">
        <v>40940</v>
      </c>
      <c r="F1414" s="2">
        <f t="shared" si="310"/>
        <v>44593</v>
      </c>
      <c r="G1414" s="6">
        <v>444.99</v>
      </c>
      <c r="H1414" s="191" t="s">
        <v>3923</v>
      </c>
      <c r="I1414" s="7" t="s">
        <v>79</v>
      </c>
      <c r="J1414" s="186"/>
      <c r="K1414" s="266">
        <f t="shared" ref="K1414:K1453" si="323">YEAR(F1414)</f>
        <v>2022</v>
      </c>
      <c r="L1414" s="390" t="s">
        <v>5885</v>
      </c>
      <c r="M1414" s="390" t="s">
        <v>5840</v>
      </c>
      <c r="N1414" s="32" t="s">
        <v>7776</v>
      </c>
      <c r="O1414" s="32" t="s">
        <v>3924</v>
      </c>
      <c r="P1414" s="278"/>
      <c r="Q1414" s="233" t="s">
        <v>3922</v>
      </c>
      <c r="R1414" s="75">
        <v>1707.5</v>
      </c>
      <c r="S1414" s="75">
        <v>143735</v>
      </c>
      <c r="T1414" s="75">
        <v>145442.5</v>
      </c>
      <c r="U1414" s="200">
        <v>667.5</v>
      </c>
      <c r="V1414" s="287">
        <f t="shared" ref="V1414:V1453" ca="1" si="324">IF(YEAR($W$3)-YEAR(E1414)&gt;9,10,IF(MONTH($W$3)&lt;MONTH(E1414),YEAR($W$3)-YEAR(E1414),YEAR($W$3)-YEAR(E1414)+1))</f>
        <v>8</v>
      </c>
      <c r="W1414" s="75">
        <f t="shared" ref="W1414:W1453" ca="1" si="325">IF(V1414&lt;6, ROUNDUP(G1414,0)*$W$6*V1414, ROUNDUP(G1414,0)*($W$6*5 + (V1414-5)*$W$7))</f>
        <v>6007.5</v>
      </c>
      <c r="X1414" s="200">
        <f t="shared" ref="X1414:X1453" ca="1" si="326">IF(V1414=0,T1414,((T1414-ROUNDUP(G1414,0)*1.5)+W1414))</f>
        <v>150782.5</v>
      </c>
      <c r="Y1414" s="1"/>
      <c r="Z1414" s="31">
        <v>0.1</v>
      </c>
      <c r="AA1414" s="223">
        <v>0.09</v>
      </c>
      <c r="AB1414" s="302" t="s">
        <v>7113</v>
      </c>
      <c r="AC1414" s="308">
        <v>43535</v>
      </c>
      <c r="AD1414" s="309">
        <v>0.25</v>
      </c>
      <c r="AE1414" s="302" t="s">
        <v>7510</v>
      </c>
      <c r="AF1414">
        <f t="shared" si="308"/>
        <v>0</v>
      </c>
    </row>
    <row r="1415" spans="1:32" ht="25.5" hidden="1" x14ac:dyDescent="0.25">
      <c r="A1415" s="322" t="s">
        <v>3925</v>
      </c>
      <c r="B1415" s="93" t="str">
        <f t="shared" si="322"/>
        <v>YES</v>
      </c>
      <c r="C1415" s="93" t="s">
        <v>5503</v>
      </c>
      <c r="D1415" s="4">
        <v>40884</v>
      </c>
      <c r="E1415" s="11">
        <v>40940</v>
      </c>
      <c r="F1415" s="2">
        <f t="shared" si="310"/>
        <v>44593</v>
      </c>
      <c r="G1415" s="6">
        <v>432.14</v>
      </c>
      <c r="H1415" s="191" t="s">
        <v>3923</v>
      </c>
      <c r="I1415" s="7" t="s">
        <v>79</v>
      </c>
      <c r="J1415" s="186"/>
      <c r="K1415" s="266">
        <f t="shared" si="323"/>
        <v>2022</v>
      </c>
      <c r="L1415" s="390" t="s">
        <v>5885</v>
      </c>
      <c r="M1415" s="390" t="s">
        <v>5840</v>
      </c>
      <c r="N1415" s="32" t="s">
        <v>7776</v>
      </c>
      <c r="O1415" s="32" t="s">
        <v>3927</v>
      </c>
      <c r="P1415" s="278"/>
      <c r="Q1415" s="233" t="s">
        <v>3926</v>
      </c>
      <c r="R1415" s="75">
        <v>1665.5</v>
      </c>
      <c r="S1415" s="75">
        <v>139859</v>
      </c>
      <c r="T1415" s="75">
        <v>141524.5</v>
      </c>
      <c r="U1415" s="200">
        <v>649.5</v>
      </c>
      <c r="V1415" s="287">
        <f t="shared" ca="1" si="324"/>
        <v>8</v>
      </c>
      <c r="W1415" s="75">
        <f t="shared" ca="1" si="325"/>
        <v>5845.5</v>
      </c>
      <c r="X1415" s="200">
        <f t="shared" ca="1" si="326"/>
        <v>146720.5</v>
      </c>
      <c r="Y1415" s="1"/>
      <c r="Z1415" s="31">
        <v>0.1</v>
      </c>
      <c r="AA1415" s="223">
        <v>0.09</v>
      </c>
      <c r="AB1415" s="302" t="s">
        <v>7114</v>
      </c>
      <c r="AC1415" s="308">
        <v>43535</v>
      </c>
      <c r="AD1415" s="309">
        <v>0.25</v>
      </c>
      <c r="AE1415" s="302" t="s">
        <v>7510</v>
      </c>
      <c r="AF1415">
        <f t="shared" si="308"/>
        <v>0</v>
      </c>
    </row>
    <row r="1416" spans="1:32" ht="26.25" hidden="1" x14ac:dyDescent="0.25">
      <c r="A1416" s="322" t="s">
        <v>3928</v>
      </c>
      <c r="B1416" s="93" t="str">
        <f t="shared" si="322"/>
        <v>YES</v>
      </c>
      <c r="C1416" s="93" t="s">
        <v>5503</v>
      </c>
      <c r="D1416" s="4">
        <v>40884</v>
      </c>
      <c r="E1416" s="11">
        <v>40940</v>
      </c>
      <c r="F1416" s="2">
        <f t="shared" si="310"/>
        <v>44593</v>
      </c>
      <c r="G1416" s="6">
        <v>8.8699999999999992</v>
      </c>
      <c r="H1416" s="191" t="s">
        <v>3923</v>
      </c>
      <c r="I1416" s="7" t="s">
        <v>79</v>
      </c>
      <c r="J1416" s="186"/>
      <c r="K1416" s="266">
        <f t="shared" si="323"/>
        <v>2022</v>
      </c>
      <c r="L1416" s="390" t="s">
        <v>5885</v>
      </c>
      <c r="M1416" s="390" t="s">
        <v>5840</v>
      </c>
      <c r="N1416" s="32" t="s">
        <v>7776</v>
      </c>
      <c r="O1416" s="32" t="s">
        <v>3930</v>
      </c>
      <c r="P1416" s="278"/>
      <c r="Q1416" s="233" t="s">
        <v>3929</v>
      </c>
      <c r="R1416" s="75">
        <v>181.5</v>
      </c>
      <c r="S1416" s="75">
        <v>2907</v>
      </c>
      <c r="T1416" s="75">
        <v>3088.5</v>
      </c>
      <c r="U1416" s="200">
        <v>13.5</v>
      </c>
      <c r="V1416" s="287">
        <f t="shared" ca="1" si="324"/>
        <v>8</v>
      </c>
      <c r="W1416" s="75">
        <f t="shared" ca="1" si="325"/>
        <v>121.5</v>
      </c>
      <c r="X1416" s="200">
        <f t="shared" ca="1" si="326"/>
        <v>3196.5</v>
      </c>
      <c r="Y1416" s="1"/>
      <c r="Z1416" s="31">
        <v>0.1</v>
      </c>
      <c r="AA1416" s="223">
        <v>0.09</v>
      </c>
      <c r="AB1416" s="302" t="s">
        <v>7115</v>
      </c>
      <c r="AC1416" s="308">
        <v>43535</v>
      </c>
      <c r="AD1416" s="309">
        <v>0.25</v>
      </c>
      <c r="AE1416" s="302" t="s">
        <v>7510</v>
      </c>
      <c r="AF1416">
        <f t="shared" si="308"/>
        <v>0</v>
      </c>
    </row>
    <row r="1417" spans="1:32" ht="25.5" hidden="1" x14ac:dyDescent="0.25">
      <c r="A1417" s="322" t="s">
        <v>3931</v>
      </c>
      <c r="B1417" s="93" t="str">
        <f t="shared" si="322"/>
        <v>YES</v>
      </c>
      <c r="C1417" s="93" t="s">
        <v>5503</v>
      </c>
      <c r="D1417" s="4">
        <v>40884</v>
      </c>
      <c r="E1417" s="11">
        <v>40940</v>
      </c>
      <c r="F1417" s="2">
        <f t="shared" si="310"/>
        <v>44593</v>
      </c>
      <c r="G1417" s="6">
        <v>43.15</v>
      </c>
      <c r="H1417" s="7" t="s">
        <v>3750</v>
      </c>
      <c r="I1417" s="7" t="s">
        <v>86</v>
      </c>
      <c r="J1417" s="186"/>
      <c r="K1417" s="266">
        <f t="shared" si="323"/>
        <v>2022</v>
      </c>
      <c r="L1417" s="301" t="s">
        <v>5519</v>
      </c>
      <c r="M1417" s="301" t="s">
        <v>5840</v>
      </c>
      <c r="N1417" s="32" t="s">
        <v>7801</v>
      </c>
      <c r="O1417" s="32" t="s">
        <v>3933</v>
      </c>
      <c r="P1417" s="278"/>
      <c r="Q1417" s="233" t="s">
        <v>3932</v>
      </c>
      <c r="R1417" s="75">
        <v>304</v>
      </c>
      <c r="S1417" s="75">
        <v>1232</v>
      </c>
      <c r="T1417" s="75">
        <v>1536</v>
      </c>
      <c r="U1417" s="200">
        <v>66</v>
      </c>
      <c r="V1417" s="287">
        <f t="shared" ca="1" si="324"/>
        <v>8</v>
      </c>
      <c r="W1417" s="75">
        <f t="shared" ca="1" si="325"/>
        <v>594</v>
      </c>
      <c r="X1417" s="200">
        <f t="shared" ca="1" si="326"/>
        <v>2064</v>
      </c>
      <c r="Y1417" s="1"/>
      <c r="Z1417" s="31">
        <v>0.1</v>
      </c>
      <c r="AA1417" s="223">
        <v>0.09</v>
      </c>
      <c r="AB1417" s="302" t="s">
        <v>7116</v>
      </c>
      <c r="AC1417" s="308">
        <v>43539</v>
      </c>
      <c r="AD1417" s="309">
        <v>0.25</v>
      </c>
      <c r="AE1417" s="302" t="s">
        <v>7516</v>
      </c>
      <c r="AF1417">
        <f t="shared" si="308"/>
        <v>0</v>
      </c>
    </row>
    <row r="1418" spans="1:32" ht="25.5" hidden="1" x14ac:dyDescent="0.25">
      <c r="A1418" s="322" t="s">
        <v>3934</v>
      </c>
      <c r="B1418" s="93" t="str">
        <f t="shared" si="322"/>
        <v>YES</v>
      </c>
      <c r="C1418" s="93" t="s">
        <v>5503</v>
      </c>
      <c r="D1418" s="4">
        <v>40884</v>
      </c>
      <c r="E1418" s="11">
        <v>40940</v>
      </c>
      <c r="F1418" s="2">
        <f t="shared" si="310"/>
        <v>44593</v>
      </c>
      <c r="G1418" s="6">
        <v>274.39999999999998</v>
      </c>
      <c r="H1418" s="7" t="s">
        <v>3750</v>
      </c>
      <c r="I1418" s="7" t="s">
        <v>86</v>
      </c>
      <c r="J1418" s="186"/>
      <c r="K1418" s="266">
        <f t="shared" si="323"/>
        <v>2022</v>
      </c>
      <c r="L1418" s="301" t="s">
        <v>5519</v>
      </c>
      <c r="M1418" s="301" t="s">
        <v>5840</v>
      </c>
      <c r="N1418" s="32" t="s">
        <v>7801</v>
      </c>
      <c r="O1418" s="32" t="s">
        <v>3936</v>
      </c>
      <c r="P1418" s="278"/>
      <c r="Q1418" s="233" t="s">
        <v>3935</v>
      </c>
      <c r="R1418" s="75">
        <v>1112.5</v>
      </c>
      <c r="S1418" s="75">
        <v>46200</v>
      </c>
      <c r="T1418" s="75">
        <v>47312.5</v>
      </c>
      <c r="U1418" s="200">
        <v>412.5</v>
      </c>
      <c r="V1418" s="287">
        <f t="shared" ca="1" si="324"/>
        <v>8</v>
      </c>
      <c r="W1418" s="75">
        <f t="shared" ca="1" si="325"/>
        <v>3712.5</v>
      </c>
      <c r="X1418" s="200">
        <f t="shared" ca="1" si="326"/>
        <v>50612.5</v>
      </c>
      <c r="Y1418" s="1"/>
      <c r="Z1418" s="31">
        <v>0.1</v>
      </c>
      <c r="AA1418" s="223">
        <v>0.09</v>
      </c>
      <c r="AB1418" s="302" t="s">
        <v>7117</v>
      </c>
      <c r="AC1418" s="308">
        <v>43539</v>
      </c>
      <c r="AD1418" s="309">
        <v>0.25</v>
      </c>
      <c r="AE1418" s="302" t="s">
        <v>7516</v>
      </c>
      <c r="AF1418">
        <f t="shared" si="308"/>
        <v>0</v>
      </c>
    </row>
    <row r="1419" spans="1:32" ht="26.25" hidden="1" customHeight="1" x14ac:dyDescent="0.25">
      <c r="A1419" s="322" t="s">
        <v>3937</v>
      </c>
      <c r="B1419" s="93" t="str">
        <f t="shared" si="322"/>
        <v>YES</v>
      </c>
      <c r="C1419" s="93" t="s">
        <v>5503</v>
      </c>
      <c r="D1419" s="4">
        <v>40884</v>
      </c>
      <c r="E1419" s="11">
        <v>40940</v>
      </c>
      <c r="F1419" s="2">
        <f t="shared" si="310"/>
        <v>44593</v>
      </c>
      <c r="G1419" s="6">
        <v>587.66999999999996</v>
      </c>
      <c r="H1419" s="7" t="s">
        <v>3750</v>
      </c>
      <c r="I1419" s="7" t="s">
        <v>86</v>
      </c>
      <c r="J1419" s="186"/>
      <c r="K1419" s="266">
        <f t="shared" si="323"/>
        <v>2022</v>
      </c>
      <c r="L1419" s="301" t="s">
        <v>5519</v>
      </c>
      <c r="M1419" s="301" t="s">
        <v>5840</v>
      </c>
      <c r="N1419" s="32" t="s">
        <v>7801</v>
      </c>
      <c r="O1419" s="32" t="s">
        <v>3939</v>
      </c>
      <c r="P1419" s="278"/>
      <c r="Q1419" s="233" t="s">
        <v>3938</v>
      </c>
      <c r="R1419" s="75">
        <v>2327</v>
      </c>
      <c r="S1419" s="75">
        <v>8086</v>
      </c>
      <c r="T1419" s="75">
        <v>10413</v>
      </c>
      <c r="U1419" s="200">
        <v>882</v>
      </c>
      <c r="V1419" s="287">
        <f t="shared" ca="1" si="324"/>
        <v>8</v>
      </c>
      <c r="W1419" s="75">
        <f t="shared" ca="1" si="325"/>
        <v>7938</v>
      </c>
      <c r="X1419" s="200">
        <f t="shared" ca="1" si="326"/>
        <v>17469</v>
      </c>
      <c r="Y1419" s="1"/>
      <c r="Z1419" s="31">
        <v>0.1</v>
      </c>
      <c r="AA1419" s="223">
        <v>0.09</v>
      </c>
      <c r="AB1419" s="302" t="s">
        <v>7118</v>
      </c>
      <c r="AC1419" s="308">
        <v>43539</v>
      </c>
      <c r="AD1419" s="309">
        <v>0.25</v>
      </c>
      <c r="AE1419" s="302" t="s">
        <v>7516</v>
      </c>
      <c r="AF1419">
        <f t="shared" si="308"/>
        <v>0</v>
      </c>
    </row>
    <row r="1420" spans="1:32" ht="25.5" hidden="1" x14ac:dyDescent="0.25">
      <c r="A1420" s="322" t="s">
        <v>3940</v>
      </c>
      <c r="B1420" s="93" t="str">
        <f t="shared" si="322"/>
        <v>YES</v>
      </c>
      <c r="C1420" s="93" t="s">
        <v>5503</v>
      </c>
      <c r="D1420" s="4">
        <v>40884</v>
      </c>
      <c r="E1420" s="11">
        <v>40940</v>
      </c>
      <c r="F1420" s="2">
        <f t="shared" si="310"/>
        <v>44593</v>
      </c>
      <c r="G1420" s="6">
        <v>163.4</v>
      </c>
      <c r="H1420" s="7" t="s">
        <v>3750</v>
      </c>
      <c r="I1420" s="7" t="s">
        <v>86</v>
      </c>
      <c r="J1420" s="186"/>
      <c r="K1420" s="266">
        <f t="shared" si="323"/>
        <v>2022</v>
      </c>
      <c r="L1420" s="301" t="s">
        <v>5519</v>
      </c>
      <c r="M1420" s="301" t="s">
        <v>5840</v>
      </c>
      <c r="N1420" s="32" t="s">
        <v>7801</v>
      </c>
      <c r="O1420" s="32" t="s">
        <v>3942</v>
      </c>
      <c r="P1420" s="278"/>
      <c r="Q1420" s="233" t="s">
        <v>3941</v>
      </c>
      <c r="R1420" s="75">
        <v>724</v>
      </c>
      <c r="S1420" s="75">
        <v>1968</v>
      </c>
      <c r="T1420" s="75">
        <v>2692</v>
      </c>
      <c r="U1420" s="200">
        <v>246</v>
      </c>
      <c r="V1420" s="287">
        <f t="shared" ca="1" si="324"/>
        <v>8</v>
      </c>
      <c r="W1420" s="75">
        <f t="shared" ca="1" si="325"/>
        <v>2214</v>
      </c>
      <c r="X1420" s="200">
        <f t="shared" ca="1" si="326"/>
        <v>4660</v>
      </c>
      <c r="Y1420" s="1"/>
      <c r="Z1420" s="31">
        <v>0.1</v>
      </c>
      <c r="AA1420" s="223">
        <v>0.09</v>
      </c>
      <c r="AB1420" s="302" t="s">
        <v>7119</v>
      </c>
      <c r="AC1420" s="308">
        <v>43539</v>
      </c>
      <c r="AD1420" s="309">
        <v>0.25</v>
      </c>
      <c r="AE1420" s="302" t="s">
        <v>7516</v>
      </c>
      <c r="AF1420">
        <f t="shared" si="308"/>
        <v>0</v>
      </c>
    </row>
    <row r="1421" spans="1:32" ht="26.25" hidden="1" x14ac:dyDescent="0.25">
      <c r="A1421" s="322" t="s">
        <v>3943</v>
      </c>
      <c r="B1421" s="93" t="str">
        <f t="shared" si="322"/>
        <v>YES</v>
      </c>
      <c r="C1421" s="93" t="s">
        <v>5503</v>
      </c>
      <c r="D1421" s="4">
        <v>40884</v>
      </c>
      <c r="E1421" s="11">
        <v>40940</v>
      </c>
      <c r="F1421" s="2">
        <f t="shared" si="310"/>
        <v>44593</v>
      </c>
      <c r="G1421" s="6">
        <v>78</v>
      </c>
      <c r="H1421" s="7" t="s">
        <v>3750</v>
      </c>
      <c r="I1421" s="7" t="s">
        <v>86</v>
      </c>
      <c r="J1421" s="186"/>
      <c r="K1421" s="266">
        <f t="shared" si="323"/>
        <v>2022</v>
      </c>
      <c r="L1421" s="301" t="s">
        <v>5519</v>
      </c>
      <c r="M1421" s="301" t="s">
        <v>5840</v>
      </c>
      <c r="N1421" s="32" t="s">
        <v>7801</v>
      </c>
      <c r="O1421" s="32" t="s">
        <v>3945</v>
      </c>
      <c r="P1421" s="278"/>
      <c r="Q1421" s="233" t="s">
        <v>3944</v>
      </c>
      <c r="R1421" s="75">
        <v>423</v>
      </c>
      <c r="S1421" s="75">
        <v>25584</v>
      </c>
      <c r="T1421" s="75">
        <v>26007</v>
      </c>
      <c r="U1421" s="200">
        <v>117</v>
      </c>
      <c r="V1421" s="287">
        <f t="shared" ca="1" si="324"/>
        <v>8</v>
      </c>
      <c r="W1421" s="75">
        <f t="shared" ca="1" si="325"/>
        <v>1053</v>
      </c>
      <c r="X1421" s="200">
        <f t="shared" ca="1" si="326"/>
        <v>26943</v>
      </c>
      <c r="Y1421" s="1"/>
      <c r="Z1421" s="31">
        <v>0.1</v>
      </c>
      <c r="AA1421" s="223">
        <v>0.09</v>
      </c>
      <c r="AB1421" s="302" t="s">
        <v>7120</v>
      </c>
      <c r="AC1421" s="308">
        <v>43539</v>
      </c>
      <c r="AD1421" s="309">
        <v>0.25</v>
      </c>
      <c r="AE1421" s="302" t="s">
        <v>7516</v>
      </c>
      <c r="AF1421">
        <f t="shared" si="308"/>
        <v>0</v>
      </c>
    </row>
    <row r="1422" spans="1:32" ht="115.5" hidden="1" x14ac:dyDescent="0.25">
      <c r="A1422" s="322" t="s">
        <v>3946</v>
      </c>
      <c r="B1422" s="93" t="str">
        <f t="shared" si="322"/>
        <v>YES</v>
      </c>
      <c r="C1422" s="93" t="s">
        <v>5503</v>
      </c>
      <c r="D1422" s="4">
        <v>40884</v>
      </c>
      <c r="E1422" s="11">
        <v>40940</v>
      </c>
      <c r="F1422" s="2">
        <f t="shared" si="310"/>
        <v>44593</v>
      </c>
      <c r="G1422" s="6">
        <v>419.72</v>
      </c>
      <c r="H1422" s="7" t="s">
        <v>3750</v>
      </c>
      <c r="I1422" s="7" t="s">
        <v>86</v>
      </c>
      <c r="J1422" s="186"/>
      <c r="K1422" s="266">
        <f t="shared" si="323"/>
        <v>2022</v>
      </c>
      <c r="L1422" s="301" t="s">
        <v>5519</v>
      </c>
      <c r="M1422" s="301" t="s">
        <v>5840</v>
      </c>
      <c r="N1422" s="32" t="s">
        <v>7801</v>
      </c>
      <c r="O1422" s="32" t="s">
        <v>3948</v>
      </c>
      <c r="P1422" s="278"/>
      <c r="Q1422" s="233" t="s">
        <v>3947</v>
      </c>
      <c r="R1422" s="75">
        <v>1620</v>
      </c>
      <c r="S1422" s="75">
        <v>3360</v>
      </c>
      <c r="T1422" s="75">
        <v>4980</v>
      </c>
      <c r="U1422" s="200">
        <v>630</v>
      </c>
      <c r="V1422" s="287">
        <f t="shared" ca="1" si="324"/>
        <v>8</v>
      </c>
      <c r="W1422" s="75">
        <f t="shared" ca="1" si="325"/>
        <v>5670</v>
      </c>
      <c r="X1422" s="200">
        <f t="shared" ca="1" si="326"/>
        <v>10020</v>
      </c>
      <c r="Y1422" s="1"/>
      <c r="Z1422" s="31">
        <v>0.1</v>
      </c>
      <c r="AA1422" s="223">
        <v>0.09</v>
      </c>
      <c r="AB1422" s="302" t="s">
        <v>7121</v>
      </c>
      <c r="AC1422" s="308">
        <v>43539</v>
      </c>
      <c r="AD1422" s="309">
        <v>0.25</v>
      </c>
      <c r="AE1422" s="302" t="s">
        <v>7516</v>
      </c>
      <c r="AF1422">
        <f t="shared" si="308"/>
        <v>0</v>
      </c>
    </row>
    <row r="1423" spans="1:32" ht="26.25" hidden="1" x14ac:dyDescent="0.25">
      <c r="A1423" s="322" t="s">
        <v>3949</v>
      </c>
      <c r="B1423" s="93" t="str">
        <f t="shared" si="322"/>
        <v>YES</v>
      </c>
      <c r="C1423" s="93" t="s">
        <v>5503</v>
      </c>
      <c r="D1423" s="4">
        <v>40884</v>
      </c>
      <c r="E1423" s="11">
        <v>40940</v>
      </c>
      <c r="F1423" s="2">
        <f t="shared" si="310"/>
        <v>44593</v>
      </c>
      <c r="G1423" s="6">
        <v>455.1</v>
      </c>
      <c r="H1423" s="7" t="s">
        <v>3750</v>
      </c>
      <c r="I1423" s="7" t="s">
        <v>86</v>
      </c>
      <c r="J1423" s="186"/>
      <c r="K1423" s="266">
        <f t="shared" si="323"/>
        <v>2022</v>
      </c>
      <c r="L1423" s="301" t="s">
        <v>5519</v>
      </c>
      <c r="M1423" s="301" t="s">
        <v>5840</v>
      </c>
      <c r="N1423" s="32" t="s">
        <v>7801</v>
      </c>
      <c r="O1423" s="32" t="s">
        <v>3951</v>
      </c>
      <c r="P1423" s="278"/>
      <c r="Q1423" s="233" t="s">
        <v>3950</v>
      </c>
      <c r="R1423" s="75">
        <v>1816</v>
      </c>
      <c r="S1423" s="75">
        <v>3808</v>
      </c>
      <c r="T1423" s="75">
        <v>5624</v>
      </c>
      <c r="U1423" s="200">
        <v>684</v>
      </c>
      <c r="V1423" s="287">
        <f t="shared" ca="1" si="324"/>
        <v>8</v>
      </c>
      <c r="W1423" s="75">
        <f t="shared" ca="1" si="325"/>
        <v>6156</v>
      </c>
      <c r="X1423" s="200">
        <f t="shared" ca="1" si="326"/>
        <v>11096</v>
      </c>
      <c r="Y1423" s="1"/>
      <c r="Z1423" s="31">
        <v>0.1</v>
      </c>
      <c r="AA1423" s="223">
        <v>0.09</v>
      </c>
      <c r="AB1423" s="302" t="s">
        <v>7122</v>
      </c>
      <c r="AC1423" s="308">
        <v>43539</v>
      </c>
      <c r="AD1423" s="309">
        <v>0.25</v>
      </c>
      <c r="AE1423" s="302" t="s">
        <v>7516</v>
      </c>
      <c r="AF1423">
        <f t="shared" si="308"/>
        <v>0</v>
      </c>
    </row>
    <row r="1424" spans="1:32" ht="25.5" hidden="1" x14ac:dyDescent="0.25">
      <c r="A1424" s="322" t="s">
        <v>3952</v>
      </c>
      <c r="B1424" s="93" t="str">
        <f t="shared" si="322"/>
        <v>YES</v>
      </c>
      <c r="C1424" s="93" t="s">
        <v>5503</v>
      </c>
      <c r="D1424" s="4">
        <v>40884</v>
      </c>
      <c r="E1424" s="11">
        <v>40940</v>
      </c>
      <c r="F1424" s="2">
        <f t="shared" si="310"/>
        <v>44593</v>
      </c>
      <c r="G1424" s="6">
        <v>668.61</v>
      </c>
      <c r="H1424" s="7" t="s">
        <v>3750</v>
      </c>
      <c r="I1424" s="7" t="s">
        <v>86</v>
      </c>
      <c r="J1424" s="186"/>
      <c r="K1424" s="266">
        <f t="shared" si="323"/>
        <v>2022</v>
      </c>
      <c r="L1424" s="301" t="s">
        <v>5519</v>
      </c>
      <c r="M1424" s="301" t="s">
        <v>5840</v>
      </c>
      <c r="N1424" s="32" t="s">
        <v>7801</v>
      </c>
      <c r="O1424" s="32" t="s">
        <v>3954</v>
      </c>
      <c r="P1424" s="278"/>
      <c r="Q1424" s="233" t="s">
        <v>3953</v>
      </c>
      <c r="R1424" s="75">
        <v>2491.5</v>
      </c>
      <c r="S1424" s="75">
        <v>4683</v>
      </c>
      <c r="T1424" s="75">
        <v>7174.5</v>
      </c>
      <c r="U1424" s="200">
        <v>1003.5</v>
      </c>
      <c r="V1424" s="287">
        <f t="shared" ca="1" si="324"/>
        <v>8</v>
      </c>
      <c r="W1424" s="75">
        <f t="shared" ca="1" si="325"/>
        <v>9031.5</v>
      </c>
      <c r="X1424" s="200">
        <f t="shared" ca="1" si="326"/>
        <v>15202.5</v>
      </c>
      <c r="Y1424" s="1"/>
      <c r="Z1424" s="31">
        <v>0.1</v>
      </c>
      <c r="AA1424" s="223">
        <v>0.09</v>
      </c>
      <c r="AB1424" s="302" t="s">
        <v>7123</v>
      </c>
      <c r="AC1424" s="308">
        <v>43539</v>
      </c>
      <c r="AD1424" s="309">
        <v>0.25</v>
      </c>
      <c r="AE1424" s="302" t="s">
        <v>7516</v>
      </c>
      <c r="AF1424">
        <f t="shared" si="308"/>
        <v>0</v>
      </c>
    </row>
    <row r="1425" spans="1:32" ht="26.25" hidden="1" customHeight="1" x14ac:dyDescent="0.25">
      <c r="A1425" s="322" t="s">
        <v>3955</v>
      </c>
      <c r="B1425" s="93" t="str">
        <f t="shared" si="322"/>
        <v>YES</v>
      </c>
      <c r="C1425" s="93" t="s">
        <v>5503</v>
      </c>
      <c r="D1425" s="4">
        <v>40884</v>
      </c>
      <c r="E1425" s="2">
        <v>40909</v>
      </c>
      <c r="F1425" s="2">
        <f t="shared" si="310"/>
        <v>44562</v>
      </c>
      <c r="G1425" s="6">
        <v>678.43</v>
      </c>
      <c r="H1425" s="7" t="s">
        <v>3750</v>
      </c>
      <c r="I1425" s="7" t="s">
        <v>86</v>
      </c>
      <c r="J1425" s="186"/>
      <c r="K1425" s="266">
        <f t="shared" si="323"/>
        <v>2022</v>
      </c>
      <c r="L1425" s="301" t="s">
        <v>5519</v>
      </c>
      <c r="M1425" s="301" t="s">
        <v>5840</v>
      </c>
      <c r="N1425" s="32" t="s">
        <v>7801</v>
      </c>
      <c r="O1425" s="32" t="s">
        <v>3957</v>
      </c>
      <c r="P1425" s="278"/>
      <c r="Q1425" s="233" t="s">
        <v>3956</v>
      </c>
      <c r="R1425" s="75">
        <v>2526.5</v>
      </c>
      <c r="S1425" s="75">
        <v>4074</v>
      </c>
      <c r="T1425" s="75">
        <v>6600.5</v>
      </c>
      <c r="U1425" s="200">
        <v>1018.5</v>
      </c>
      <c r="V1425" s="287">
        <f t="shared" ca="1" si="324"/>
        <v>9</v>
      </c>
      <c r="W1425" s="75">
        <f t="shared" ca="1" si="325"/>
        <v>10524.5</v>
      </c>
      <c r="X1425" s="200">
        <f t="shared" ca="1" si="326"/>
        <v>16106.5</v>
      </c>
      <c r="Y1425" s="1"/>
      <c r="Z1425" s="31">
        <v>0.1</v>
      </c>
      <c r="AA1425" s="223">
        <v>0.09</v>
      </c>
      <c r="AB1425" s="302" t="s">
        <v>7124</v>
      </c>
      <c r="AC1425" s="308">
        <v>43539</v>
      </c>
      <c r="AD1425" s="309">
        <v>0.25</v>
      </c>
      <c r="AE1425" s="302" t="s">
        <v>7516</v>
      </c>
      <c r="AF1425">
        <f t="shared" si="308"/>
        <v>0</v>
      </c>
    </row>
    <row r="1426" spans="1:32" ht="25.5" hidden="1" x14ac:dyDescent="0.25">
      <c r="A1426" s="322" t="s">
        <v>3958</v>
      </c>
      <c r="B1426" s="93" t="str">
        <f t="shared" si="322"/>
        <v>YES</v>
      </c>
      <c r="C1426" s="93" t="s">
        <v>5503</v>
      </c>
      <c r="D1426" s="4">
        <v>40884</v>
      </c>
      <c r="E1426" s="2">
        <v>40909</v>
      </c>
      <c r="F1426" s="2">
        <f t="shared" si="310"/>
        <v>44562</v>
      </c>
      <c r="G1426" s="6">
        <v>88.87</v>
      </c>
      <c r="H1426" s="7" t="s">
        <v>3750</v>
      </c>
      <c r="I1426" s="7" t="s">
        <v>86</v>
      </c>
      <c r="J1426" s="186"/>
      <c r="K1426" s="266">
        <f t="shared" si="323"/>
        <v>2022</v>
      </c>
      <c r="L1426" s="301" t="s">
        <v>5519</v>
      </c>
      <c r="M1426" s="301" t="s">
        <v>5840</v>
      </c>
      <c r="N1426" s="32" t="s">
        <v>7801</v>
      </c>
      <c r="O1426" s="32" t="s">
        <v>3960</v>
      </c>
      <c r="P1426" s="278"/>
      <c r="Q1426" s="233" t="s">
        <v>3959</v>
      </c>
      <c r="R1426" s="75">
        <v>461.5</v>
      </c>
      <c r="S1426" s="75">
        <v>2047</v>
      </c>
      <c r="T1426" s="75">
        <v>2508.5</v>
      </c>
      <c r="U1426" s="200">
        <v>133.5</v>
      </c>
      <c r="V1426" s="287">
        <f t="shared" ca="1" si="324"/>
        <v>9</v>
      </c>
      <c r="W1426" s="75">
        <f t="shared" ca="1" si="325"/>
        <v>1379.5</v>
      </c>
      <c r="X1426" s="200">
        <f t="shared" ca="1" si="326"/>
        <v>3754.5</v>
      </c>
      <c r="Y1426" s="1"/>
      <c r="Z1426" s="31">
        <v>0.1</v>
      </c>
      <c r="AA1426" s="223">
        <v>0.09</v>
      </c>
      <c r="AB1426" s="302" t="s">
        <v>7125</v>
      </c>
      <c r="AC1426" s="308">
        <v>43539</v>
      </c>
      <c r="AD1426" s="309">
        <v>0.25</v>
      </c>
      <c r="AE1426" s="302" t="s">
        <v>7516</v>
      </c>
      <c r="AF1426">
        <f t="shared" si="308"/>
        <v>0</v>
      </c>
    </row>
    <row r="1427" spans="1:32" ht="25.5" hidden="1" x14ac:dyDescent="0.25">
      <c r="A1427" s="322" t="s">
        <v>3961</v>
      </c>
      <c r="B1427" s="93" t="str">
        <f t="shared" si="322"/>
        <v>YES</v>
      </c>
      <c r="C1427" s="93" t="s">
        <v>5503</v>
      </c>
      <c r="D1427" s="4">
        <v>40884</v>
      </c>
      <c r="E1427" s="2">
        <v>40909</v>
      </c>
      <c r="F1427" s="2">
        <f t="shared" si="310"/>
        <v>44562</v>
      </c>
      <c r="G1427" s="6">
        <v>637.54</v>
      </c>
      <c r="H1427" s="7" t="s">
        <v>3750</v>
      </c>
      <c r="I1427" s="7" t="s">
        <v>86</v>
      </c>
      <c r="J1427" s="186"/>
      <c r="K1427" s="266">
        <f t="shared" si="323"/>
        <v>2022</v>
      </c>
      <c r="L1427" s="301" t="s">
        <v>5519</v>
      </c>
      <c r="M1427" s="301" t="s">
        <v>5840</v>
      </c>
      <c r="N1427" s="32" t="s">
        <v>7801</v>
      </c>
      <c r="O1427" s="32" t="s">
        <v>3963</v>
      </c>
      <c r="P1427" s="278"/>
      <c r="Q1427" s="233" t="s">
        <v>3962</v>
      </c>
      <c r="R1427" s="75">
        <v>2383</v>
      </c>
      <c r="S1427" s="75">
        <v>6380</v>
      </c>
      <c r="T1427" s="75">
        <v>8763</v>
      </c>
      <c r="U1427" s="200">
        <v>957</v>
      </c>
      <c r="V1427" s="287">
        <f t="shared" ca="1" si="324"/>
        <v>9</v>
      </c>
      <c r="W1427" s="75">
        <f t="shared" ca="1" si="325"/>
        <v>9889</v>
      </c>
      <c r="X1427" s="200">
        <f t="shared" ca="1" si="326"/>
        <v>17695</v>
      </c>
      <c r="Y1427" s="1"/>
      <c r="Z1427" s="31">
        <v>0.1</v>
      </c>
      <c r="AA1427" s="223">
        <v>0.09</v>
      </c>
      <c r="AB1427" s="302" t="s">
        <v>7126</v>
      </c>
      <c r="AC1427" s="308">
        <v>43539</v>
      </c>
      <c r="AD1427" s="309">
        <v>0.25</v>
      </c>
      <c r="AE1427" s="302" t="s">
        <v>7516</v>
      </c>
      <c r="AF1427">
        <f t="shared" si="308"/>
        <v>0</v>
      </c>
    </row>
    <row r="1428" spans="1:32" ht="26.25" hidden="1" x14ac:dyDescent="0.25">
      <c r="A1428" s="322" t="s">
        <v>3964</v>
      </c>
      <c r="B1428" s="93" t="str">
        <f t="shared" si="322"/>
        <v>YES</v>
      </c>
      <c r="C1428" s="93" t="s">
        <v>5503</v>
      </c>
      <c r="D1428" s="4">
        <v>40884</v>
      </c>
      <c r="E1428" s="2">
        <v>40909</v>
      </c>
      <c r="F1428" s="2">
        <f t="shared" si="310"/>
        <v>44562</v>
      </c>
      <c r="G1428" s="6">
        <v>505.59</v>
      </c>
      <c r="H1428" s="7" t="s">
        <v>3750</v>
      </c>
      <c r="I1428" s="7" t="s">
        <v>86</v>
      </c>
      <c r="J1428" s="186"/>
      <c r="K1428" s="266">
        <f t="shared" si="323"/>
        <v>2022</v>
      </c>
      <c r="L1428" s="301" t="s">
        <v>5519</v>
      </c>
      <c r="M1428" s="301" t="s">
        <v>5840</v>
      </c>
      <c r="N1428" s="32" t="s">
        <v>7801</v>
      </c>
      <c r="O1428" s="32" t="s">
        <v>3966</v>
      </c>
      <c r="P1428" s="278"/>
      <c r="Q1428" s="233" t="s">
        <v>3965</v>
      </c>
      <c r="R1428" s="75">
        <v>1921</v>
      </c>
      <c r="S1428" s="75">
        <v>5060</v>
      </c>
      <c r="T1428" s="75">
        <v>6981</v>
      </c>
      <c r="U1428" s="200">
        <v>759</v>
      </c>
      <c r="V1428" s="287">
        <f t="shared" ca="1" si="324"/>
        <v>9</v>
      </c>
      <c r="W1428" s="75">
        <f t="shared" ca="1" si="325"/>
        <v>7843</v>
      </c>
      <c r="X1428" s="200">
        <f t="shared" ca="1" si="326"/>
        <v>14065</v>
      </c>
      <c r="Y1428" s="1"/>
      <c r="Z1428" s="31">
        <v>0.1</v>
      </c>
      <c r="AA1428" s="223">
        <v>0.09</v>
      </c>
      <c r="AB1428" s="302" t="s">
        <v>7127</v>
      </c>
      <c r="AC1428" s="308">
        <v>43539</v>
      </c>
      <c r="AD1428" s="309">
        <v>0.25</v>
      </c>
      <c r="AE1428" s="302" t="s">
        <v>7516</v>
      </c>
      <c r="AF1428">
        <f t="shared" si="308"/>
        <v>0</v>
      </c>
    </row>
    <row r="1429" spans="1:32" ht="39" hidden="1" x14ac:dyDescent="0.25">
      <c r="A1429" s="322" t="s">
        <v>3967</v>
      </c>
      <c r="B1429" s="93" t="str">
        <f t="shared" si="322"/>
        <v>YES</v>
      </c>
      <c r="C1429" s="93" t="s">
        <v>5503</v>
      </c>
      <c r="D1429" s="4">
        <v>40884</v>
      </c>
      <c r="E1429" s="2">
        <v>40909</v>
      </c>
      <c r="F1429" s="2">
        <f t="shared" si="310"/>
        <v>44562</v>
      </c>
      <c r="G1429" s="6">
        <v>303.62</v>
      </c>
      <c r="H1429" s="7" t="s">
        <v>3750</v>
      </c>
      <c r="I1429" s="7" t="s">
        <v>86</v>
      </c>
      <c r="J1429" s="186"/>
      <c r="K1429" s="266">
        <f t="shared" si="323"/>
        <v>2022</v>
      </c>
      <c r="L1429" s="301" t="s">
        <v>5519</v>
      </c>
      <c r="M1429" s="301" t="s">
        <v>5840</v>
      </c>
      <c r="N1429" s="32" t="s">
        <v>7801</v>
      </c>
      <c r="O1429" s="32" t="s">
        <v>3969</v>
      </c>
      <c r="P1429" s="278"/>
      <c r="Q1429" s="233" t="s">
        <v>3968</v>
      </c>
      <c r="R1429" s="75">
        <v>1214</v>
      </c>
      <c r="S1429" s="75">
        <v>1824</v>
      </c>
      <c r="T1429" s="75">
        <v>3038</v>
      </c>
      <c r="U1429" s="200">
        <v>456</v>
      </c>
      <c r="V1429" s="287">
        <f t="shared" ca="1" si="324"/>
        <v>9</v>
      </c>
      <c r="W1429" s="75">
        <f t="shared" ca="1" si="325"/>
        <v>4712</v>
      </c>
      <c r="X1429" s="200">
        <f t="shared" ca="1" si="326"/>
        <v>7294</v>
      </c>
      <c r="Y1429" s="1"/>
      <c r="Z1429" s="31">
        <v>0.1</v>
      </c>
      <c r="AA1429" s="223">
        <v>0.09</v>
      </c>
      <c r="AB1429" s="302" t="s">
        <v>7128</v>
      </c>
      <c r="AC1429" s="308">
        <v>43539</v>
      </c>
      <c r="AD1429" s="309">
        <v>0.25</v>
      </c>
      <c r="AE1429" s="302" t="s">
        <v>7516</v>
      </c>
      <c r="AF1429">
        <f t="shared" si="308"/>
        <v>0</v>
      </c>
    </row>
    <row r="1430" spans="1:32" ht="25.5" hidden="1" x14ac:dyDescent="0.25">
      <c r="A1430" s="322" t="s">
        <v>3970</v>
      </c>
      <c r="B1430" s="93" t="str">
        <f t="shared" si="322"/>
        <v>YES</v>
      </c>
      <c r="C1430" s="93" t="s">
        <v>5503</v>
      </c>
      <c r="D1430" s="4">
        <v>40884</v>
      </c>
      <c r="E1430" s="2">
        <v>40909</v>
      </c>
      <c r="F1430" s="2">
        <f t="shared" si="310"/>
        <v>44562</v>
      </c>
      <c r="G1430" s="6">
        <v>589.4</v>
      </c>
      <c r="H1430" s="7" t="s">
        <v>3750</v>
      </c>
      <c r="I1430" s="7" t="s">
        <v>86</v>
      </c>
      <c r="J1430" s="186"/>
      <c r="K1430" s="266">
        <f t="shared" si="323"/>
        <v>2022</v>
      </c>
      <c r="L1430" s="301" t="s">
        <v>5519</v>
      </c>
      <c r="M1430" s="301" t="s">
        <v>5840</v>
      </c>
      <c r="N1430" s="32" t="s">
        <v>7801</v>
      </c>
      <c r="O1430" s="32" t="s">
        <v>3972</v>
      </c>
      <c r="P1430" s="278"/>
      <c r="Q1430" s="233" t="s">
        <v>3971</v>
      </c>
      <c r="R1430" s="75">
        <v>2215</v>
      </c>
      <c r="S1430" s="75">
        <v>3540</v>
      </c>
      <c r="T1430" s="75">
        <v>5755</v>
      </c>
      <c r="U1430" s="200">
        <v>885</v>
      </c>
      <c r="V1430" s="287">
        <f t="shared" ca="1" si="324"/>
        <v>9</v>
      </c>
      <c r="W1430" s="75">
        <f t="shared" ca="1" si="325"/>
        <v>9145</v>
      </c>
      <c r="X1430" s="200">
        <f t="shared" ca="1" si="326"/>
        <v>14015</v>
      </c>
      <c r="Y1430" s="1"/>
      <c r="Z1430" s="31">
        <v>0.1</v>
      </c>
      <c r="AA1430" s="223">
        <v>0.09</v>
      </c>
      <c r="AB1430" s="302" t="s">
        <v>7129</v>
      </c>
      <c r="AC1430" s="308">
        <v>43539</v>
      </c>
      <c r="AD1430" s="309">
        <v>0.25</v>
      </c>
      <c r="AE1430" s="302" t="s">
        <v>7516</v>
      </c>
      <c r="AF1430">
        <f t="shared" si="308"/>
        <v>0</v>
      </c>
    </row>
    <row r="1431" spans="1:32" ht="25.5" hidden="1" x14ac:dyDescent="0.25">
      <c r="A1431" s="322" t="s">
        <v>3973</v>
      </c>
      <c r="B1431" s="93" t="str">
        <f t="shared" si="322"/>
        <v>YES</v>
      </c>
      <c r="C1431" s="93" t="s">
        <v>5503</v>
      </c>
      <c r="D1431" s="4">
        <v>40884</v>
      </c>
      <c r="E1431" s="2">
        <v>40909</v>
      </c>
      <c r="F1431" s="2">
        <f t="shared" si="310"/>
        <v>44562</v>
      </c>
      <c r="G1431" s="6">
        <v>720.66</v>
      </c>
      <c r="H1431" s="7" t="s">
        <v>3750</v>
      </c>
      <c r="I1431" s="7" t="s">
        <v>86</v>
      </c>
      <c r="J1431" s="186"/>
      <c r="K1431" s="266">
        <f t="shared" si="323"/>
        <v>2022</v>
      </c>
      <c r="L1431" s="301" t="s">
        <v>5519</v>
      </c>
      <c r="M1431" s="301" t="s">
        <v>5840</v>
      </c>
      <c r="N1431" s="32" t="s">
        <v>7801</v>
      </c>
      <c r="O1431" s="32" t="s">
        <v>3975</v>
      </c>
      <c r="P1431" s="278"/>
      <c r="Q1431" s="233" t="s">
        <v>3974</v>
      </c>
      <c r="R1431" s="75">
        <v>2673.5</v>
      </c>
      <c r="S1431" s="75">
        <v>4326</v>
      </c>
      <c r="T1431" s="75">
        <v>6999.5</v>
      </c>
      <c r="U1431" s="200">
        <v>1081.5</v>
      </c>
      <c r="V1431" s="287">
        <f t="shared" ca="1" si="324"/>
        <v>9</v>
      </c>
      <c r="W1431" s="75">
        <f t="shared" ca="1" si="325"/>
        <v>11175.5</v>
      </c>
      <c r="X1431" s="200">
        <f t="shared" ca="1" si="326"/>
        <v>17093.5</v>
      </c>
      <c r="Y1431" s="1"/>
      <c r="Z1431" s="31">
        <v>0.1</v>
      </c>
      <c r="AA1431" s="223">
        <v>0.09</v>
      </c>
      <c r="AB1431" s="302" t="s">
        <v>7130</v>
      </c>
      <c r="AC1431" s="308">
        <v>43539</v>
      </c>
      <c r="AD1431" s="309">
        <v>0.25</v>
      </c>
      <c r="AE1431" s="302" t="s">
        <v>7516</v>
      </c>
      <c r="AF1431">
        <f t="shared" si="308"/>
        <v>0</v>
      </c>
    </row>
    <row r="1432" spans="1:32" ht="25.5" hidden="1" x14ac:dyDescent="0.25">
      <c r="A1432" s="322" t="s">
        <v>3976</v>
      </c>
      <c r="B1432" s="93" t="str">
        <f t="shared" si="322"/>
        <v>YES</v>
      </c>
      <c r="C1432" s="93" t="s">
        <v>5503</v>
      </c>
      <c r="D1432" s="4">
        <v>40884</v>
      </c>
      <c r="E1432" s="2">
        <v>40909</v>
      </c>
      <c r="F1432" s="2">
        <f t="shared" si="310"/>
        <v>44562</v>
      </c>
      <c r="G1432" s="6">
        <v>84.96</v>
      </c>
      <c r="H1432" s="7" t="s">
        <v>3750</v>
      </c>
      <c r="I1432" s="7" t="s">
        <v>86</v>
      </c>
      <c r="J1432" s="186"/>
      <c r="K1432" s="266">
        <f t="shared" si="323"/>
        <v>2022</v>
      </c>
      <c r="L1432" s="301" t="s">
        <v>5519</v>
      </c>
      <c r="M1432" s="301" t="s">
        <v>5840</v>
      </c>
      <c r="N1432" s="32" t="s">
        <v>7801</v>
      </c>
      <c r="O1432" s="32" t="s">
        <v>3978</v>
      </c>
      <c r="P1432" s="278"/>
      <c r="Q1432" s="233" t="s">
        <v>3977</v>
      </c>
      <c r="R1432" s="75">
        <v>447.5</v>
      </c>
      <c r="S1432" s="75">
        <v>2805</v>
      </c>
      <c r="T1432" s="75">
        <v>3252.5</v>
      </c>
      <c r="U1432" s="200">
        <v>127.5</v>
      </c>
      <c r="V1432" s="287">
        <f t="shared" ca="1" si="324"/>
        <v>9</v>
      </c>
      <c r="W1432" s="75">
        <f t="shared" ca="1" si="325"/>
        <v>1317.5</v>
      </c>
      <c r="X1432" s="200">
        <f t="shared" ca="1" si="326"/>
        <v>4442.5</v>
      </c>
      <c r="Y1432" s="1"/>
      <c r="Z1432" s="31">
        <v>0.1</v>
      </c>
      <c r="AA1432" s="223">
        <v>0.09</v>
      </c>
      <c r="AB1432" s="302" t="s">
        <v>7131</v>
      </c>
      <c r="AC1432" s="308">
        <v>43539</v>
      </c>
      <c r="AD1432" s="309">
        <v>0.25</v>
      </c>
      <c r="AE1432" s="302" t="s">
        <v>7516</v>
      </c>
      <c r="AF1432">
        <f t="shared" si="308"/>
        <v>0</v>
      </c>
    </row>
    <row r="1433" spans="1:32" ht="25.5" hidden="1" x14ac:dyDescent="0.25">
      <c r="A1433" s="322" t="s">
        <v>3979</v>
      </c>
      <c r="B1433" s="93" t="str">
        <f t="shared" si="322"/>
        <v>YES</v>
      </c>
      <c r="C1433" s="93" t="s">
        <v>5503</v>
      </c>
      <c r="D1433" s="4">
        <v>40884</v>
      </c>
      <c r="E1433" s="2">
        <v>40909</v>
      </c>
      <c r="F1433" s="2">
        <f t="shared" si="310"/>
        <v>44562</v>
      </c>
      <c r="G1433" s="6">
        <v>647.30999999999995</v>
      </c>
      <c r="H1433" s="7" t="s">
        <v>3750</v>
      </c>
      <c r="I1433" s="7" t="s">
        <v>86</v>
      </c>
      <c r="J1433" s="186"/>
      <c r="K1433" s="266">
        <f t="shared" si="323"/>
        <v>2022</v>
      </c>
      <c r="L1433" s="301" t="s">
        <v>5519</v>
      </c>
      <c r="M1433" s="301" t="s">
        <v>5840</v>
      </c>
      <c r="N1433" s="32" t="s">
        <v>7801</v>
      </c>
      <c r="O1433" s="32" t="s">
        <v>3981</v>
      </c>
      <c r="P1433" s="278"/>
      <c r="Q1433" s="233" t="s">
        <v>3980</v>
      </c>
      <c r="R1433" s="75">
        <v>2418</v>
      </c>
      <c r="S1433" s="75">
        <v>3888</v>
      </c>
      <c r="T1433" s="75">
        <v>6306</v>
      </c>
      <c r="U1433" s="200">
        <v>972</v>
      </c>
      <c r="V1433" s="287">
        <f t="shared" ca="1" si="324"/>
        <v>9</v>
      </c>
      <c r="W1433" s="75">
        <f t="shared" ca="1" si="325"/>
        <v>10044</v>
      </c>
      <c r="X1433" s="200">
        <f t="shared" ca="1" si="326"/>
        <v>15378</v>
      </c>
      <c r="Y1433" s="1"/>
      <c r="Z1433" s="31">
        <v>0.1</v>
      </c>
      <c r="AA1433" s="223">
        <v>0.09</v>
      </c>
      <c r="AB1433" s="302" t="s">
        <v>7132</v>
      </c>
      <c r="AC1433" s="308">
        <v>43539</v>
      </c>
      <c r="AD1433" s="309">
        <v>0.25</v>
      </c>
      <c r="AE1433" s="302" t="s">
        <v>7516</v>
      </c>
      <c r="AF1433">
        <f t="shared" si="308"/>
        <v>0</v>
      </c>
    </row>
    <row r="1434" spans="1:32" ht="39" hidden="1" x14ac:dyDescent="0.25">
      <c r="A1434" s="322" t="s">
        <v>3982</v>
      </c>
      <c r="B1434" s="93" t="str">
        <f t="shared" si="322"/>
        <v>YES</v>
      </c>
      <c r="C1434" s="93" t="s">
        <v>5503</v>
      </c>
      <c r="D1434" s="4">
        <v>40884</v>
      </c>
      <c r="E1434" s="2">
        <v>40909</v>
      </c>
      <c r="F1434" s="2">
        <f t="shared" si="310"/>
        <v>44562</v>
      </c>
      <c r="G1434" s="6">
        <v>103.54</v>
      </c>
      <c r="H1434" s="7" t="s">
        <v>3750</v>
      </c>
      <c r="I1434" s="7" t="s">
        <v>86</v>
      </c>
      <c r="J1434" s="105" t="s">
        <v>5272</v>
      </c>
      <c r="K1434" s="266">
        <f t="shared" si="323"/>
        <v>2022</v>
      </c>
      <c r="L1434" s="301" t="s">
        <v>5519</v>
      </c>
      <c r="M1434" s="301" t="s">
        <v>5840</v>
      </c>
      <c r="N1434" s="32" t="s">
        <v>7801</v>
      </c>
      <c r="O1434" s="32" t="s">
        <v>3984</v>
      </c>
      <c r="P1434" s="278"/>
      <c r="Q1434" s="233" t="s">
        <v>3983</v>
      </c>
      <c r="R1434" s="75">
        <v>514</v>
      </c>
      <c r="S1434" s="75">
        <v>3432</v>
      </c>
      <c r="T1434" s="75">
        <v>3946</v>
      </c>
      <c r="U1434" s="200">
        <v>156</v>
      </c>
      <c r="V1434" s="287">
        <f t="shared" ca="1" si="324"/>
        <v>9</v>
      </c>
      <c r="W1434" s="75">
        <f t="shared" ca="1" si="325"/>
        <v>1612</v>
      </c>
      <c r="X1434" s="200">
        <f t="shared" ca="1" si="326"/>
        <v>5402</v>
      </c>
      <c r="Y1434" s="1"/>
      <c r="Z1434" s="31">
        <v>0.1</v>
      </c>
      <c r="AA1434" s="223">
        <v>0.09</v>
      </c>
      <c r="AB1434" s="302" t="s">
        <v>7133</v>
      </c>
      <c r="AC1434" s="308">
        <v>43539</v>
      </c>
      <c r="AD1434" s="309">
        <v>0.25</v>
      </c>
      <c r="AE1434" s="302" t="s">
        <v>7516</v>
      </c>
      <c r="AF1434">
        <f t="shared" si="308"/>
        <v>0</v>
      </c>
    </row>
    <row r="1435" spans="1:32" ht="26.25" hidden="1" x14ac:dyDescent="0.25">
      <c r="A1435" s="322" t="s">
        <v>3985</v>
      </c>
      <c r="B1435" s="93" t="str">
        <f t="shared" si="322"/>
        <v>YES</v>
      </c>
      <c r="C1435" s="93" t="s">
        <v>5503</v>
      </c>
      <c r="D1435" s="4">
        <v>40884</v>
      </c>
      <c r="E1435" s="2">
        <v>40909</v>
      </c>
      <c r="F1435" s="2">
        <f t="shared" si="310"/>
        <v>44562</v>
      </c>
      <c r="G1435" s="6">
        <v>209.04</v>
      </c>
      <c r="H1435" s="7" t="s">
        <v>3750</v>
      </c>
      <c r="I1435" s="7" t="s">
        <v>86</v>
      </c>
      <c r="J1435" s="186"/>
      <c r="K1435" s="266">
        <f t="shared" si="323"/>
        <v>2022</v>
      </c>
      <c r="L1435" s="301" t="s">
        <v>5519</v>
      </c>
      <c r="M1435" s="301" t="s">
        <v>5840</v>
      </c>
      <c r="N1435" s="32" t="s">
        <v>7801</v>
      </c>
      <c r="O1435" s="32" t="s">
        <v>3987</v>
      </c>
      <c r="P1435" s="278"/>
      <c r="Q1435" s="233" t="s">
        <v>3986</v>
      </c>
      <c r="R1435" s="75">
        <v>885</v>
      </c>
      <c r="S1435" s="75">
        <v>1260</v>
      </c>
      <c r="T1435" s="75">
        <v>2145</v>
      </c>
      <c r="U1435" s="200">
        <v>315</v>
      </c>
      <c r="V1435" s="287">
        <f t="shared" ca="1" si="324"/>
        <v>9</v>
      </c>
      <c r="W1435" s="75">
        <f t="shared" ca="1" si="325"/>
        <v>3255</v>
      </c>
      <c r="X1435" s="200">
        <f t="shared" ca="1" si="326"/>
        <v>5085</v>
      </c>
      <c r="Y1435" s="1"/>
      <c r="Z1435" s="31">
        <v>0.1</v>
      </c>
      <c r="AA1435" s="223">
        <v>0.09</v>
      </c>
      <c r="AB1435" s="302" t="s">
        <v>7134</v>
      </c>
      <c r="AC1435" s="308">
        <v>43539</v>
      </c>
      <c r="AD1435" s="309">
        <v>0.25</v>
      </c>
      <c r="AE1435" s="302" t="s">
        <v>7516</v>
      </c>
      <c r="AF1435">
        <f t="shared" si="308"/>
        <v>0</v>
      </c>
    </row>
    <row r="1436" spans="1:32" ht="25.5" hidden="1" x14ac:dyDescent="0.25">
      <c r="A1436" s="322" t="s">
        <v>3988</v>
      </c>
      <c r="B1436" s="93" t="str">
        <f t="shared" si="322"/>
        <v>YES</v>
      </c>
      <c r="C1436" s="93" t="s">
        <v>5503</v>
      </c>
      <c r="D1436" s="4">
        <v>40884</v>
      </c>
      <c r="E1436" s="2">
        <v>40909</v>
      </c>
      <c r="F1436" s="2">
        <f t="shared" si="310"/>
        <v>44562</v>
      </c>
      <c r="G1436" s="6">
        <v>242.63</v>
      </c>
      <c r="H1436" s="7" t="s">
        <v>3750</v>
      </c>
      <c r="I1436" s="7" t="s">
        <v>86</v>
      </c>
      <c r="J1436" s="186"/>
      <c r="K1436" s="266">
        <f t="shared" si="323"/>
        <v>2022</v>
      </c>
      <c r="L1436" s="301" t="s">
        <v>5519</v>
      </c>
      <c r="M1436" s="301" t="s">
        <v>5840</v>
      </c>
      <c r="N1436" s="32" t="s">
        <v>7801</v>
      </c>
      <c r="O1436" s="32" t="s">
        <v>3990</v>
      </c>
      <c r="P1436" s="278"/>
      <c r="Q1436" s="233" t="s">
        <v>3989</v>
      </c>
      <c r="R1436" s="75">
        <v>1000.5</v>
      </c>
      <c r="S1436" s="75">
        <v>1458</v>
      </c>
      <c r="T1436" s="75">
        <v>2458.5</v>
      </c>
      <c r="U1436" s="200">
        <v>364.5</v>
      </c>
      <c r="V1436" s="287">
        <f t="shared" ca="1" si="324"/>
        <v>9</v>
      </c>
      <c r="W1436" s="75">
        <f t="shared" ca="1" si="325"/>
        <v>3766.5</v>
      </c>
      <c r="X1436" s="200">
        <f t="shared" ca="1" si="326"/>
        <v>5860.5</v>
      </c>
      <c r="Y1436" s="1"/>
      <c r="Z1436" s="31">
        <v>0.1</v>
      </c>
      <c r="AA1436" s="223">
        <v>0.09</v>
      </c>
      <c r="AB1436" s="302" t="s">
        <v>7135</v>
      </c>
      <c r="AC1436" s="308">
        <v>43539</v>
      </c>
      <c r="AD1436" s="309">
        <v>0.25</v>
      </c>
      <c r="AE1436" s="302" t="s">
        <v>7516</v>
      </c>
      <c r="AF1436">
        <f t="shared" ref="AF1436:AF1499" si="327">COUNTIF(FilterList,A1436)</f>
        <v>0</v>
      </c>
    </row>
    <row r="1437" spans="1:32" ht="25.5" hidden="1" x14ac:dyDescent="0.25">
      <c r="A1437" s="322" t="s">
        <v>3991</v>
      </c>
      <c r="B1437" s="93" t="str">
        <f t="shared" si="322"/>
        <v>YES</v>
      </c>
      <c r="C1437" s="93" t="s">
        <v>5503</v>
      </c>
      <c r="D1437" s="4">
        <v>40884</v>
      </c>
      <c r="E1437" s="2">
        <v>40909</v>
      </c>
      <c r="F1437" s="2">
        <f t="shared" ref="F1437:F1500" si="328">DATE(YEAR(E1437)+10,MONTH(E1437),DAY(E1437))</f>
        <v>44562</v>
      </c>
      <c r="G1437" s="6">
        <v>213.67</v>
      </c>
      <c r="H1437" s="7" t="s">
        <v>3750</v>
      </c>
      <c r="I1437" s="7" t="s">
        <v>86</v>
      </c>
      <c r="J1437" s="186"/>
      <c r="K1437" s="266">
        <f t="shared" si="323"/>
        <v>2022</v>
      </c>
      <c r="L1437" s="301" t="s">
        <v>5519</v>
      </c>
      <c r="M1437" s="301" t="s">
        <v>5840</v>
      </c>
      <c r="N1437" s="32" t="s">
        <v>7801</v>
      </c>
      <c r="O1437" s="32" t="s">
        <v>3993</v>
      </c>
      <c r="P1437" s="278"/>
      <c r="Q1437" s="233" t="s">
        <v>3992</v>
      </c>
      <c r="R1437" s="75">
        <v>899</v>
      </c>
      <c r="S1437" s="75">
        <v>1284</v>
      </c>
      <c r="T1437" s="75">
        <v>2183</v>
      </c>
      <c r="U1437" s="200">
        <v>321</v>
      </c>
      <c r="V1437" s="287">
        <f t="shared" ca="1" si="324"/>
        <v>9</v>
      </c>
      <c r="W1437" s="75">
        <f t="shared" ca="1" si="325"/>
        <v>3317</v>
      </c>
      <c r="X1437" s="200">
        <f t="shared" ca="1" si="326"/>
        <v>5179</v>
      </c>
      <c r="Y1437" s="1"/>
      <c r="Z1437" s="31">
        <v>0.1</v>
      </c>
      <c r="AA1437" s="223">
        <v>0.09</v>
      </c>
      <c r="AB1437" s="302" t="s">
        <v>7136</v>
      </c>
      <c r="AC1437" s="308">
        <v>43539</v>
      </c>
      <c r="AD1437" s="309">
        <v>0.25</v>
      </c>
      <c r="AE1437" s="302" t="s">
        <v>7516</v>
      </c>
      <c r="AF1437">
        <f t="shared" si="327"/>
        <v>0</v>
      </c>
    </row>
    <row r="1438" spans="1:32" ht="25.5" hidden="1" x14ac:dyDescent="0.25">
      <c r="A1438" s="322" t="s">
        <v>3994</v>
      </c>
      <c r="B1438" s="93" t="str">
        <f t="shared" si="322"/>
        <v>YES</v>
      </c>
      <c r="C1438" s="93" t="s">
        <v>5503</v>
      </c>
      <c r="D1438" s="4">
        <v>40884</v>
      </c>
      <c r="E1438" s="11">
        <v>40940</v>
      </c>
      <c r="F1438" s="2">
        <f t="shared" si="328"/>
        <v>44593</v>
      </c>
      <c r="G1438" s="6">
        <v>44.21</v>
      </c>
      <c r="H1438" s="7" t="s">
        <v>3750</v>
      </c>
      <c r="I1438" s="7" t="s">
        <v>86</v>
      </c>
      <c r="J1438" s="186"/>
      <c r="K1438" s="266">
        <f t="shared" si="323"/>
        <v>2022</v>
      </c>
      <c r="L1438" s="301" t="s">
        <v>5519</v>
      </c>
      <c r="M1438" s="301" t="s">
        <v>5840</v>
      </c>
      <c r="N1438" s="32" t="s">
        <v>7801</v>
      </c>
      <c r="O1438" s="32" t="s">
        <v>3996</v>
      </c>
      <c r="P1438" s="278"/>
      <c r="Q1438" s="233" t="s">
        <v>3995</v>
      </c>
      <c r="R1438" s="75">
        <v>307.5</v>
      </c>
      <c r="S1438" s="75">
        <v>2385</v>
      </c>
      <c r="T1438" s="75">
        <v>2692.5</v>
      </c>
      <c r="U1438" s="200">
        <v>67.5</v>
      </c>
      <c r="V1438" s="287">
        <f t="shared" ca="1" si="324"/>
        <v>8</v>
      </c>
      <c r="W1438" s="75">
        <f t="shared" ca="1" si="325"/>
        <v>607.5</v>
      </c>
      <c r="X1438" s="200">
        <f t="shared" ca="1" si="326"/>
        <v>3232.5</v>
      </c>
      <c r="Y1438" s="1"/>
      <c r="Z1438" s="31">
        <v>0.1</v>
      </c>
      <c r="AA1438" s="223">
        <v>0.09</v>
      </c>
      <c r="AB1438" s="302" t="s">
        <v>7137</v>
      </c>
      <c r="AC1438" s="308">
        <v>43539</v>
      </c>
      <c r="AD1438" s="309">
        <v>0.25</v>
      </c>
      <c r="AE1438" s="302" t="s">
        <v>7516</v>
      </c>
      <c r="AF1438">
        <f t="shared" si="327"/>
        <v>0</v>
      </c>
    </row>
    <row r="1439" spans="1:32" hidden="1" x14ac:dyDescent="0.25">
      <c r="A1439" s="322" t="s">
        <v>3997</v>
      </c>
      <c r="B1439" s="93" t="str">
        <f t="shared" si="322"/>
        <v>YES</v>
      </c>
      <c r="C1439" s="93" t="s">
        <v>5503</v>
      </c>
      <c r="D1439" s="4">
        <v>40884</v>
      </c>
      <c r="E1439" s="11">
        <v>40940</v>
      </c>
      <c r="F1439" s="2">
        <f t="shared" si="328"/>
        <v>44593</v>
      </c>
      <c r="G1439" s="6">
        <v>40.049999999999997</v>
      </c>
      <c r="H1439" s="7" t="s">
        <v>684</v>
      </c>
      <c r="I1439" s="7" t="s">
        <v>86</v>
      </c>
      <c r="J1439" s="186"/>
      <c r="K1439" s="266">
        <f t="shared" si="323"/>
        <v>2022</v>
      </c>
      <c r="L1439" s="301" t="s">
        <v>5519</v>
      </c>
      <c r="M1439" s="301" t="s">
        <v>7589</v>
      </c>
      <c r="N1439" s="32" t="s">
        <v>7800</v>
      </c>
      <c r="O1439" s="32" t="s">
        <v>3999</v>
      </c>
      <c r="P1439" s="278"/>
      <c r="Q1439" s="233" t="s">
        <v>3998</v>
      </c>
      <c r="R1439" s="75">
        <v>293.5</v>
      </c>
      <c r="S1439" s="75">
        <v>2378</v>
      </c>
      <c r="T1439" s="75">
        <v>2671.5</v>
      </c>
      <c r="U1439" s="200">
        <v>61.5</v>
      </c>
      <c r="V1439" s="287">
        <f t="shared" ca="1" si="324"/>
        <v>8</v>
      </c>
      <c r="W1439" s="75">
        <f t="shared" ca="1" si="325"/>
        <v>553.5</v>
      </c>
      <c r="X1439" s="200">
        <f t="shared" ca="1" si="326"/>
        <v>3163.5</v>
      </c>
      <c r="Y1439" s="1"/>
      <c r="Z1439" s="31">
        <v>0.1</v>
      </c>
      <c r="AA1439" s="223">
        <v>0.09</v>
      </c>
      <c r="AB1439" s="302" t="s">
        <v>7138</v>
      </c>
      <c r="AC1439" s="302"/>
      <c r="AD1439" s="302"/>
      <c r="AE1439" s="302"/>
      <c r="AF1439">
        <f t="shared" si="327"/>
        <v>0</v>
      </c>
    </row>
    <row r="1440" spans="1:32" ht="39" hidden="1" x14ac:dyDescent="0.25">
      <c r="A1440" s="322" t="s">
        <v>4000</v>
      </c>
      <c r="B1440" s="93" t="str">
        <f t="shared" si="322"/>
        <v>YES</v>
      </c>
      <c r="C1440" s="93" t="s">
        <v>5503</v>
      </c>
      <c r="D1440" s="4">
        <v>40884</v>
      </c>
      <c r="E1440" s="2">
        <v>40909</v>
      </c>
      <c r="F1440" s="2">
        <f t="shared" si="328"/>
        <v>44562</v>
      </c>
      <c r="G1440" s="6">
        <v>168.5</v>
      </c>
      <c r="H1440" s="7" t="s">
        <v>248</v>
      </c>
      <c r="I1440" s="7" t="s">
        <v>86</v>
      </c>
      <c r="J1440" s="186"/>
      <c r="K1440" s="266">
        <f t="shared" si="323"/>
        <v>2022</v>
      </c>
      <c r="L1440" s="301" t="s">
        <v>5834</v>
      </c>
      <c r="M1440" s="301" t="s">
        <v>6026</v>
      </c>
      <c r="N1440" s="32" t="s">
        <v>7779</v>
      </c>
      <c r="O1440" s="32" t="s">
        <v>4002</v>
      </c>
      <c r="P1440" s="278"/>
      <c r="Q1440" s="233" t="s">
        <v>4001</v>
      </c>
      <c r="R1440" s="75">
        <v>741.5</v>
      </c>
      <c r="S1440" s="75">
        <v>0</v>
      </c>
      <c r="T1440" s="75">
        <v>741.5</v>
      </c>
      <c r="U1440" s="200">
        <v>253.5</v>
      </c>
      <c r="V1440" s="287">
        <f t="shared" ca="1" si="324"/>
        <v>9</v>
      </c>
      <c r="W1440" s="75">
        <f t="shared" ca="1" si="325"/>
        <v>2619.5</v>
      </c>
      <c r="X1440" s="200">
        <f t="shared" ca="1" si="326"/>
        <v>3107.5</v>
      </c>
      <c r="Y1440" s="1"/>
      <c r="Z1440" s="31">
        <v>0.1</v>
      </c>
      <c r="AA1440" s="223">
        <v>0.09</v>
      </c>
      <c r="AB1440" s="302" t="s">
        <v>7139</v>
      </c>
      <c r="AC1440" s="302"/>
      <c r="AD1440" s="302"/>
      <c r="AE1440" s="302"/>
      <c r="AF1440">
        <f t="shared" si="327"/>
        <v>0</v>
      </c>
    </row>
    <row r="1441" spans="1:32" ht="115.5" hidden="1" customHeight="1" x14ac:dyDescent="0.25">
      <c r="A1441" s="322" t="s">
        <v>4003</v>
      </c>
      <c r="B1441" s="93" t="str">
        <f t="shared" si="322"/>
        <v>YES</v>
      </c>
      <c r="C1441" s="93" t="s">
        <v>5503</v>
      </c>
      <c r="D1441" s="4">
        <v>40884</v>
      </c>
      <c r="E1441" s="11">
        <v>40940</v>
      </c>
      <c r="F1441" s="2">
        <f t="shared" si="328"/>
        <v>44593</v>
      </c>
      <c r="G1441" s="6">
        <v>309.27</v>
      </c>
      <c r="H1441" s="7" t="s">
        <v>453</v>
      </c>
      <c r="I1441" s="7" t="s">
        <v>86</v>
      </c>
      <c r="J1441" s="186"/>
      <c r="K1441" s="266">
        <f t="shared" si="323"/>
        <v>2022</v>
      </c>
      <c r="L1441" s="301" t="s">
        <v>7529</v>
      </c>
      <c r="M1441" s="301" t="s">
        <v>7593</v>
      </c>
      <c r="N1441" s="32" t="s">
        <v>7801</v>
      </c>
      <c r="O1441" s="32" t="s">
        <v>4005</v>
      </c>
      <c r="P1441" s="278"/>
      <c r="Q1441" s="233" t="s">
        <v>4004</v>
      </c>
      <c r="R1441" s="75">
        <v>1235</v>
      </c>
      <c r="S1441" s="75">
        <v>2480</v>
      </c>
      <c r="T1441" s="75">
        <v>3715</v>
      </c>
      <c r="U1441" s="200">
        <v>465</v>
      </c>
      <c r="V1441" s="287">
        <f t="shared" ca="1" si="324"/>
        <v>8</v>
      </c>
      <c r="W1441" s="75">
        <f t="shared" ca="1" si="325"/>
        <v>4185</v>
      </c>
      <c r="X1441" s="200">
        <f t="shared" ca="1" si="326"/>
        <v>7435</v>
      </c>
      <c r="Y1441" s="1"/>
      <c r="Z1441" s="31">
        <v>0.1</v>
      </c>
      <c r="AA1441" s="223">
        <v>0.09</v>
      </c>
      <c r="AB1441" s="302" t="s">
        <v>7140</v>
      </c>
      <c r="AC1441" s="302"/>
      <c r="AD1441" s="302"/>
      <c r="AE1441" s="302"/>
      <c r="AF1441">
        <f t="shared" si="327"/>
        <v>0</v>
      </c>
    </row>
    <row r="1442" spans="1:32" ht="77.25" hidden="1" customHeight="1" x14ac:dyDescent="0.25">
      <c r="A1442" s="322" t="s">
        <v>4006</v>
      </c>
      <c r="B1442" s="93" t="str">
        <f t="shared" si="322"/>
        <v>YES</v>
      </c>
      <c r="C1442" s="93" t="s">
        <v>5503</v>
      </c>
      <c r="D1442" s="4">
        <v>40884</v>
      </c>
      <c r="E1442" s="11">
        <v>40940</v>
      </c>
      <c r="F1442" s="2">
        <f t="shared" si="328"/>
        <v>44593</v>
      </c>
      <c r="G1442" s="6">
        <v>36.799999999999997</v>
      </c>
      <c r="H1442" s="7" t="s">
        <v>248</v>
      </c>
      <c r="I1442" s="7" t="s">
        <v>86</v>
      </c>
      <c r="J1442" s="186"/>
      <c r="K1442" s="266">
        <f t="shared" si="323"/>
        <v>2022</v>
      </c>
      <c r="L1442" s="301" t="s">
        <v>7591</v>
      </c>
      <c r="M1442" s="301" t="s">
        <v>5805</v>
      </c>
      <c r="N1442" s="32" t="s">
        <v>7779</v>
      </c>
      <c r="O1442" s="32" t="s">
        <v>4008</v>
      </c>
      <c r="P1442" s="278"/>
      <c r="Q1442" s="233" t="s">
        <v>4007</v>
      </c>
      <c r="R1442" s="75">
        <v>279.5</v>
      </c>
      <c r="S1442" s="75">
        <v>1258</v>
      </c>
      <c r="T1442" s="75">
        <v>1537.5</v>
      </c>
      <c r="U1442" s="200">
        <v>55.5</v>
      </c>
      <c r="V1442" s="287">
        <f t="shared" ca="1" si="324"/>
        <v>8</v>
      </c>
      <c r="W1442" s="75">
        <f t="shared" ca="1" si="325"/>
        <v>499.5</v>
      </c>
      <c r="X1442" s="200">
        <f t="shared" ca="1" si="326"/>
        <v>1981.5</v>
      </c>
      <c r="Y1442" s="1"/>
      <c r="Z1442" s="31">
        <v>0.1</v>
      </c>
      <c r="AA1442" s="223">
        <v>0.09</v>
      </c>
      <c r="AB1442" s="302" t="s">
        <v>7141</v>
      </c>
      <c r="AC1442" s="302"/>
      <c r="AD1442" s="302"/>
      <c r="AE1442" s="302"/>
      <c r="AF1442">
        <f t="shared" si="327"/>
        <v>0</v>
      </c>
    </row>
    <row r="1443" spans="1:32" hidden="1" x14ac:dyDescent="0.25">
      <c r="A1443" s="322" t="s">
        <v>4009</v>
      </c>
      <c r="B1443" s="93" t="str">
        <f t="shared" si="322"/>
        <v>YES</v>
      </c>
      <c r="C1443" s="93" t="s">
        <v>5503</v>
      </c>
      <c r="D1443" s="4">
        <v>40884</v>
      </c>
      <c r="E1443" s="2">
        <v>40909</v>
      </c>
      <c r="F1443" s="2">
        <f t="shared" si="328"/>
        <v>44562</v>
      </c>
      <c r="G1443" s="6">
        <v>100</v>
      </c>
      <c r="H1443" s="7" t="s">
        <v>248</v>
      </c>
      <c r="I1443" s="7" t="s">
        <v>86</v>
      </c>
      <c r="J1443" s="186"/>
      <c r="K1443" s="266">
        <f t="shared" si="323"/>
        <v>2022</v>
      </c>
      <c r="L1443" s="301" t="s">
        <v>5863</v>
      </c>
      <c r="M1443" s="301" t="s">
        <v>5796</v>
      </c>
      <c r="N1443" s="32" t="s">
        <v>7779</v>
      </c>
      <c r="O1443" s="32" t="s">
        <v>4011</v>
      </c>
      <c r="P1443" s="278"/>
      <c r="Q1443" s="233" t="s">
        <v>4010</v>
      </c>
      <c r="R1443" s="75">
        <v>500</v>
      </c>
      <c r="S1443" s="75">
        <v>0</v>
      </c>
      <c r="T1443" s="75">
        <v>500</v>
      </c>
      <c r="U1443" s="200">
        <v>150</v>
      </c>
      <c r="V1443" s="287">
        <f t="shared" ca="1" si="324"/>
        <v>9</v>
      </c>
      <c r="W1443" s="75">
        <f t="shared" ca="1" si="325"/>
        <v>1550</v>
      </c>
      <c r="X1443" s="200">
        <f t="shared" ca="1" si="326"/>
        <v>1900</v>
      </c>
      <c r="Y1443" s="1"/>
      <c r="Z1443" s="31">
        <v>0.1</v>
      </c>
      <c r="AA1443" s="223">
        <v>0.09</v>
      </c>
      <c r="AB1443" s="302" t="s">
        <v>7142</v>
      </c>
      <c r="AC1443" s="302"/>
      <c r="AD1443" s="302"/>
      <c r="AE1443" s="302"/>
      <c r="AF1443">
        <f t="shared" si="327"/>
        <v>0</v>
      </c>
    </row>
    <row r="1444" spans="1:32" ht="51.75" hidden="1" x14ac:dyDescent="0.25">
      <c r="A1444" s="322" t="s">
        <v>4012</v>
      </c>
      <c r="B1444" s="93" t="str">
        <f t="shared" si="322"/>
        <v>YES</v>
      </c>
      <c r="C1444" s="93" t="s">
        <v>5503</v>
      </c>
      <c r="D1444" s="4">
        <v>40884</v>
      </c>
      <c r="E1444" s="2">
        <v>40909</v>
      </c>
      <c r="F1444" s="2">
        <f t="shared" si="328"/>
        <v>44562</v>
      </c>
      <c r="G1444" s="6">
        <v>87</v>
      </c>
      <c r="H1444" s="7" t="s">
        <v>248</v>
      </c>
      <c r="I1444" s="7" t="s">
        <v>86</v>
      </c>
      <c r="J1444" s="186"/>
      <c r="K1444" s="266">
        <f t="shared" si="323"/>
        <v>2022</v>
      </c>
      <c r="L1444" s="301" t="s">
        <v>5863</v>
      </c>
      <c r="M1444" s="301" t="s">
        <v>5796</v>
      </c>
      <c r="N1444" s="32" t="s">
        <v>7779</v>
      </c>
      <c r="O1444" s="32" t="s">
        <v>4014</v>
      </c>
      <c r="P1444" s="278"/>
      <c r="Q1444" s="233" t="s">
        <v>4013</v>
      </c>
      <c r="R1444" s="75">
        <v>454.5</v>
      </c>
      <c r="S1444" s="75">
        <v>0</v>
      </c>
      <c r="T1444" s="75">
        <v>454.5</v>
      </c>
      <c r="U1444" s="200">
        <v>130.5</v>
      </c>
      <c r="V1444" s="287">
        <f t="shared" ca="1" si="324"/>
        <v>9</v>
      </c>
      <c r="W1444" s="75">
        <f t="shared" ca="1" si="325"/>
        <v>1348.5</v>
      </c>
      <c r="X1444" s="200">
        <f t="shared" ca="1" si="326"/>
        <v>1672.5</v>
      </c>
      <c r="Y1444" s="1"/>
      <c r="Z1444" s="31">
        <v>0.1</v>
      </c>
      <c r="AA1444" s="223">
        <v>0.09</v>
      </c>
      <c r="AB1444" s="302" t="s">
        <v>7143</v>
      </c>
      <c r="AC1444" s="302"/>
      <c r="AD1444" s="302"/>
      <c r="AE1444" s="302"/>
      <c r="AF1444">
        <f t="shared" si="327"/>
        <v>0</v>
      </c>
    </row>
    <row r="1445" spans="1:32" ht="102.75" hidden="1" customHeight="1" x14ac:dyDescent="0.25">
      <c r="A1445" s="322" t="s">
        <v>4015</v>
      </c>
      <c r="B1445" s="93" t="str">
        <f t="shared" si="322"/>
        <v>YES</v>
      </c>
      <c r="C1445" s="93" t="s">
        <v>5503</v>
      </c>
      <c r="D1445" s="4">
        <v>40884</v>
      </c>
      <c r="E1445" s="2">
        <v>40909</v>
      </c>
      <c r="F1445" s="2">
        <f t="shared" si="328"/>
        <v>44562</v>
      </c>
      <c r="G1445" s="6">
        <v>13.2</v>
      </c>
      <c r="H1445" s="7" t="s">
        <v>248</v>
      </c>
      <c r="I1445" s="7" t="s">
        <v>86</v>
      </c>
      <c r="J1445" s="186"/>
      <c r="K1445" s="266">
        <f t="shared" si="323"/>
        <v>2022</v>
      </c>
      <c r="L1445" s="301" t="s">
        <v>5863</v>
      </c>
      <c r="M1445" s="301" t="s">
        <v>5805</v>
      </c>
      <c r="N1445" s="32" t="s">
        <v>7779</v>
      </c>
      <c r="O1445" s="32" t="s">
        <v>4017</v>
      </c>
      <c r="P1445" s="278"/>
      <c r="Q1445" s="233" t="s">
        <v>4016</v>
      </c>
      <c r="R1445" s="75">
        <v>199</v>
      </c>
      <c r="S1445" s="75">
        <v>0</v>
      </c>
      <c r="T1445" s="75">
        <v>199</v>
      </c>
      <c r="U1445" s="200">
        <v>21</v>
      </c>
      <c r="V1445" s="287">
        <f t="shared" ca="1" si="324"/>
        <v>9</v>
      </c>
      <c r="W1445" s="75">
        <f t="shared" ca="1" si="325"/>
        <v>217</v>
      </c>
      <c r="X1445" s="200">
        <f t="shared" ca="1" si="326"/>
        <v>395</v>
      </c>
      <c r="Y1445" s="1"/>
      <c r="Z1445" s="31">
        <v>0.1</v>
      </c>
      <c r="AA1445" s="223">
        <v>0.09</v>
      </c>
      <c r="AB1445" s="302" t="s">
        <v>7144</v>
      </c>
      <c r="AC1445" s="302"/>
      <c r="AD1445" s="302"/>
      <c r="AE1445" s="302"/>
      <c r="AF1445">
        <f t="shared" si="327"/>
        <v>0</v>
      </c>
    </row>
    <row r="1446" spans="1:32" hidden="1" x14ac:dyDescent="0.25">
      <c r="A1446" s="322" t="s">
        <v>4018</v>
      </c>
      <c r="B1446" s="93" t="str">
        <f t="shared" si="322"/>
        <v>YES</v>
      </c>
      <c r="C1446" s="93" t="s">
        <v>5503</v>
      </c>
      <c r="D1446" s="4">
        <v>40884</v>
      </c>
      <c r="E1446" s="2">
        <v>40909</v>
      </c>
      <c r="F1446" s="2">
        <f t="shared" si="328"/>
        <v>44562</v>
      </c>
      <c r="G1446" s="6">
        <v>160</v>
      </c>
      <c r="H1446" s="7" t="s">
        <v>684</v>
      </c>
      <c r="I1446" s="7" t="s">
        <v>86</v>
      </c>
      <c r="J1446" s="186"/>
      <c r="K1446" s="266">
        <f t="shared" si="323"/>
        <v>2022</v>
      </c>
      <c r="L1446" s="301" t="s">
        <v>5793</v>
      </c>
      <c r="M1446" s="301" t="s">
        <v>5562</v>
      </c>
      <c r="N1446" s="32" t="s">
        <v>7800</v>
      </c>
      <c r="O1446" s="32" t="s">
        <v>4020</v>
      </c>
      <c r="P1446" s="278"/>
      <c r="Q1446" s="233" t="s">
        <v>4019</v>
      </c>
      <c r="R1446" s="75">
        <v>710</v>
      </c>
      <c r="S1446" s="75">
        <v>0</v>
      </c>
      <c r="T1446" s="75">
        <v>710</v>
      </c>
      <c r="U1446" s="200">
        <v>240</v>
      </c>
      <c r="V1446" s="287">
        <f t="shared" ca="1" si="324"/>
        <v>9</v>
      </c>
      <c r="W1446" s="75">
        <f t="shared" ca="1" si="325"/>
        <v>2480</v>
      </c>
      <c r="X1446" s="200">
        <f t="shared" ca="1" si="326"/>
        <v>2950</v>
      </c>
      <c r="Y1446" s="1"/>
      <c r="Z1446" s="31">
        <v>0.1</v>
      </c>
      <c r="AA1446" s="223">
        <v>0.09</v>
      </c>
      <c r="AB1446" s="302" t="s">
        <v>7145</v>
      </c>
      <c r="AC1446" s="302"/>
      <c r="AD1446" s="302"/>
      <c r="AE1446" s="302"/>
      <c r="AF1446">
        <f t="shared" si="327"/>
        <v>0</v>
      </c>
    </row>
    <row r="1447" spans="1:32" ht="39" hidden="1" x14ac:dyDescent="0.25">
      <c r="A1447" s="322" t="s">
        <v>4021</v>
      </c>
      <c r="B1447" s="93" t="str">
        <f t="shared" si="322"/>
        <v>YES</v>
      </c>
      <c r="C1447" s="93" t="s">
        <v>5503</v>
      </c>
      <c r="D1447" s="4">
        <v>40884</v>
      </c>
      <c r="E1447" s="2">
        <v>40909</v>
      </c>
      <c r="F1447" s="2">
        <f t="shared" si="328"/>
        <v>44562</v>
      </c>
      <c r="G1447" s="6">
        <v>246</v>
      </c>
      <c r="H1447" s="7" t="s">
        <v>3660</v>
      </c>
      <c r="I1447" s="7" t="s">
        <v>86</v>
      </c>
      <c r="J1447" s="371" t="s">
        <v>5188</v>
      </c>
      <c r="K1447" s="266">
        <f t="shared" si="323"/>
        <v>2022</v>
      </c>
      <c r="L1447" s="301" t="s">
        <v>5555</v>
      </c>
      <c r="M1447" s="301" t="s">
        <v>5562</v>
      </c>
      <c r="N1447" s="32" t="s">
        <v>7800</v>
      </c>
      <c r="O1447" s="32" t="s">
        <v>4023</v>
      </c>
      <c r="P1447" s="278"/>
      <c r="Q1447" s="233" t="s">
        <v>4022</v>
      </c>
      <c r="R1447" s="75">
        <v>1011</v>
      </c>
      <c r="S1447" s="75">
        <v>0</v>
      </c>
      <c r="T1447" s="75">
        <v>1011</v>
      </c>
      <c r="U1447" s="200">
        <v>369</v>
      </c>
      <c r="V1447" s="287">
        <f t="shared" ca="1" si="324"/>
        <v>9</v>
      </c>
      <c r="W1447" s="75">
        <f t="shared" ca="1" si="325"/>
        <v>3813</v>
      </c>
      <c r="X1447" s="200">
        <f t="shared" ca="1" si="326"/>
        <v>4455</v>
      </c>
      <c r="Y1447" s="1"/>
      <c r="Z1447" s="31">
        <v>0.1</v>
      </c>
      <c r="AA1447" s="223">
        <v>0.09</v>
      </c>
      <c r="AB1447" s="302" t="s">
        <v>7146</v>
      </c>
      <c r="AC1447" s="302"/>
      <c r="AD1447" s="302"/>
      <c r="AE1447" s="302"/>
      <c r="AF1447">
        <f t="shared" si="327"/>
        <v>0</v>
      </c>
    </row>
    <row r="1448" spans="1:32" ht="26.25" hidden="1" x14ac:dyDescent="0.25">
      <c r="A1448" s="322" t="s">
        <v>4024</v>
      </c>
      <c r="B1448" s="93" t="str">
        <f t="shared" si="322"/>
        <v>YES</v>
      </c>
      <c r="C1448" s="93" t="s">
        <v>5503</v>
      </c>
      <c r="D1448" s="4">
        <v>40884</v>
      </c>
      <c r="E1448" s="2">
        <v>40909</v>
      </c>
      <c r="F1448" s="2">
        <f t="shared" si="328"/>
        <v>44562</v>
      </c>
      <c r="G1448" s="6">
        <v>1940</v>
      </c>
      <c r="H1448" s="7" t="s">
        <v>3660</v>
      </c>
      <c r="I1448" s="7" t="s">
        <v>86</v>
      </c>
      <c r="J1448" s="371" t="s">
        <v>5188</v>
      </c>
      <c r="K1448" s="266">
        <f t="shared" si="323"/>
        <v>2022</v>
      </c>
      <c r="L1448" s="301" t="s">
        <v>5561</v>
      </c>
      <c r="M1448" s="301" t="s">
        <v>5556</v>
      </c>
      <c r="N1448" s="32" t="s">
        <v>7800</v>
      </c>
      <c r="O1448" s="32" t="s">
        <v>3960</v>
      </c>
      <c r="P1448" s="278"/>
      <c r="Q1448" s="233" t="s">
        <v>4025</v>
      </c>
      <c r="R1448" s="75">
        <v>6940</v>
      </c>
      <c r="S1448" s="75">
        <v>0</v>
      </c>
      <c r="T1448" s="75">
        <v>6940</v>
      </c>
      <c r="U1448" s="200">
        <v>2910</v>
      </c>
      <c r="V1448" s="287">
        <f t="shared" ca="1" si="324"/>
        <v>9</v>
      </c>
      <c r="W1448" s="75">
        <f t="shared" ca="1" si="325"/>
        <v>30070</v>
      </c>
      <c r="X1448" s="200">
        <f t="shared" ca="1" si="326"/>
        <v>34100</v>
      </c>
      <c r="Y1448" s="1"/>
      <c r="Z1448" s="31">
        <v>0.1</v>
      </c>
      <c r="AA1448" s="223">
        <v>0.09</v>
      </c>
      <c r="AB1448" s="302" t="s">
        <v>7147</v>
      </c>
      <c r="AC1448" s="302"/>
      <c r="AD1448" s="302"/>
      <c r="AE1448" s="302"/>
      <c r="AF1448">
        <f t="shared" si="327"/>
        <v>0</v>
      </c>
    </row>
    <row r="1449" spans="1:32" ht="26.25" hidden="1" x14ac:dyDescent="0.25">
      <c r="A1449" s="322" t="s">
        <v>4026</v>
      </c>
      <c r="B1449" s="93" t="str">
        <f t="shared" si="322"/>
        <v>YES</v>
      </c>
      <c r="C1449" s="93" t="s">
        <v>5503</v>
      </c>
      <c r="D1449" s="4">
        <v>40884</v>
      </c>
      <c r="E1449" s="2">
        <v>40909</v>
      </c>
      <c r="F1449" s="2">
        <f t="shared" si="328"/>
        <v>44562</v>
      </c>
      <c r="G1449" s="6">
        <v>1419.3</v>
      </c>
      <c r="H1449" s="7" t="s">
        <v>3660</v>
      </c>
      <c r="I1449" s="7" t="s">
        <v>86</v>
      </c>
      <c r="J1449" s="371" t="s">
        <v>5188</v>
      </c>
      <c r="K1449" s="266">
        <f t="shared" si="323"/>
        <v>2022</v>
      </c>
      <c r="L1449" s="301" t="s">
        <v>5561</v>
      </c>
      <c r="M1449" s="301" t="s">
        <v>5556</v>
      </c>
      <c r="N1449" s="32" t="s">
        <v>7800</v>
      </c>
      <c r="O1449" s="32" t="s">
        <v>3960</v>
      </c>
      <c r="P1449" s="278"/>
      <c r="Q1449" s="233" t="s">
        <v>4027</v>
      </c>
      <c r="R1449" s="75">
        <v>5120</v>
      </c>
      <c r="S1449" s="75">
        <v>0</v>
      </c>
      <c r="T1449" s="75">
        <v>5120</v>
      </c>
      <c r="U1449" s="200">
        <v>2130</v>
      </c>
      <c r="V1449" s="287">
        <f t="shared" ca="1" si="324"/>
        <v>9</v>
      </c>
      <c r="W1449" s="75">
        <f t="shared" ca="1" si="325"/>
        <v>22010</v>
      </c>
      <c r="X1449" s="200">
        <f t="shared" ca="1" si="326"/>
        <v>25000</v>
      </c>
      <c r="Y1449" s="1"/>
      <c r="Z1449" s="31">
        <v>0.1</v>
      </c>
      <c r="AA1449" s="223">
        <v>0.09</v>
      </c>
      <c r="AB1449" s="302" t="s">
        <v>7148</v>
      </c>
      <c r="AC1449" s="302"/>
      <c r="AD1449" s="302"/>
      <c r="AE1449" s="302"/>
      <c r="AF1449">
        <f t="shared" si="327"/>
        <v>0</v>
      </c>
    </row>
    <row r="1450" spans="1:32" ht="26.25" hidden="1" x14ac:dyDescent="0.25">
      <c r="A1450" s="322" t="s">
        <v>4028</v>
      </c>
      <c r="B1450" s="93" t="str">
        <f t="shared" si="322"/>
        <v>YES</v>
      </c>
      <c r="C1450" s="93" t="s">
        <v>5503</v>
      </c>
      <c r="D1450" s="4">
        <v>40884</v>
      </c>
      <c r="E1450" s="2">
        <v>40909</v>
      </c>
      <c r="F1450" s="2">
        <f t="shared" si="328"/>
        <v>44562</v>
      </c>
      <c r="G1450" s="6">
        <v>1422.8</v>
      </c>
      <c r="H1450" s="7" t="s">
        <v>3660</v>
      </c>
      <c r="I1450" s="7" t="s">
        <v>86</v>
      </c>
      <c r="J1450" s="371" t="s">
        <v>5188</v>
      </c>
      <c r="K1450" s="266">
        <f t="shared" si="323"/>
        <v>2022</v>
      </c>
      <c r="L1450" s="301" t="s">
        <v>5561</v>
      </c>
      <c r="M1450" s="301" t="s">
        <v>5556</v>
      </c>
      <c r="N1450" s="32" t="s">
        <v>7800</v>
      </c>
      <c r="O1450" s="32" t="s">
        <v>3960</v>
      </c>
      <c r="P1450" s="278"/>
      <c r="Q1450" s="233" t="s">
        <v>4029</v>
      </c>
      <c r="R1450" s="75">
        <v>5130.5</v>
      </c>
      <c r="S1450" s="75">
        <v>0</v>
      </c>
      <c r="T1450" s="75">
        <v>5130.5</v>
      </c>
      <c r="U1450" s="200">
        <v>2134.5</v>
      </c>
      <c r="V1450" s="287">
        <f t="shared" ca="1" si="324"/>
        <v>9</v>
      </c>
      <c r="W1450" s="75">
        <f t="shared" ca="1" si="325"/>
        <v>22056.5</v>
      </c>
      <c r="X1450" s="200">
        <f t="shared" ca="1" si="326"/>
        <v>25052.5</v>
      </c>
      <c r="Y1450" s="1"/>
      <c r="Z1450" s="31">
        <v>0.1</v>
      </c>
      <c r="AA1450" s="223">
        <v>0.09</v>
      </c>
      <c r="AB1450" s="302" t="s">
        <v>7149</v>
      </c>
      <c r="AC1450" s="302"/>
      <c r="AD1450" s="302"/>
      <c r="AE1450" s="302"/>
      <c r="AF1450">
        <f t="shared" si="327"/>
        <v>0</v>
      </c>
    </row>
    <row r="1451" spans="1:32" ht="26.25" hidden="1" x14ac:dyDescent="0.25">
      <c r="A1451" s="322" t="s">
        <v>4030</v>
      </c>
      <c r="B1451" s="93" t="str">
        <f t="shared" si="322"/>
        <v>YES</v>
      </c>
      <c r="C1451" s="93" t="s">
        <v>5503</v>
      </c>
      <c r="D1451" s="4">
        <v>40884</v>
      </c>
      <c r="E1451" s="2">
        <v>40909</v>
      </c>
      <c r="F1451" s="2">
        <f t="shared" si="328"/>
        <v>44562</v>
      </c>
      <c r="G1451" s="6">
        <v>568.29999999999995</v>
      </c>
      <c r="H1451" s="7" t="s">
        <v>3660</v>
      </c>
      <c r="I1451" s="7" t="s">
        <v>86</v>
      </c>
      <c r="J1451" s="371" t="s">
        <v>5188</v>
      </c>
      <c r="K1451" s="266">
        <f t="shared" si="323"/>
        <v>2022</v>
      </c>
      <c r="L1451" s="301" t="s">
        <v>5561</v>
      </c>
      <c r="M1451" s="301" t="s">
        <v>5556</v>
      </c>
      <c r="N1451" s="32" t="s">
        <v>7800</v>
      </c>
      <c r="O1451" s="32" t="s">
        <v>3960</v>
      </c>
      <c r="P1451" s="278"/>
      <c r="Q1451" s="233" t="s">
        <v>4031</v>
      </c>
      <c r="R1451" s="75">
        <v>2141.5</v>
      </c>
      <c r="S1451" s="75">
        <v>0</v>
      </c>
      <c r="T1451" s="75">
        <v>2141.5</v>
      </c>
      <c r="U1451" s="200">
        <v>853.5</v>
      </c>
      <c r="V1451" s="287">
        <f t="shared" ca="1" si="324"/>
        <v>9</v>
      </c>
      <c r="W1451" s="75">
        <f t="shared" ca="1" si="325"/>
        <v>8819.5</v>
      </c>
      <c r="X1451" s="200">
        <f t="shared" ca="1" si="326"/>
        <v>10107.5</v>
      </c>
      <c r="Y1451" s="1"/>
      <c r="Z1451" s="31">
        <v>0.1</v>
      </c>
      <c r="AA1451" s="223">
        <v>0.09</v>
      </c>
      <c r="AB1451" s="302" t="s">
        <v>7150</v>
      </c>
      <c r="AC1451" s="302"/>
      <c r="AD1451" s="302"/>
      <c r="AE1451" s="302"/>
      <c r="AF1451">
        <f t="shared" si="327"/>
        <v>0</v>
      </c>
    </row>
    <row r="1452" spans="1:32" ht="26.25" hidden="1" x14ac:dyDescent="0.25">
      <c r="A1452" s="322" t="s">
        <v>4032</v>
      </c>
      <c r="B1452" s="93" t="str">
        <f t="shared" si="322"/>
        <v>YES</v>
      </c>
      <c r="C1452" s="93" t="s">
        <v>5503</v>
      </c>
      <c r="D1452" s="4">
        <v>40884</v>
      </c>
      <c r="E1452" s="2">
        <v>40909</v>
      </c>
      <c r="F1452" s="2">
        <f t="shared" si="328"/>
        <v>44562</v>
      </c>
      <c r="G1452" s="6">
        <v>79</v>
      </c>
      <c r="H1452" s="7" t="s">
        <v>3660</v>
      </c>
      <c r="I1452" s="7" t="s">
        <v>86</v>
      </c>
      <c r="J1452" s="371" t="s">
        <v>5188</v>
      </c>
      <c r="K1452" s="266">
        <f t="shared" si="323"/>
        <v>2022</v>
      </c>
      <c r="L1452" s="301" t="s">
        <v>5561</v>
      </c>
      <c r="M1452" s="301" t="s">
        <v>5556</v>
      </c>
      <c r="N1452" s="32" t="s">
        <v>7800</v>
      </c>
      <c r="O1452" s="32" t="s">
        <v>4034</v>
      </c>
      <c r="P1452" s="278"/>
      <c r="Q1452" s="233" t="s">
        <v>4033</v>
      </c>
      <c r="R1452" s="75">
        <v>426.5</v>
      </c>
      <c r="S1452" s="75">
        <v>0</v>
      </c>
      <c r="T1452" s="75">
        <v>426.5</v>
      </c>
      <c r="U1452" s="200">
        <v>118.5</v>
      </c>
      <c r="V1452" s="287">
        <f t="shared" ca="1" si="324"/>
        <v>9</v>
      </c>
      <c r="W1452" s="75">
        <f t="shared" ca="1" si="325"/>
        <v>1224.5</v>
      </c>
      <c r="X1452" s="200">
        <f t="shared" ca="1" si="326"/>
        <v>1532.5</v>
      </c>
      <c r="Y1452" s="1"/>
      <c r="Z1452" s="31">
        <v>0.1</v>
      </c>
      <c r="AA1452" s="223">
        <v>0.09</v>
      </c>
      <c r="AB1452" s="302" t="s">
        <v>7151</v>
      </c>
      <c r="AC1452" s="302"/>
      <c r="AD1452" s="302"/>
      <c r="AE1452" s="302"/>
      <c r="AF1452">
        <f t="shared" si="327"/>
        <v>0</v>
      </c>
    </row>
    <row r="1453" spans="1:32" ht="26.25" hidden="1" x14ac:dyDescent="0.25">
      <c r="A1453" s="322" t="s">
        <v>4035</v>
      </c>
      <c r="B1453" s="93" t="str">
        <f t="shared" si="322"/>
        <v>YES</v>
      </c>
      <c r="C1453" s="93" t="s">
        <v>5503</v>
      </c>
      <c r="D1453" s="4">
        <v>40884</v>
      </c>
      <c r="E1453" s="2">
        <v>40909</v>
      </c>
      <c r="F1453" s="2">
        <f t="shared" si="328"/>
        <v>44562</v>
      </c>
      <c r="G1453" s="6">
        <v>2353.9</v>
      </c>
      <c r="H1453" s="7" t="s">
        <v>3660</v>
      </c>
      <c r="I1453" s="7" t="s">
        <v>86</v>
      </c>
      <c r="J1453" s="371" t="s">
        <v>5188</v>
      </c>
      <c r="K1453" s="266">
        <f t="shared" si="323"/>
        <v>2022</v>
      </c>
      <c r="L1453" s="301" t="s">
        <v>5561</v>
      </c>
      <c r="M1453" s="301" t="s">
        <v>5562</v>
      </c>
      <c r="N1453" s="32" t="s">
        <v>7800</v>
      </c>
      <c r="O1453" s="32" t="s">
        <v>3960</v>
      </c>
      <c r="P1453" s="278"/>
      <c r="Q1453" s="233" t="s">
        <v>4036</v>
      </c>
      <c r="R1453" s="75">
        <v>8389</v>
      </c>
      <c r="S1453" s="75">
        <v>0</v>
      </c>
      <c r="T1453" s="75">
        <v>8389</v>
      </c>
      <c r="U1453" s="200">
        <v>3531</v>
      </c>
      <c r="V1453" s="287">
        <f t="shared" ca="1" si="324"/>
        <v>9</v>
      </c>
      <c r="W1453" s="75">
        <f t="shared" ca="1" si="325"/>
        <v>36487</v>
      </c>
      <c r="X1453" s="200">
        <f t="shared" ca="1" si="326"/>
        <v>41345</v>
      </c>
      <c r="Y1453" s="1"/>
      <c r="Z1453" s="31">
        <v>0.1</v>
      </c>
      <c r="AA1453" s="223">
        <v>0.09</v>
      </c>
      <c r="AB1453" s="302" t="s">
        <v>7152</v>
      </c>
      <c r="AC1453" s="302"/>
      <c r="AD1453" s="302"/>
      <c r="AE1453" s="302"/>
      <c r="AF1453">
        <f t="shared" si="327"/>
        <v>0</v>
      </c>
    </row>
    <row r="1454" spans="1:32" ht="15.75" hidden="1" thickBot="1" x14ac:dyDescent="0.3">
      <c r="A1454" s="322"/>
      <c r="D1454" s="7"/>
      <c r="E1454" s="8"/>
      <c r="F1454" s="2"/>
      <c r="G1454" s="6"/>
      <c r="H1454" s="7"/>
      <c r="I1454" s="7"/>
      <c r="J1454" s="186"/>
      <c r="K1454" s="186"/>
      <c r="L1454" s="386"/>
      <c r="M1454" s="386"/>
      <c r="N1454" s="32"/>
      <c r="O1454" s="32"/>
      <c r="P1454" s="278"/>
      <c r="Q1454" s="233"/>
      <c r="R1454" s="76">
        <v>67810</v>
      </c>
      <c r="S1454" s="76">
        <v>431301</v>
      </c>
      <c r="T1454" s="76">
        <v>499111</v>
      </c>
      <c r="U1454" s="200"/>
      <c r="V1454" s="75"/>
      <c r="W1454" s="75"/>
      <c r="X1454" s="200"/>
      <c r="Y1454" s="1"/>
      <c r="Z1454" s="74"/>
      <c r="AA1454" s="224"/>
      <c r="AB1454" s="302"/>
      <c r="AC1454" s="302"/>
      <c r="AD1454" s="302"/>
      <c r="AE1454" s="302"/>
      <c r="AF1454">
        <f t="shared" si="327"/>
        <v>0</v>
      </c>
    </row>
    <row r="1455" spans="1:32" hidden="1" x14ac:dyDescent="0.25">
      <c r="A1455" s="322"/>
      <c r="D1455" s="7"/>
      <c r="E1455" s="8"/>
      <c r="F1455" s="2"/>
      <c r="G1455" s="6"/>
      <c r="H1455" s="7"/>
      <c r="I1455" s="7"/>
      <c r="J1455" s="186"/>
      <c r="K1455" s="186"/>
      <c r="L1455" s="386"/>
      <c r="M1455" s="386"/>
      <c r="N1455" s="32"/>
      <c r="O1455" s="32"/>
      <c r="P1455" s="278"/>
      <c r="Q1455" s="233"/>
      <c r="R1455" s="75"/>
      <c r="S1455" s="75"/>
      <c r="T1455" s="75"/>
      <c r="U1455" s="200"/>
      <c r="V1455" s="75"/>
      <c r="W1455" s="75"/>
      <c r="X1455" s="200"/>
      <c r="Y1455" s="1"/>
      <c r="Z1455" s="1"/>
      <c r="AA1455" s="219"/>
      <c r="AB1455" s="302"/>
      <c r="AC1455" s="302"/>
      <c r="AD1455" s="302"/>
      <c r="AE1455" s="302"/>
      <c r="AF1455">
        <f t="shared" si="327"/>
        <v>0</v>
      </c>
    </row>
    <row r="1456" spans="1:32" hidden="1" x14ac:dyDescent="0.25">
      <c r="A1456" s="322" t="s">
        <v>4037</v>
      </c>
      <c r="B1456" s="93" t="str">
        <f t="shared" ref="B1456:B1487" si="329">IF(COUNTIF(GIS,A1456),"YES","NO")</f>
        <v>YES</v>
      </c>
      <c r="C1456" s="93" t="s">
        <v>5503</v>
      </c>
      <c r="D1456" s="4">
        <v>40983</v>
      </c>
      <c r="E1456" s="2">
        <v>41030</v>
      </c>
      <c r="F1456" s="2">
        <f t="shared" si="328"/>
        <v>44682</v>
      </c>
      <c r="G1456" s="6">
        <v>40</v>
      </c>
      <c r="H1456" s="7" t="s">
        <v>248</v>
      </c>
      <c r="I1456" s="7" t="s">
        <v>308</v>
      </c>
      <c r="J1456" s="109" t="s">
        <v>1613</v>
      </c>
      <c r="K1456" s="266">
        <f t="shared" ref="K1456:K1487" si="330">YEAR(F1456)</f>
        <v>2022</v>
      </c>
      <c r="L1456" s="391" t="s">
        <v>5885</v>
      </c>
      <c r="M1456" s="391" t="s">
        <v>7595</v>
      </c>
      <c r="N1456" s="32" t="s">
        <v>7795</v>
      </c>
      <c r="O1456" s="32" t="s">
        <v>4039</v>
      </c>
      <c r="P1456" s="278"/>
      <c r="Q1456" s="233" t="s">
        <v>4038</v>
      </c>
      <c r="R1456" s="75">
        <v>290</v>
      </c>
      <c r="S1456" s="75">
        <v>0</v>
      </c>
      <c r="T1456" s="75">
        <v>290</v>
      </c>
      <c r="U1456" s="200">
        <v>60</v>
      </c>
      <c r="V1456" s="287">
        <f t="shared" ref="V1456:V1487" ca="1" si="331">IF(YEAR($W$3)-YEAR(E1456)&gt;9,10,IF(MONTH($W$3)&lt;MONTH(E1456),YEAR($W$3)-YEAR(E1456),YEAR($W$3)-YEAR(E1456)+1))</f>
        <v>8</v>
      </c>
      <c r="W1456" s="75">
        <f t="shared" ref="W1456:W1487" ca="1" si="332">IF(V1456&lt;6, ROUNDUP(G1456,0)*$W$6*V1456, ROUNDUP(G1456,0)*($W$6*5 + (V1456-5)*$W$7))</f>
        <v>540</v>
      </c>
      <c r="X1456" s="200">
        <f t="shared" ref="X1456:X1511" ca="1" si="333">IF(V1456=0,T1456,((T1456-ROUNDUP(G1456,0)*1.5)+W1456))</f>
        <v>770</v>
      </c>
      <c r="Y1456" s="1"/>
      <c r="Z1456" s="31">
        <v>0.1</v>
      </c>
      <c r="AA1456" s="223">
        <v>0.09</v>
      </c>
      <c r="AB1456" s="302" t="s">
        <v>6323</v>
      </c>
      <c r="AC1456" s="308">
        <v>43536</v>
      </c>
      <c r="AD1456" s="309">
        <v>0.25</v>
      </c>
      <c r="AE1456" s="302" t="s">
        <v>7509</v>
      </c>
      <c r="AF1456">
        <f t="shared" si="327"/>
        <v>0</v>
      </c>
    </row>
    <row r="1457" spans="1:32" ht="26.25" hidden="1" x14ac:dyDescent="0.25">
      <c r="A1457" s="322" t="s">
        <v>4040</v>
      </c>
      <c r="B1457" s="93" t="str">
        <f t="shared" si="329"/>
        <v>YES</v>
      </c>
      <c r="C1457" s="93" t="s">
        <v>5503</v>
      </c>
      <c r="D1457" s="4">
        <v>40983</v>
      </c>
      <c r="E1457" s="2">
        <v>41030</v>
      </c>
      <c r="F1457" s="2">
        <f t="shared" si="328"/>
        <v>44682</v>
      </c>
      <c r="G1457" s="6">
        <v>1807.54</v>
      </c>
      <c r="H1457" s="7" t="s">
        <v>248</v>
      </c>
      <c r="I1457" s="7" t="s">
        <v>308</v>
      </c>
      <c r="J1457" s="189"/>
      <c r="K1457" s="266">
        <f t="shared" si="330"/>
        <v>2022</v>
      </c>
      <c r="L1457" s="391" t="s">
        <v>5885</v>
      </c>
      <c r="M1457" s="391" t="s">
        <v>7604</v>
      </c>
      <c r="N1457" s="32" t="s">
        <v>7795</v>
      </c>
      <c r="O1457" s="32" t="s">
        <v>4042</v>
      </c>
      <c r="P1457" s="278"/>
      <c r="Q1457" s="233" t="s">
        <v>4041</v>
      </c>
      <c r="R1457" s="75">
        <v>6478</v>
      </c>
      <c r="S1457" s="75">
        <v>39776</v>
      </c>
      <c r="T1457" s="75">
        <v>46254</v>
      </c>
      <c r="U1457" s="200">
        <v>2712</v>
      </c>
      <c r="V1457" s="287">
        <f t="shared" ca="1" si="331"/>
        <v>8</v>
      </c>
      <c r="W1457" s="75">
        <f t="shared" ca="1" si="332"/>
        <v>24408</v>
      </c>
      <c r="X1457" s="200">
        <f t="shared" ca="1" si="333"/>
        <v>67950</v>
      </c>
      <c r="Y1457" s="1"/>
      <c r="Z1457" s="31">
        <v>0.1</v>
      </c>
      <c r="AA1457" s="223">
        <v>0.09</v>
      </c>
      <c r="AB1457" s="302" t="s">
        <v>6324</v>
      </c>
      <c r="AC1457" s="308">
        <v>43536</v>
      </c>
      <c r="AD1457" s="309">
        <v>0.25</v>
      </c>
      <c r="AE1457" s="302" t="s">
        <v>7509</v>
      </c>
      <c r="AF1457">
        <f t="shared" si="327"/>
        <v>0</v>
      </c>
    </row>
    <row r="1458" spans="1:32" hidden="1" x14ac:dyDescent="0.25">
      <c r="A1458" s="322" t="s">
        <v>4043</v>
      </c>
      <c r="B1458" s="93" t="str">
        <f t="shared" si="329"/>
        <v>YES</v>
      </c>
      <c r="C1458" s="93" t="s">
        <v>5503</v>
      </c>
      <c r="D1458" s="4">
        <v>40983</v>
      </c>
      <c r="E1458" s="2">
        <v>41030</v>
      </c>
      <c r="F1458" s="2">
        <f t="shared" si="328"/>
        <v>44682</v>
      </c>
      <c r="G1458" s="6">
        <v>90.54</v>
      </c>
      <c r="H1458" s="7" t="s">
        <v>248</v>
      </c>
      <c r="I1458" s="7" t="s">
        <v>308</v>
      </c>
      <c r="J1458" s="189"/>
      <c r="K1458" s="266">
        <f t="shared" si="330"/>
        <v>2022</v>
      </c>
      <c r="L1458" s="391" t="s">
        <v>5834</v>
      </c>
      <c r="M1458" s="391" t="s">
        <v>7605</v>
      </c>
      <c r="N1458" s="32" t="s">
        <v>7795</v>
      </c>
      <c r="O1458" s="32" t="s">
        <v>4045</v>
      </c>
      <c r="P1458" s="278"/>
      <c r="Q1458" s="233" t="s">
        <v>4044</v>
      </c>
      <c r="R1458" s="75">
        <v>468.5</v>
      </c>
      <c r="S1458" s="75">
        <v>0</v>
      </c>
      <c r="T1458" s="75">
        <v>468.5</v>
      </c>
      <c r="U1458" s="200">
        <v>136.5</v>
      </c>
      <c r="V1458" s="287">
        <f t="shared" ca="1" si="331"/>
        <v>8</v>
      </c>
      <c r="W1458" s="75">
        <f t="shared" ca="1" si="332"/>
        <v>1228.5</v>
      </c>
      <c r="X1458" s="200">
        <f t="shared" ca="1" si="333"/>
        <v>1560.5</v>
      </c>
      <c r="Y1458" s="1"/>
      <c r="Z1458" s="31">
        <v>0.1</v>
      </c>
      <c r="AA1458" s="223">
        <v>0.09</v>
      </c>
      <c r="AB1458" s="302" t="s">
        <v>6328</v>
      </c>
      <c r="AC1458" s="308">
        <v>43536</v>
      </c>
      <c r="AD1458" s="309">
        <v>0.25</v>
      </c>
      <c r="AE1458" s="302" t="s">
        <v>7509</v>
      </c>
      <c r="AF1458">
        <f t="shared" si="327"/>
        <v>0</v>
      </c>
    </row>
    <row r="1459" spans="1:32" hidden="1" x14ac:dyDescent="0.25">
      <c r="A1459" s="322" t="s">
        <v>4046</v>
      </c>
      <c r="B1459" s="93" t="str">
        <f t="shared" si="329"/>
        <v>YES</v>
      </c>
      <c r="C1459" s="93" t="s">
        <v>5503</v>
      </c>
      <c r="D1459" s="4">
        <v>40983</v>
      </c>
      <c r="E1459" s="2">
        <v>41030</v>
      </c>
      <c r="F1459" s="2">
        <f t="shared" si="328"/>
        <v>44682</v>
      </c>
      <c r="G1459" s="6">
        <v>1805.85</v>
      </c>
      <c r="H1459" s="7" t="s">
        <v>248</v>
      </c>
      <c r="I1459" s="7" t="s">
        <v>308</v>
      </c>
      <c r="J1459" s="189"/>
      <c r="K1459" s="266">
        <f t="shared" si="330"/>
        <v>2022</v>
      </c>
      <c r="L1459" s="391" t="s">
        <v>5885</v>
      </c>
      <c r="M1459" s="391" t="s">
        <v>7604</v>
      </c>
      <c r="N1459" s="32" t="s">
        <v>7795</v>
      </c>
      <c r="O1459" s="32" t="s">
        <v>4048</v>
      </c>
      <c r="P1459" s="278"/>
      <c r="Q1459" s="233" t="s">
        <v>4047</v>
      </c>
      <c r="R1459" s="75">
        <v>6471</v>
      </c>
      <c r="S1459" s="75">
        <v>36120</v>
      </c>
      <c r="T1459" s="75">
        <v>42591</v>
      </c>
      <c r="U1459" s="200">
        <v>2709</v>
      </c>
      <c r="V1459" s="287">
        <f t="shared" ca="1" si="331"/>
        <v>8</v>
      </c>
      <c r="W1459" s="75">
        <f t="shared" ca="1" si="332"/>
        <v>24381</v>
      </c>
      <c r="X1459" s="200">
        <f t="shared" ca="1" si="333"/>
        <v>64263</v>
      </c>
      <c r="Y1459" s="1"/>
      <c r="Z1459" s="31">
        <v>0.1</v>
      </c>
      <c r="AA1459" s="223">
        <v>0.09</v>
      </c>
      <c r="AB1459" s="302" t="s">
        <v>6325</v>
      </c>
      <c r="AC1459" s="308">
        <v>43536</v>
      </c>
      <c r="AD1459" s="309">
        <v>0.25</v>
      </c>
      <c r="AE1459" s="302" t="s">
        <v>7509</v>
      </c>
      <c r="AF1459">
        <f t="shared" si="327"/>
        <v>0</v>
      </c>
    </row>
    <row r="1460" spans="1:32" hidden="1" x14ac:dyDescent="0.25">
      <c r="A1460" s="322" t="s">
        <v>4049</v>
      </c>
      <c r="B1460" s="93" t="str">
        <f t="shared" si="329"/>
        <v>YES</v>
      </c>
      <c r="C1460" s="93" t="s">
        <v>5503</v>
      </c>
      <c r="D1460" s="4">
        <v>40983</v>
      </c>
      <c r="E1460" s="2">
        <v>41030</v>
      </c>
      <c r="F1460" s="2">
        <f t="shared" si="328"/>
        <v>44682</v>
      </c>
      <c r="G1460" s="6">
        <v>1664.6</v>
      </c>
      <c r="H1460" s="7" t="s">
        <v>1625</v>
      </c>
      <c r="I1460" s="7" t="s">
        <v>308</v>
      </c>
      <c r="J1460" s="189"/>
      <c r="K1460" s="266">
        <f t="shared" si="330"/>
        <v>2022</v>
      </c>
      <c r="L1460" s="391" t="s">
        <v>5910</v>
      </c>
      <c r="M1460" s="391" t="s">
        <v>7590</v>
      </c>
      <c r="N1460" s="32" t="s">
        <v>7795</v>
      </c>
      <c r="O1460" s="32" t="s">
        <v>3672</v>
      </c>
      <c r="P1460" s="278"/>
      <c r="Q1460" s="233" t="s">
        <v>4050</v>
      </c>
      <c r="R1460" s="75">
        <v>5977.5</v>
      </c>
      <c r="S1460" s="75">
        <v>83250</v>
      </c>
      <c r="T1460" s="75">
        <v>89227.5</v>
      </c>
      <c r="U1460" s="200">
        <v>2497.5</v>
      </c>
      <c r="V1460" s="287">
        <f t="shared" ca="1" si="331"/>
        <v>8</v>
      </c>
      <c r="W1460" s="75">
        <f t="shared" ca="1" si="332"/>
        <v>22477.5</v>
      </c>
      <c r="X1460" s="200">
        <f t="shared" ca="1" si="333"/>
        <v>109207.5</v>
      </c>
      <c r="Y1460" s="1"/>
      <c r="Z1460" s="31">
        <v>0.1</v>
      </c>
      <c r="AA1460" s="223">
        <v>0.09</v>
      </c>
      <c r="AB1460" s="302" t="s">
        <v>6337</v>
      </c>
      <c r="AC1460" s="302"/>
      <c r="AD1460" s="302"/>
      <c r="AE1460" s="302"/>
      <c r="AF1460">
        <f t="shared" si="327"/>
        <v>0</v>
      </c>
    </row>
    <row r="1461" spans="1:32" ht="26.25" hidden="1" x14ac:dyDescent="0.25">
      <c r="A1461" s="322" t="s">
        <v>4051</v>
      </c>
      <c r="B1461" s="93" t="str">
        <f t="shared" si="329"/>
        <v>YES</v>
      </c>
      <c r="C1461" s="93" t="s">
        <v>5503</v>
      </c>
      <c r="D1461" s="4">
        <v>40983</v>
      </c>
      <c r="E1461" s="2">
        <v>41030</v>
      </c>
      <c r="F1461" s="2">
        <f t="shared" si="328"/>
        <v>44682</v>
      </c>
      <c r="G1461" s="6">
        <v>2256.38</v>
      </c>
      <c r="H1461" s="7" t="s">
        <v>1625</v>
      </c>
      <c r="I1461" s="7" t="s">
        <v>308</v>
      </c>
      <c r="J1461" s="109" t="s">
        <v>1613</v>
      </c>
      <c r="K1461" s="266">
        <f t="shared" si="330"/>
        <v>2022</v>
      </c>
      <c r="L1461" s="391" t="s">
        <v>5885</v>
      </c>
      <c r="M1461" s="391" t="s">
        <v>7575</v>
      </c>
      <c r="N1461" s="32" t="s">
        <v>7795</v>
      </c>
      <c r="O1461" s="32" t="s">
        <v>4053</v>
      </c>
      <c r="P1461" s="278"/>
      <c r="Q1461" s="233" t="s">
        <v>4052</v>
      </c>
      <c r="R1461" s="75">
        <v>8049.5</v>
      </c>
      <c r="S1461" s="75">
        <v>176046</v>
      </c>
      <c r="T1461" s="75">
        <v>184095.5</v>
      </c>
      <c r="U1461" s="200">
        <v>3385.5</v>
      </c>
      <c r="V1461" s="287">
        <f t="shared" ca="1" si="331"/>
        <v>8</v>
      </c>
      <c r="W1461" s="75">
        <f t="shared" ca="1" si="332"/>
        <v>30469.5</v>
      </c>
      <c r="X1461" s="200">
        <f t="shared" ca="1" si="333"/>
        <v>211179.5</v>
      </c>
      <c r="Y1461" s="1"/>
      <c r="Z1461" s="31">
        <v>0.1</v>
      </c>
      <c r="AA1461" s="223">
        <v>0.09</v>
      </c>
      <c r="AB1461" s="302" t="s">
        <v>6338</v>
      </c>
      <c r="AC1461" s="302"/>
      <c r="AD1461" s="302"/>
      <c r="AE1461" s="302"/>
      <c r="AF1461">
        <f t="shared" si="327"/>
        <v>0</v>
      </c>
    </row>
    <row r="1462" spans="1:32" hidden="1" x14ac:dyDescent="0.25">
      <c r="A1462" s="322" t="s">
        <v>4054</v>
      </c>
      <c r="B1462" s="93" t="str">
        <f t="shared" si="329"/>
        <v>YES</v>
      </c>
      <c r="C1462" s="93" t="s">
        <v>5503</v>
      </c>
      <c r="D1462" s="4">
        <v>40983</v>
      </c>
      <c r="E1462" s="2">
        <v>41030</v>
      </c>
      <c r="F1462" s="2">
        <f t="shared" si="328"/>
        <v>44682</v>
      </c>
      <c r="G1462" s="6">
        <v>160</v>
      </c>
      <c r="H1462" s="7" t="s">
        <v>248</v>
      </c>
      <c r="I1462" s="7" t="s">
        <v>308</v>
      </c>
      <c r="J1462" s="109" t="s">
        <v>1613</v>
      </c>
      <c r="K1462" s="266">
        <f t="shared" si="330"/>
        <v>2022</v>
      </c>
      <c r="L1462" s="391" t="s">
        <v>5885</v>
      </c>
      <c r="M1462" s="391" t="s">
        <v>7604</v>
      </c>
      <c r="N1462" s="32" t="s">
        <v>7795</v>
      </c>
      <c r="O1462" s="32" t="s">
        <v>4056</v>
      </c>
      <c r="P1462" s="278"/>
      <c r="Q1462" s="233" t="s">
        <v>4055</v>
      </c>
      <c r="R1462" s="75">
        <v>710</v>
      </c>
      <c r="S1462" s="75">
        <v>0</v>
      </c>
      <c r="T1462" s="75">
        <v>710</v>
      </c>
      <c r="U1462" s="200">
        <v>240</v>
      </c>
      <c r="V1462" s="287">
        <f t="shared" ca="1" si="331"/>
        <v>8</v>
      </c>
      <c r="W1462" s="75">
        <f t="shared" ca="1" si="332"/>
        <v>2160</v>
      </c>
      <c r="X1462" s="200">
        <f t="shared" ca="1" si="333"/>
        <v>2630</v>
      </c>
      <c r="Y1462" s="1"/>
      <c r="Z1462" s="31">
        <v>0.1</v>
      </c>
      <c r="AA1462" s="223">
        <v>0.09</v>
      </c>
      <c r="AB1462" s="302" t="s">
        <v>6327</v>
      </c>
      <c r="AC1462" s="308">
        <v>43536</v>
      </c>
      <c r="AD1462" s="309">
        <v>0.25</v>
      </c>
      <c r="AE1462" s="302" t="s">
        <v>7509</v>
      </c>
      <c r="AF1462">
        <f t="shared" si="327"/>
        <v>0</v>
      </c>
    </row>
    <row r="1463" spans="1:32" hidden="1" x14ac:dyDescent="0.25">
      <c r="A1463" s="322" t="s">
        <v>4057</v>
      </c>
      <c r="B1463" s="93" t="str">
        <f t="shared" si="329"/>
        <v>YES</v>
      </c>
      <c r="C1463" s="93" t="s">
        <v>5503</v>
      </c>
      <c r="D1463" s="4">
        <v>40983</v>
      </c>
      <c r="E1463" s="2">
        <v>41030</v>
      </c>
      <c r="F1463" s="2">
        <f t="shared" si="328"/>
        <v>44682</v>
      </c>
      <c r="G1463" s="6">
        <v>1678.2</v>
      </c>
      <c r="H1463" s="7" t="s">
        <v>248</v>
      </c>
      <c r="I1463" s="7" t="s">
        <v>308</v>
      </c>
      <c r="J1463" s="189"/>
      <c r="K1463" s="266">
        <f t="shared" si="330"/>
        <v>2022</v>
      </c>
      <c r="L1463" s="391" t="s">
        <v>5885</v>
      </c>
      <c r="M1463" s="391" t="s">
        <v>7604</v>
      </c>
      <c r="N1463" s="32" t="s">
        <v>7795</v>
      </c>
      <c r="O1463" s="32" t="s">
        <v>4059</v>
      </c>
      <c r="P1463" s="278"/>
      <c r="Q1463" s="233" t="s">
        <v>4058</v>
      </c>
      <c r="R1463" s="75">
        <v>6026.5</v>
      </c>
      <c r="S1463" s="75">
        <v>0</v>
      </c>
      <c r="T1463" s="75">
        <v>6026.5</v>
      </c>
      <c r="U1463" s="200">
        <v>2518.5</v>
      </c>
      <c r="V1463" s="287">
        <f t="shared" ca="1" si="331"/>
        <v>8</v>
      </c>
      <c r="W1463" s="75">
        <f t="shared" ca="1" si="332"/>
        <v>22666.5</v>
      </c>
      <c r="X1463" s="200">
        <f t="shared" ca="1" si="333"/>
        <v>26174.5</v>
      </c>
      <c r="Y1463" s="1"/>
      <c r="Z1463" s="31">
        <v>0.1</v>
      </c>
      <c r="AA1463" s="223">
        <v>0.09</v>
      </c>
      <c r="AB1463" s="302" t="s">
        <v>6326</v>
      </c>
      <c r="AC1463" s="308">
        <v>43536</v>
      </c>
      <c r="AD1463" s="309">
        <v>0.25</v>
      </c>
      <c r="AE1463" s="302" t="s">
        <v>7509</v>
      </c>
      <c r="AF1463">
        <f t="shared" si="327"/>
        <v>0</v>
      </c>
    </row>
    <row r="1464" spans="1:32" hidden="1" x14ac:dyDescent="0.25">
      <c r="A1464" s="322" t="s">
        <v>4060</v>
      </c>
      <c r="B1464" s="93" t="str">
        <f t="shared" si="329"/>
        <v>YES</v>
      </c>
      <c r="C1464" s="93" t="s">
        <v>5503</v>
      </c>
      <c r="D1464" s="4">
        <v>40983</v>
      </c>
      <c r="E1464" s="2">
        <v>41030</v>
      </c>
      <c r="F1464" s="2">
        <f t="shared" si="328"/>
        <v>44682</v>
      </c>
      <c r="G1464" s="6">
        <v>80</v>
      </c>
      <c r="H1464" s="7" t="s">
        <v>1625</v>
      </c>
      <c r="I1464" s="7" t="s">
        <v>308</v>
      </c>
      <c r="J1464" s="189"/>
      <c r="K1464" s="266">
        <f t="shared" si="330"/>
        <v>2022</v>
      </c>
      <c r="L1464" s="391" t="s">
        <v>5793</v>
      </c>
      <c r="M1464" s="391" t="s">
        <v>7604</v>
      </c>
      <c r="N1464" s="32" t="s">
        <v>7795</v>
      </c>
      <c r="O1464" s="32" t="s">
        <v>4062</v>
      </c>
      <c r="P1464" s="278"/>
      <c r="Q1464" s="233" t="s">
        <v>4061</v>
      </c>
      <c r="R1464" s="75">
        <v>430</v>
      </c>
      <c r="S1464" s="75">
        <v>5040</v>
      </c>
      <c r="T1464" s="75">
        <v>5470</v>
      </c>
      <c r="U1464" s="200">
        <v>120</v>
      </c>
      <c r="V1464" s="287">
        <f t="shared" ca="1" si="331"/>
        <v>8</v>
      </c>
      <c r="W1464" s="75">
        <f t="shared" ca="1" si="332"/>
        <v>1080</v>
      </c>
      <c r="X1464" s="200">
        <f t="shared" ca="1" si="333"/>
        <v>6430</v>
      </c>
      <c r="Y1464" s="1"/>
      <c r="Z1464" s="31">
        <v>0.1</v>
      </c>
      <c r="AA1464" s="223">
        <v>0.09</v>
      </c>
      <c r="AB1464" s="302" t="s">
        <v>6339</v>
      </c>
      <c r="AC1464" s="302"/>
      <c r="AD1464" s="302"/>
      <c r="AE1464" s="302"/>
      <c r="AF1464">
        <f t="shared" si="327"/>
        <v>0</v>
      </c>
    </row>
    <row r="1465" spans="1:32" hidden="1" x14ac:dyDescent="0.25">
      <c r="A1465" s="322" t="s">
        <v>4063</v>
      </c>
      <c r="B1465" s="93" t="str">
        <f t="shared" si="329"/>
        <v>YES</v>
      </c>
      <c r="C1465" s="93" t="s">
        <v>5503</v>
      </c>
      <c r="D1465" s="4">
        <v>40983</v>
      </c>
      <c r="E1465" s="2">
        <v>41030</v>
      </c>
      <c r="F1465" s="2">
        <f t="shared" si="328"/>
        <v>44682</v>
      </c>
      <c r="G1465" s="6">
        <v>320</v>
      </c>
      <c r="H1465" s="7" t="s">
        <v>248</v>
      </c>
      <c r="I1465" s="7" t="s">
        <v>308</v>
      </c>
      <c r="J1465" s="189"/>
      <c r="K1465" s="266">
        <f t="shared" si="330"/>
        <v>2022</v>
      </c>
      <c r="L1465" s="391" t="s">
        <v>5910</v>
      </c>
      <c r="M1465" s="391" t="s">
        <v>7595</v>
      </c>
      <c r="N1465" s="32" t="s">
        <v>7795</v>
      </c>
      <c r="O1465" s="32" t="s">
        <v>4065</v>
      </c>
      <c r="P1465" s="278"/>
      <c r="Q1465" s="233" t="s">
        <v>4064</v>
      </c>
      <c r="R1465" s="75">
        <v>1270</v>
      </c>
      <c r="S1465" s="75">
        <v>0</v>
      </c>
      <c r="T1465" s="75">
        <v>1270</v>
      </c>
      <c r="U1465" s="200">
        <v>480</v>
      </c>
      <c r="V1465" s="287">
        <f t="shared" ca="1" si="331"/>
        <v>8</v>
      </c>
      <c r="W1465" s="75">
        <f t="shared" ca="1" si="332"/>
        <v>4320</v>
      </c>
      <c r="X1465" s="200">
        <f t="shared" ca="1" si="333"/>
        <v>5110</v>
      </c>
      <c r="Y1465" s="1"/>
      <c r="Z1465" s="31">
        <v>0.1</v>
      </c>
      <c r="AA1465" s="223">
        <v>0.09</v>
      </c>
      <c r="AB1465" s="302" t="s">
        <v>6318</v>
      </c>
      <c r="AC1465" s="308">
        <v>43536</v>
      </c>
      <c r="AD1465" s="309">
        <v>0.25</v>
      </c>
      <c r="AE1465" s="302" t="s">
        <v>7509</v>
      </c>
      <c r="AF1465">
        <f t="shared" si="327"/>
        <v>0</v>
      </c>
    </row>
    <row r="1466" spans="1:32" ht="39" hidden="1" x14ac:dyDescent="0.25">
      <c r="A1466" s="322" t="s">
        <v>4066</v>
      </c>
      <c r="B1466" s="93" t="str">
        <f t="shared" si="329"/>
        <v>YES</v>
      </c>
      <c r="C1466" s="93" t="s">
        <v>5503</v>
      </c>
      <c r="D1466" s="4">
        <v>40983</v>
      </c>
      <c r="E1466" s="2">
        <v>41030</v>
      </c>
      <c r="F1466" s="2">
        <f t="shared" si="328"/>
        <v>44682</v>
      </c>
      <c r="G1466" s="6">
        <v>2393.6</v>
      </c>
      <c r="H1466" s="7" t="s">
        <v>248</v>
      </c>
      <c r="I1466" s="7" t="s">
        <v>308</v>
      </c>
      <c r="J1466" s="109" t="s">
        <v>1613</v>
      </c>
      <c r="K1466" s="266">
        <f t="shared" si="330"/>
        <v>2022</v>
      </c>
      <c r="L1466" s="391" t="s">
        <v>5885</v>
      </c>
      <c r="M1466" s="391" t="s">
        <v>7595</v>
      </c>
      <c r="N1466" s="32" t="s">
        <v>7795</v>
      </c>
      <c r="O1466" s="32" t="s">
        <v>4068</v>
      </c>
      <c r="P1466" s="278"/>
      <c r="Q1466" s="233" t="s">
        <v>4067</v>
      </c>
      <c r="R1466" s="75">
        <v>8529</v>
      </c>
      <c r="S1466" s="75">
        <v>79002</v>
      </c>
      <c r="T1466" s="75">
        <v>87531</v>
      </c>
      <c r="U1466" s="200">
        <v>3591</v>
      </c>
      <c r="V1466" s="287">
        <f t="shared" ca="1" si="331"/>
        <v>8</v>
      </c>
      <c r="W1466" s="75">
        <f t="shared" ca="1" si="332"/>
        <v>32319</v>
      </c>
      <c r="X1466" s="200">
        <f t="shared" ca="1" si="333"/>
        <v>116259</v>
      </c>
      <c r="Y1466" s="1"/>
      <c r="Z1466" s="31">
        <v>0.1</v>
      </c>
      <c r="AA1466" s="223">
        <v>0.09</v>
      </c>
      <c r="AB1466" s="302" t="s">
        <v>6319</v>
      </c>
      <c r="AC1466" s="308">
        <v>43536</v>
      </c>
      <c r="AD1466" s="309">
        <v>0.25</v>
      </c>
      <c r="AE1466" s="302" t="s">
        <v>7509</v>
      </c>
      <c r="AF1466">
        <f t="shared" si="327"/>
        <v>0</v>
      </c>
    </row>
    <row r="1467" spans="1:32" ht="26.25" hidden="1" x14ac:dyDescent="0.25">
      <c r="A1467" s="322" t="s">
        <v>4069</v>
      </c>
      <c r="B1467" s="93" t="str">
        <f t="shared" si="329"/>
        <v>YES</v>
      </c>
      <c r="C1467" s="93" t="s">
        <v>5503</v>
      </c>
      <c r="D1467" s="4">
        <v>40983</v>
      </c>
      <c r="E1467" s="2">
        <v>41030</v>
      </c>
      <c r="F1467" s="2">
        <f t="shared" si="328"/>
        <v>44682</v>
      </c>
      <c r="G1467" s="6">
        <v>1442.2</v>
      </c>
      <c r="H1467" s="7" t="s">
        <v>248</v>
      </c>
      <c r="I1467" s="7" t="s">
        <v>308</v>
      </c>
      <c r="J1467" s="109" t="s">
        <v>1613</v>
      </c>
      <c r="K1467" s="266">
        <f t="shared" si="330"/>
        <v>2022</v>
      </c>
      <c r="L1467" s="391" t="s">
        <v>5885</v>
      </c>
      <c r="M1467" s="391" t="s">
        <v>7595</v>
      </c>
      <c r="N1467" s="32" t="s">
        <v>7795</v>
      </c>
      <c r="O1467" s="32" t="s">
        <v>4071</v>
      </c>
      <c r="P1467" s="278"/>
      <c r="Q1467" s="233" t="s">
        <v>4070</v>
      </c>
      <c r="R1467" s="75">
        <v>5200.5</v>
      </c>
      <c r="S1467" s="75">
        <v>256854</v>
      </c>
      <c r="T1467" s="75">
        <v>262054.5</v>
      </c>
      <c r="U1467" s="200">
        <v>2164.5</v>
      </c>
      <c r="V1467" s="287">
        <f t="shared" ca="1" si="331"/>
        <v>8</v>
      </c>
      <c r="W1467" s="75">
        <f t="shared" ca="1" si="332"/>
        <v>19480.5</v>
      </c>
      <c r="X1467" s="200">
        <f t="shared" ca="1" si="333"/>
        <v>279370.5</v>
      </c>
      <c r="Y1467" s="1"/>
      <c r="Z1467" s="31">
        <v>0.1</v>
      </c>
      <c r="AA1467" s="223">
        <v>0.09</v>
      </c>
      <c r="AB1467" s="302" t="s">
        <v>6320</v>
      </c>
      <c r="AC1467" s="308">
        <v>43536</v>
      </c>
      <c r="AD1467" s="309">
        <v>0.25</v>
      </c>
      <c r="AE1467" s="302" t="s">
        <v>7509</v>
      </c>
      <c r="AF1467">
        <f t="shared" si="327"/>
        <v>0</v>
      </c>
    </row>
    <row r="1468" spans="1:32" hidden="1" x14ac:dyDescent="0.25">
      <c r="A1468" s="322" t="s">
        <v>4072</v>
      </c>
      <c r="B1468" s="93" t="str">
        <f t="shared" si="329"/>
        <v>YES</v>
      </c>
      <c r="C1468" s="93" t="s">
        <v>5503</v>
      </c>
      <c r="D1468" s="4">
        <v>40983</v>
      </c>
      <c r="E1468" s="2">
        <v>41030</v>
      </c>
      <c r="F1468" s="2">
        <f t="shared" si="328"/>
        <v>44682</v>
      </c>
      <c r="G1468" s="6">
        <v>638.24</v>
      </c>
      <c r="H1468" s="7" t="s">
        <v>248</v>
      </c>
      <c r="I1468" s="7" t="s">
        <v>308</v>
      </c>
      <c r="J1468" s="109" t="s">
        <v>1613</v>
      </c>
      <c r="K1468" s="266">
        <f t="shared" si="330"/>
        <v>2022</v>
      </c>
      <c r="L1468" s="391" t="s">
        <v>5885</v>
      </c>
      <c r="M1468" s="391" t="s">
        <v>7595</v>
      </c>
      <c r="N1468" s="32" t="s">
        <v>7795</v>
      </c>
      <c r="O1468" s="32" t="s">
        <v>4074</v>
      </c>
      <c r="P1468" s="278"/>
      <c r="Q1468" s="233" t="s">
        <v>4073</v>
      </c>
      <c r="R1468" s="75">
        <v>2386.5</v>
      </c>
      <c r="S1468" s="75">
        <v>37062</v>
      </c>
      <c r="T1468" s="75">
        <v>39448.5</v>
      </c>
      <c r="U1468" s="200">
        <v>958.5</v>
      </c>
      <c r="V1468" s="287">
        <f t="shared" ca="1" si="331"/>
        <v>8</v>
      </c>
      <c r="W1468" s="75">
        <f t="shared" ca="1" si="332"/>
        <v>8626.5</v>
      </c>
      <c r="X1468" s="200">
        <f t="shared" ca="1" si="333"/>
        <v>47116.5</v>
      </c>
      <c r="Y1468" s="1"/>
      <c r="Z1468" s="31">
        <v>0.1</v>
      </c>
      <c r="AA1468" s="223">
        <v>0.09</v>
      </c>
      <c r="AB1468" s="302" t="s">
        <v>6321</v>
      </c>
      <c r="AC1468" s="308">
        <v>43536</v>
      </c>
      <c r="AD1468" s="309">
        <v>0.25</v>
      </c>
      <c r="AE1468" s="302" t="s">
        <v>7509</v>
      </c>
      <c r="AF1468">
        <f t="shared" si="327"/>
        <v>0</v>
      </c>
    </row>
    <row r="1469" spans="1:32" ht="26.25" hidden="1" x14ac:dyDescent="0.25">
      <c r="A1469" s="322" t="s">
        <v>4075</v>
      </c>
      <c r="B1469" s="93" t="str">
        <f t="shared" si="329"/>
        <v>YES</v>
      </c>
      <c r="C1469" s="93" t="s">
        <v>5503</v>
      </c>
      <c r="D1469" s="4">
        <v>40983</v>
      </c>
      <c r="E1469" s="2">
        <v>41030</v>
      </c>
      <c r="F1469" s="2">
        <f t="shared" si="328"/>
        <v>44682</v>
      </c>
      <c r="G1469" s="6">
        <v>1781.2</v>
      </c>
      <c r="H1469" s="7" t="s">
        <v>248</v>
      </c>
      <c r="I1469" s="7" t="s">
        <v>308</v>
      </c>
      <c r="J1469" s="109" t="s">
        <v>1613</v>
      </c>
      <c r="K1469" s="266">
        <f t="shared" si="330"/>
        <v>2022</v>
      </c>
      <c r="L1469" s="391" t="s">
        <v>5885</v>
      </c>
      <c r="M1469" s="391" t="s">
        <v>7595</v>
      </c>
      <c r="N1469" s="32" t="s">
        <v>7795</v>
      </c>
      <c r="O1469" s="32" t="s">
        <v>4077</v>
      </c>
      <c r="P1469" s="278"/>
      <c r="Q1469" s="233" t="s">
        <v>4076</v>
      </c>
      <c r="R1469" s="75">
        <v>6387</v>
      </c>
      <c r="S1469" s="75">
        <v>49896</v>
      </c>
      <c r="T1469" s="75">
        <v>56283</v>
      </c>
      <c r="U1469" s="200">
        <v>2673</v>
      </c>
      <c r="V1469" s="287">
        <f t="shared" ca="1" si="331"/>
        <v>8</v>
      </c>
      <c r="W1469" s="75">
        <f t="shared" ca="1" si="332"/>
        <v>24057</v>
      </c>
      <c r="X1469" s="200">
        <f t="shared" ca="1" si="333"/>
        <v>77667</v>
      </c>
      <c r="Y1469" s="1"/>
      <c r="Z1469" s="31">
        <v>0.1</v>
      </c>
      <c r="AA1469" s="223">
        <v>0.09</v>
      </c>
      <c r="AB1469" s="302" t="s">
        <v>6322</v>
      </c>
      <c r="AC1469" s="308">
        <v>43536</v>
      </c>
      <c r="AD1469" s="309">
        <v>0.25</v>
      </c>
      <c r="AE1469" s="302" t="s">
        <v>7509</v>
      </c>
      <c r="AF1469">
        <f t="shared" si="327"/>
        <v>0</v>
      </c>
    </row>
    <row r="1470" spans="1:32" hidden="1" x14ac:dyDescent="0.25">
      <c r="A1470" s="322" t="s">
        <v>4078</v>
      </c>
      <c r="B1470" s="93" t="str">
        <f t="shared" si="329"/>
        <v>YES</v>
      </c>
      <c r="C1470" s="93" t="s">
        <v>5503</v>
      </c>
      <c r="D1470" s="4">
        <v>40983</v>
      </c>
      <c r="E1470" s="2">
        <v>41030</v>
      </c>
      <c r="F1470" s="2">
        <f t="shared" si="328"/>
        <v>44682</v>
      </c>
      <c r="G1470" s="6">
        <v>200</v>
      </c>
      <c r="H1470" s="7" t="s">
        <v>4080</v>
      </c>
      <c r="I1470" s="7" t="s">
        <v>308</v>
      </c>
      <c r="J1470" s="189"/>
      <c r="K1470" s="266">
        <f t="shared" si="330"/>
        <v>2022</v>
      </c>
      <c r="L1470" s="391" t="s">
        <v>6180</v>
      </c>
      <c r="M1470" s="391" t="s">
        <v>5577</v>
      </c>
      <c r="N1470" s="32" t="s">
        <v>7799</v>
      </c>
      <c r="O1470" s="32" t="s">
        <v>4081</v>
      </c>
      <c r="P1470" s="278"/>
      <c r="Q1470" s="233" t="s">
        <v>4079</v>
      </c>
      <c r="R1470" s="75">
        <v>850</v>
      </c>
      <c r="S1470" s="75">
        <v>2400</v>
      </c>
      <c r="T1470" s="75">
        <v>3250</v>
      </c>
      <c r="U1470" s="200">
        <v>300</v>
      </c>
      <c r="V1470" s="287">
        <f t="shared" ca="1" si="331"/>
        <v>8</v>
      </c>
      <c r="W1470" s="75">
        <f t="shared" ca="1" si="332"/>
        <v>2700</v>
      </c>
      <c r="X1470" s="200">
        <f t="shared" ca="1" si="333"/>
        <v>5650</v>
      </c>
      <c r="Y1470" s="1"/>
      <c r="Z1470" s="31">
        <v>0.1</v>
      </c>
      <c r="AA1470" s="223">
        <v>0.09</v>
      </c>
      <c r="AB1470" s="302" t="s">
        <v>6349</v>
      </c>
      <c r="AC1470" s="302"/>
      <c r="AD1470" s="302"/>
      <c r="AE1470" s="302"/>
      <c r="AF1470">
        <f t="shared" si="327"/>
        <v>0</v>
      </c>
    </row>
    <row r="1471" spans="1:32" ht="26.25" hidden="1" x14ac:dyDescent="0.25">
      <c r="A1471" s="322" t="s">
        <v>4082</v>
      </c>
      <c r="B1471" s="93" t="str">
        <f t="shared" si="329"/>
        <v>YES</v>
      </c>
      <c r="C1471" s="93" t="s">
        <v>5503</v>
      </c>
      <c r="D1471" s="4">
        <v>40983</v>
      </c>
      <c r="E1471" s="2">
        <v>41030</v>
      </c>
      <c r="F1471" s="2">
        <f t="shared" si="328"/>
        <v>44682</v>
      </c>
      <c r="G1471" s="6">
        <v>1021.03</v>
      </c>
      <c r="H1471" s="7" t="s">
        <v>4084</v>
      </c>
      <c r="I1471" s="7" t="s">
        <v>308</v>
      </c>
      <c r="J1471" s="189"/>
      <c r="K1471" s="266">
        <f t="shared" si="330"/>
        <v>2022</v>
      </c>
      <c r="L1471" s="391" t="s">
        <v>5561</v>
      </c>
      <c r="M1471" s="391" t="s">
        <v>5562</v>
      </c>
      <c r="N1471" s="32" t="s">
        <v>7795</v>
      </c>
      <c r="O1471" s="32" t="s">
        <v>4042</v>
      </c>
      <c r="P1471" s="278"/>
      <c r="Q1471" s="233" t="s">
        <v>4083</v>
      </c>
      <c r="R1471" s="75">
        <v>3727</v>
      </c>
      <c r="S1471" s="75">
        <v>0</v>
      </c>
      <c r="T1471" s="75">
        <v>3727</v>
      </c>
      <c r="U1471" s="200">
        <v>1533</v>
      </c>
      <c r="V1471" s="287">
        <f t="shared" ca="1" si="331"/>
        <v>8</v>
      </c>
      <c r="W1471" s="75">
        <f t="shared" ca="1" si="332"/>
        <v>13797</v>
      </c>
      <c r="X1471" s="200">
        <f t="shared" ca="1" si="333"/>
        <v>15991</v>
      </c>
      <c r="Y1471" s="1"/>
      <c r="Z1471" s="31">
        <v>0.1</v>
      </c>
      <c r="AA1471" s="223">
        <v>0.09</v>
      </c>
      <c r="AB1471" s="302" t="s">
        <v>6293</v>
      </c>
      <c r="AC1471" s="302"/>
      <c r="AD1471" s="302"/>
      <c r="AE1471" s="302"/>
      <c r="AF1471">
        <f t="shared" si="327"/>
        <v>0</v>
      </c>
    </row>
    <row r="1472" spans="1:32" hidden="1" x14ac:dyDescent="0.25">
      <c r="A1472" s="322" t="s">
        <v>4085</v>
      </c>
      <c r="B1472" s="93" t="str">
        <f t="shared" si="329"/>
        <v>YES</v>
      </c>
      <c r="C1472" s="93" t="s">
        <v>5503</v>
      </c>
      <c r="D1472" s="4">
        <v>40983</v>
      </c>
      <c r="E1472" s="2">
        <v>41030</v>
      </c>
      <c r="F1472" s="2">
        <f t="shared" si="328"/>
        <v>44682</v>
      </c>
      <c r="G1472" s="6">
        <v>156.52000000000001</v>
      </c>
      <c r="H1472" s="7" t="s">
        <v>453</v>
      </c>
      <c r="I1472" s="7" t="s">
        <v>86</v>
      </c>
      <c r="J1472" s="189"/>
      <c r="K1472" s="266">
        <f t="shared" si="330"/>
        <v>2022</v>
      </c>
      <c r="L1472" s="417" t="s">
        <v>5514</v>
      </c>
      <c r="M1472" s="417" t="s">
        <v>7593</v>
      </c>
      <c r="N1472" s="32" t="s">
        <v>7798</v>
      </c>
      <c r="O1472" s="32" t="s">
        <v>4087</v>
      </c>
      <c r="P1472" s="278"/>
      <c r="Q1472" s="233" t="s">
        <v>4086</v>
      </c>
      <c r="R1472" s="75">
        <v>699.5</v>
      </c>
      <c r="S1472" s="75">
        <v>0</v>
      </c>
      <c r="T1472" s="75">
        <v>699.5</v>
      </c>
      <c r="U1472" s="200">
        <v>235.5</v>
      </c>
      <c r="V1472" s="287">
        <f t="shared" ca="1" si="331"/>
        <v>8</v>
      </c>
      <c r="W1472" s="75">
        <f t="shared" ca="1" si="332"/>
        <v>2119.5</v>
      </c>
      <c r="X1472" s="200">
        <f t="shared" ca="1" si="333"/>
        <v>2583.5</v>
      </c>
      <c r="Y1472" s="1"/>
      <c r="Z1472" s="31">
        <v>0.1</v>
      </c>
      <c r="AA1472" s="223">
        <v>0.09</v>
      </c>
      <c r="AB1472" s="302" t="s">
        <v>7153</v>
      </c>
      <c r="AC1472" s="302"/>
      <c r="AD1472" s="302"/>
      <c r="AE1472" s="302"/>
      <c r="AF1472">
        <f t="shared" si="327"/>
        <v>0</v>
      </c>
    </row>
    <row r="1473" spans="1:32" ht="51.75" hidden="1" x14ac:dyDescent="0.25">
      <c r="A1473" s="322" t="s">
        <v>4088</v>
      </c>
      <c r="B1473" s="93" t="str">
        <f t="shared" si="329"/>
        <v>YES</v>
      </c>
      <c r="C1473" s="93" t="s">
        <v>5503</v>
      </c>
      <c r="D1473" s="4">
        <v>40983</v>
      </c>
      <c r="E1473" s="2">
        <v>41030</v>
      </c>
      <c r="F1473" s="2">
        <f t="shared" si="328"/>
        <v>44682</v>
      </c>
      <c r="G1473" s="6">
        <v>1479.5</v>
      </c>
      <c r="H1473" s="7" t="s">
        <v>453</v>
      </c>
      <c r="I1473" s="7" t="s">
        <v>86</v>
      </c>
      <c r="J1473" s="109" t="s">
        <v>7855</v>
      </c>
      <c r="K1473" s="266">
        <f t="shared" si="330"/>
        <v>2022</v>
      </c>
      <c r="L1473" s="417" t="s">
        <v>5514</v>
      </c>
      <c r="M1473" s="417" t="s">
        <v>7593</v>
      </c>
      <c r="N1473" s="32" t="s">
        <v>7798</v>
      </c>
      <c r="O1473" s="32" t="s">
        <v>4042</v>
      </c>
      <c r="P1473" s="278"/>
      <c r="Q1473" s="233" t="s">
        <v>4089</v>
      </c>
      <c r="R1473" s="75">
        <v>5330</v>
      </c>
      <c r="S1473" s="75">
        <v>219040</v>
      </c>
      <c r="T1473" s="75">
        <v>224370</v>
      </c>
      <c r="U1473" s="200">
        <v>2220</v>
      </c>
      <c r="V1473" s="287">
        <f t="shared" ca="1" si="331"/>
        <v>8</v>
      </c>
      <c r="W1473" s="75">
        <f t="shared" ca="1" si="332"/>
        <v>19980</v>
      </c>
      <c r="X1473" s="200">
        <f t="shared" ca="1" si="333"/>
        <v>242130</v>
      </c>
      <c r="Y1473" s="1"/>
      <c r="Z1473" s="31">
        <v>0.1</v>
      </c>
      <c r="AA1473" s="223">
        <v>0.09</v>
      </c>
      <c r="AB1473" s="302" t="s">
        <v>8120</v>
      </c>
      <c r="AC1473" s="302"/>
      <c r="AD1473" s="302"/>
      <c r="AE1473" s="302"/>
      <c r="AF1473">
        <f t="shared" si="327"/>
        <v>0</v>
      </c>
    </row>
    <row r="1474" spans="1:32" ht="51.75" hidden="1" x14ac:dyDescent="0.25">
      <c r="A1474" s="322" t="s">
        <v>4090</v>
      </c>
      <c r="B1474" s="93" t="str">
        <f t="shared" si="329"/>
        <v>YES</v>
      </c>
      <c r="C1474" s="93" t="s">
        <v>5503</v>
      </c>
      <c r="D1474" s="4">
        <v>40983</v>
      </c>
      <c r="E1474" s="2">
        <v>41030</v>
      </c>
      <c r="F1474" s="2">
        <f t="shared" si="328"/>
        <v>44682</v>
      </c>
      <c r="G1474" s="6">
        <v>337.31</v>
      </c>
      <c r="H1474" s="7" t="s">
        <v>453</v>
      </c>
      <c r="I1474" s="7" t="s">
        <v>86</v>
      </c>
      <c r="J1474" s="109" t="s">
        <v>7855</v>
      </c>
      <c r="K1474" s="266">
        <f t="shared" si="330"/>
        <v>2022</v>
      </c>
      <c r="L1474" s="417" t="s">
        <v>5514</v>
      </c>
      <c r="M1474" s="417" t="s">
        <v>7593</v>
      </c>
      <c r="N1474" s="32" t="s">
        <v>7798</v>
      </c>
      <c r="O1474" s="32" t="s">
        <v>4092</v>
      </c>
      <c r="P1474" s="278"/>
      <c r="Q1474" s="233" t="s">
        <v>4091</v>
      </c>
      <c r="R1474" s="75">
        <v>1333</v>
      </c>
      <c r="S1474" s="75">
        <v>0</v>
      </c>
      <c r="T1474" s="75">
        <v>1333</v>
      </c>
      <c r="U1474" s="200">
        <v>507</v>
      </c>
      <c r="V1474" s="287">
        <f t="shared" ca="1" si="331"/>
        <v>8</v>
      </c>
      <c r="W1474" s="75">
        <f t="shared" ca="1" si="332"/>
        <v>4563</v>
      </c>
      <c r="X1474" s="200">
        <f t="shared" ca="1" si="333"/>
        <v>5389</v>
      </c>
      <c r="Y1474" s="1"/>
      <c r="Z1474" s="31">
        <v>0.1</v>
      </c>
      <c r="AA1474" s="223">
        <v>0.09</v>
      </c>
      <c r="AB1474" s="302" t="s">
        <v>8121</v>
      </c>
      <c r="AC1474" s="302"/>
      <c r="AD1474" s="302"/>
      <c r="AE1474" s="302"/>
      <c r="AF1474">
        <f t="shared" si="327"/>
        <v>0</v>
      </c>
    </row>
    <row r="1475" spans="1:32" ht="64.5" hidden="1" x14ac:dyDescent="0.25">
      <c r="A1475" s="322" t="s">
        <v>4093</v>
      </c>
      <c r="B1475" s="93" t="str">
        <f t="shared" si="329"/>
        <v>YES</v>
      </c>
      <c r="C1475" s="93" t="s">
        <v>5503</v>
      </c>
      <c r="D1475" s="4">
        <v>40983</v>
      </c>
      <c r="E1475" s="2">
        <v>41030</v>
      </c>
      <c r="F1475" s="2">
        <f t="shared" si="328"/>
        <v>44682</v>
      </c>
      <c r="G1475" s="6">
        <v>1084.79</v>
      </c>
      <c r="H1475" s="7" t="s">
        <v>453</v>
      </c>
      <c r="I1475" s="7" t="s">
        <v>86</v>
      </c>
      <c r="J1475" s="109" t="s">
        <v>7855</v>
      </c>
      <c r="K1475" s="266">
        <f t="shared" si="330"/>
        <v>2022</v>
      </c>
      <c r="L1475" s="417" t="s">
        <v>5514</v>
      </c>
      <c r="M1475" s="417" t="s">
        <v>7593</v>
      </c>
      <c r="N1475" s="32" t="s">
        <v>7798</v>
      </c>
      <c r="O1475" s="32" t="s">
        <v>4095</v>
      </c>
      <c r="P1475" s="278"/>
      <c r="Q1475" s="233" t="s">
        <v>4094</v>
      </c>
      <c r="R1475" s="75">
        <v>3947.5</v>
      </c>
      <c r="S1475" s="75">
        <v>0</v>
      </c>
      <c r="T1475" s="75">
        <v>3947.5</v>
      </c>
      <c r="U1475" s="200">
        <v>1627.5</v>
      </c>
      <c r="V1475" s="287">
        <f t="shared" ca="1" si="331"/>
        <v>8</v>
      </c>
      <c r="W1475" s="75">
        <f t="shared" ca="1" si="332"/>
        <v>14647.5</v>
      </c>
      <c r="X1475" s="200">
        <f t="shared" ca="1" si="333"/>
        <v>16967.5</v>
      </c>
      <c r="Y1475" s="1"/>
      <c r="Z1475" s="31">
        <v>0.1</v>
      </c>
      <c r="AA1475" s="223">
        <v>0.09</v>
      </c>
      <c r="AB1475" s="302" t="s">
        <v>8122</v>
      </c>
      <c r="AC1475" s="302"/>
      <c r="AD1475" s="302"/>
      <c r="AE1475" s="302"/>
      <c r="AF1475">
        <f t="shared" si="327"/>
        <v>0</v>
      </c>
    </row>
    <row r="1476" spans="1:32" ht="51.75" hidden="1" x14ac:dyDescent="0.25">
      <c r="A1476" s="322" t="s">
        <v>4096</v>
      </c>
      <c r="B1476" s="93" t="str">
        <f t="shared" si="329"/>
        <v>YES</v>
      </c>
      <c r="C1476" s="93" t="s">
        <v>5503</v>
      </c>
      <c r="D1476" s="4">
        <v>40983</v>
      </c>
      <c r="E1476" s="2">
        <v>41030</v>
      </c>
      <c r="F1476" s="2">
        <f t="shared" si="328"/>
        <v>44682</v>
      </c>
      <c r="G1476" s="6">
        <v>1478.63</v>
      </c>
      <c r="H1476" s="7" t="s">
        <v>453</v>
      </c>
      <c r="I1476" s="7" t="s">
        <v>86</v>
      </c>
      <c r="J1476" s="109" t="s">
        <v>7855</v>
      </c>
      <c r="K1476" s="266">
        <f t="shared" si="330"/>
        <v>2022</v>
      </c>
      <c r="L1476" s="417" t="s">
        <v>5514</v>
      </c>
      <c r="M1476" s="417" t="s">
        <v>7593</v>
      </c>
      <c r="N1476" s="32" t="s">
        <v>7798</v>
      </c>
      <c r="O1476" s="32" t="s">
        <v>3960</v>
      </c>
      <c r="P1476" s="278"/>
      <c r="Q1476" s="233" t="s">
        <v>4097</v>
      </c>
      <c r="R1476" s="75">
        <v>5326.5</v>
      </c>
      <c r="S1476" s="75">
        <v>2958</v>
      </c>
      <c r="T1476" s="75">
        <v>8284.5</v>
      </c>
      <c r="U1476" s="200">
        <v>2218.5</v>
      </c>
      <c r="V1476" s="287">
        <f t="shared" ca="1" si="331"/>
        <v>8</v>
      </c>
      <c r="W1476" s="75">
        <f t="shared" ca="1" si="332"/>
        <v>19966.5</v>
      </c>
      <c r="X1476" s="200">
        <f t="shared" ca="1" si="333"/>
        <v>26032.5</v>
      </c>
      <c r="Y1476" s="1"/>
      <c r="Z1476" s="31">
        <v>0.1</v>
      </c>
      <c r="AA1476" s="223">
        <v>0.09</v>
      </c>
      <c r="AB1476" s="302" t="s">
        <v>8123</v>
      </c>
      <c r="AC1476" s="302"/>
      <c r="AD1476" s="302"/>
      <c r="AE1476" s="302"/>
      <c r="AF1476">
        <f t="shared" si="327"/>
        <v>0</v>
      </c>
    </row>
    <row r="1477" spans="1:32" ht="39" hidden="1" x14ac:dyDescent="0.25">
      <c r="A1477" s="322" t="s">
        <v>4098</v>
      </c>
      <c r="B1477" s="93" t="str">
        <f t="shared" si="329"/>
        <v>YES</v>
      </c>
      <c r="C1477" s="93" t="s">
        <v>5503</v>
      </c>
      <c r="D1477" s="4">
        <v>40983</v>
      </c>
      <c r="E1477" s="2">
        <v>41030</v>
      </c>
      <c r="F1477" s="2">
        <f t="shared" si="328"/>
        <v>44682</v>
      </c>
      <c r="G1477" s="6">
        <v>1669.63</v>
      </c>
      <c r="H1477" s="7" t="s">
        <v>97</v>
      </c>
      <c r="I1477" s="7" t="s">
        <v>86</v>
      </c>
      <c r="J1477" s="189"/>
      <c r="K1477" s="266">
        <f t="shared" si="330"/>
        <v>2022</v>
      </c>
      <c r="L1477" s="417" t="s">
        <v>5834</v>
      </c>
      <c r="M1477" s="417" t="s">
        <v>7536</v>
      </c>
      <c r="N1477" s="32" t="s">
        <v>7795</v>
      </c>
      <c r="O1477" s="32" t="s">
        <v>4100</v>
      </c>
      <c r="P1477" s="278"/>
      <c r="Q1477" s="233" t="s">
        <v>4099</v>
      </c>
      <c r="R1477" s="75">
        <v>5995</v>
      </c>
      <c r="S1477" s="75">
        <v>20040</v>
      </c>
      <c r="T1477" s="75">
        <v>26035</v>
      </c>
      <c r="U1477" s="200">
        <v>2505</v>
      </c>
      <c r="V1477" s="287">
        <f t="shared" ca="1" si="331"/>
        <v>8</v>
      </c>
      <c r="W1477" s="75">
        <f t="shared" ca="1" si="332"/>
        <v>22545</v>
      </c>
      <c r="X1477" s="200">
        <f t="shared" ca="1" si="333"/>
        <v>46075</v>
      </c>
      <c r="Y1477" s="1"/>
      <c r="Z1477" s="31">
        <v>0.1</v>
      </c>
      <c r="AA1477" s="223">
        <v>0.09</v>
      </c>
      <c r="AB1477" s="302" t="s">
        <v>7154</v>
      </c>
      <c r="AC1477" s="302"/>
      <c r="AD1477" s="302"/>
      <c r="AE1477" s="302"/>
      <c r="AF1477">
        <f t="shared" si="327"/>
        <v>0</v>
      </c>
    </row>
    <row r="1478" spans="1:32" ht="51.75" hidden="1" x14ac:dyDescent="0.25">
      <c r="A1478" s="322" t="s">
        <v>4101</v>
      </c>
      <c r="B1478" s="93" t="str">
        <f t="shared" si="329"/>
        <v>YES</v>
      </c>
      <c r="C1478" s="93" t="s">
        <v>5503</v>
      </c>
      <c r="D1478" s="4">
        <v>40983</v>
      </c>
      <c r="E1478" s="2">
        <v>41030</v>
      </c>
      <c r="F1478" s="2">
        <f t="shared" si="328"/>
        <v>44682</v>
      </c>
      <c r="G1478" s="6">
        <v>1884.59</v>
      </c>
      <c r="H1478" s="7" t="s">
        <v>453</v>
      </c>
      <c r="I1478" s="7" t="s">
        <v>86</v>
      </c>
      <c r="J1478" s="109" t="s">
        <v>7855</v>
      </c>
      <c r="K1478" s="266">
        <f t="shared" si="330"/>
        <v>2022</v>
      </c>
      <c r="L1478" s="417" t="s">
        <v>5514</v>
      </c>
      <c r="M1478" s="417" t="s">
        <v>7593</v>
      </c>
      <c r="N1478" s="32" t="s">
        <v>237</v>
      </c>
      <c r="O1478" s="32" t="s">
        <v>4103</v>
      </c>
      <c r="P1478" s="278"/>
      <c r="Q1478" s="233" t="s">
        <v>4102</v>
      </c>
      <c r="R1478" s="75">
        <v>6747.5</v>
      </c>
      <c r="S1478" s="75">
        <v>26390</v>
      </c>
      <c r="T1478" s="75">
        <v>33137.5</v>
      </c>
      <c r="U1478" s="200">
        <v>2827.5</v>
      </c>
      <c r="V1478" s="287">
        <f t="shared" ca="1" si="331"/>
        <v>8</v>
      </c>
      <c r="W1478" s="75">
        <f t="shared" ca="1" si="332"/>
        <v>25447.5</v>
      </c>
      <c r="X1478" s="200">
        <f t="shared" ca="1" si="333"/>
        <v>55757.5</v>
      </c>
      <c r="Y1478" s="1"/>
      <c r="Z1478" s="31">
        <v>0.1</v>
      </c>
      <c r="AA1478" s="223">
        <v>0.09</v>
      </c>
      <c r="AB1478" s="302" t="s">
        <v>8124</v>
      </c>
      <c r="AC1478" s="302"/>
      <c r="AD1478" s="302"/>
      <c r="AE1478" s="302"/>
      <c r="AF1478">
        <f t="shared" si="327"/>
        <v>0</v>
      </c>
    </row>
    <row r="1479" spans="1:32" hidden="1" x14ac:dyDescent="0.25">
      <c r="A1479" s="322" t="s">
        <v>4104</v>
      </c>
      <c r="B1479" s="93" t="str">
        <f t="shared" si="329"/>
        <v>YES</v>
      </c>
      <c r="C1479" s="93" t="s">
        <v>5503</v>
      </c>
      <c r="D1479" s="4">
        <v>40983</v>
      </c>
      <c r="E1479" s="2">
        <v>41030</v>
      </c>
      <c r="F1479" s="2">
        <f t="shared" si="328"/>
        <v>44682</v>
      </c>
      <c r="G1479" s="6">
        <v>200.31</v>
      </c>
      <c r="H1479" s="7" t="s">
        <v>97</v>
      </c>
      <c r="I1479" s="7" t="s">
        <v>86</v>
      </c>
      <c r="J1479" s="189"/>
      <c r="K1479" s="266">
        <f t="shared" si="330"/>
        <v>2022</v>
      </c>
      <c r="L1479" s="417" t="s">
        <v>5834</v>
      </c>
      <c r="M1479" s="417" t="s">
        <v>7536</v>
      </c>
      <c r="N1479" s="32" t="s">
        <v>7797</v>
      </c>
      <c r="O1479" s="32" t="s">
        <v>4106</v>
      </c>
      <c r="P1479" s="278"/>
      <c r="Q1479" s="233" t="s">
        <v>4105</v>
      </c>
      <c r="R1479" s="75">
        <v>853.5</v>
      </c>
      <c r="S1479" s="75">
        <v>0</v>
      </c>
      <c r="T1479" s="75">
        <v>853.5</v>
      </c>
      <c r="U1479" s="200">
        <v>301.5</v>
      </c>
      <c r="V1479" s="287">
        <f t="shared" ca="1" si="331"/>
        <v>8</v>
      </c>
      <c r="W1479" s="75">
        <f t="shared" ca="1" si="332"/>
        <v>2713.5</v>
      </c>
      <c r="X1479" s="200">
        <f t="shared" ca="1" si="333"/>
        <v>3265.5</v>
      </c>
      <c r="Y1479" s="1"/>
      <c r="Z1479" s="31">
        <v>0.1</v>
      </c>
      <c r="AA1479" s="223">
        <v>0.09</v>
      </c>
      <c r="AB1479" s="302" t="s">
        <v>7155</v>
      </c>
      <c r="AC1479" s="302"/>
      <c r="AD1479" s="302"/>
      <c r="AE1479" s="302"/>
      <c r="AF1479">
        <f t="shared" si="327"/>
        <v>0</v>
      </c>
    </row>
    <row r="1480" spans="1:32" ht="26.25" hidden="1" x14ac:dyDescent="0.25">
      <c r="A1480" s="322" t="s">
        <v>4107</v>
      </c>
      <c r="B1480" s="93" t="str">
        <f t="shared" si="329"/>
        <v>YES</v>
      </c>
      <c r="C1480" s="93" t="s">
        <v>5503</v>
      </c>
      <c r="D1480" s="4">
        <v>40983</v>
      </c>
      <c r="E1480" s="2">
        <v>41030</v>
      </c>
      <c r="F1480" s="2">
        <f t="shared" si="328"/>
        <v>44682</v>
      </c>
      <c r="G1480" s="6">
        <v>1803.88</v>
      </c>
      <c r="H1480" s="7" t="s">
        <v>97</v>
      </c>
      <c r="I1480" s="7" t="s">
        <v>86</v>
      </c>
      <c r="J1480" s="189"/>
      <c r="K1480" s="266">
        <f t="shared" si="330"/>
        <v>2022</v>
      </c>
      <c r="L1480" s="417" t="s">
        <v>5834</v>
      </c>
      <c r="M1480" s="417" t="s">
        <v>7536</v>
      </c>
      <c r="N1480" s="32" t="s">
        <v>7797</v>
      </c>
      <c r="O1480" s="32" t="s">
        <v>4109</v>
      </c>
      <c r="P1480" s="278"/>
      <c r="Q1480" s="233" t="s">
        <v>4108</v>
      </c>
      <c r="R1480" s="75">
        <v>6464</v>
      </c>
      <c r="S1480" s="75">
        <v>46904</v>
      </c>
      <c r="T1480" s="75">
        <v>53368</v>
      </c>
      <c r="U1480" s="200">
        <v>2706</v>
      </c>
      <c r="V1480" s="287">
        <f t="shared" ca="1" si="331"/>
        <v>8</v>
      </c>
      <c r="W1480" s="75">
        <f t="shared" ca="1" si="332"/>
        <v>24354</v>
      </c>
      <c r="X1480" s="200">
        <f t="shared" ca="1" si="333"/>
        <v>75016</v>
      </c>
      <c r="Y1480" s="1"/>
      <c r="Z1480" s="31">
        <v>0.1</v>
      </c>
      <c r="AA1480" s="223">
        <v>0.09</v>
      </c>
      <c r="AB1480" s="302" t="s">
        <v>7156</v>
      </c>
      <c r="AC1480" s="302"/>
      <c r="AD1480" s="302"/>
      <c r="AE1480" s="302"/>
      <c r="AF1480">
        <f t="shared" si="327"/>
        <v>0</v>
      </c>
    </row>
    <row r="1481" spans="1:32" hidden="1" x14ac:dyDescent="0.25">
      <c r="A1481" s="322" t="s">
        <v>4110</v>
      </c>
      <c r="B1481" s="93" t="str">
        <f t="shared" si="329"/>
        <v>YES</v>
      </c>
      <c r="C1481" s="93" t="s">
        <v>5503</v>
      </c>
      <c r="D1481" s="4">
        <v>40983</v>
      </c>
      <c r="E1481" s="2">
        <v>41030</v>
      </c>
      <c r="F1481" s="2">
        <f t="shared" si="328"/>
        <v>44682</v>
      </c>
      <c r="G1481" s="6">
        <v>1833.65</v>
      </c>
      <c r="H1481" s="7" t="s">
        <v>97</v>
      </c>
      <c r="I1481" s="7" t="s">
        <v>86</v>
      </c>
      <c r="J1481" s="189"/>
      <c r="K1481" s="266">
        <f t="shared" si="330"/>
        <v>2022</v>
      </c>
      <c r="L1481" s="417" t="s">
        <v>5834</v>
      </c>
      <c r="M1481" s="417" t="s">
        <v>7536</v>
      </c>
      <c r="N1481" s="32" t="s">
        <v>7797</v>
      </c>
      <c r="O1481" s="32" t="s">
        <v>4112</v>
      </c>
      <c r="P1481" s="278"/>
      <c r="Q1481" s="233" t="s">
        <v>4111</v>
      </c>
      <c r="R1481" s="75">
        <v>6569</v>
      </c>
      <c r="S1481" s="75">
        <v>0</v>
      </c>
      <c r="T1481" s="75">
        <v>6569</v>
      </c>
      <c r="U1481" s="200">
        <v>2751</v>
      </c>
      <c r="V1481" s="287">
        <f t="shared" ca="1" si="331"/>
        <v>8</v>
      </c>
      <c r="W1481" s="75">
        <f t="shared" ca="1" si="332"/>
        <v>24759</v>
      </c>
      <c r="X1481" s="200">
        <f t="shared" ca="1" si="333"/>
        <v>28577</v>
      </c>
      <c r="Y1481" s="1"/>
      <c r="Z1481" s="31">
        <v>0.1</v>
      </c>
      <c r="AA1481" s="223">
        <v>0.09</v>
      </c>
      <c r="AB1481" s="302" t="s">
        <v>7157</v>
      </c>
      <c r="AC1481" s="302"/>
      <c r="AD1481" s="302"/>
      <c r="AE1481" s="302"/>
      <c r="AF1481">
        <f t="shared" si="327"/>
        <v>0</v>
      </c>
    </row>
    <row r="1482" spans="1:32" ht="51.75" hidden="1" x14ac:dyDescent="0.25">
      <c r="A1482" s="322" t="s">
        <v>4113</v>
      </c>
      <c r="B1482" s="93" t="str">
        <f t="shared" si="329"/>
        <v>YES</v>
      </c>
      <c r="C1482" s="93" t="s">
        <v>5503</v>
      </c>
      <c r="D1482" s="4">
        <v>40983</v>
      </c>
      <c r="E1482" s="2">
        <v>41030</v>
      </c>
      <c r="F1482" s="2">
        <f t="shared" si="328"/>
        <v>44682</v>
      </c>
      <c r="G1482" s="6">
        <v>1829.75</v>
      </c>
      <c r="H1482" s="7" t="s">
        <v>453</v>
      </c>
      <c r="I1482" s="7" t="s">
        <v>86</v>
      </c>
      <c r="J1482" s="109" t="s">
        <v>7855</v>
      </c>
      <c r="K1482" s="266">
        <f t="shared" si="330"/>
        <v>2022</v>
      </c>
      <c r="L1482" s="417" t="s">
        <v>5514</v>
      </c>
      <c r="M1482" s="417" t="s">
        <v>7593</v>
      </c>
      <c r="N1482" s="32" t="s">
        <v>237</v>
      </c>
      <c r="O1482" s="32" t="s">
        <v>4042</v>
      </c>
      <c r="P1482" s="278"/>
      <c r="Q1482" s="233" t="s">
        <v>4114</v>
      </c>
      <c r="R1482" s="75">
        <v>6555</v>
      </c>
      <c r="S1482" s="75">
        <v>25620</v>
      </c>
      <c r="T1482" s="75">
        <v>32175</v>
      </c>
      <c r="U1482" s="200">
        <v>2745</v>
      </c>
      <c r="V1482" s="287">
        <f t="shared" ca="1" si="331"/>
        <v>8</v>
      </c>
      <c r="W1482" s="75">
        <f t="shared" ca="1" si="332"/>
        <v>24705</v>
      </c>
      <c r="X1482" s="200">
        <f t="shared" ca="1" si="333"/>
        <v>54135</v>
      </c>
      <c r="Y1482" s="1"/>
      <c r="Z1482" s="31">
        <v>0.1</v>
      </c>
      <c r="AA1482" s="223">
        <v>0.09</v>
      </c>
      <c r="AB1482" s="302" t="s">
        <v>8125</v>
      </c>
      <c r="AC1482" s="302"/>
      <c r="AD1482" s="302"/>
      <c r="AE1482" s="302"/>
      <c r="AF1482">
        <f t="shared" si="327"/>
        <v>0</v>
      </c>
    </row>
    <row r="1483" spans="1:32" hidden="1" x14ac:dyDescent="0.25">
      <c r="A1483" s="322" t="s">
        <v>4115</v>
      </c>
      <c r="B1483" s="93" t="str">
        <f t="shared" si="329"/>
        <v>YES</v>
      </c>
      <c r="C1483" s="93" t="s">
        <v>5503</v>
      </c>
      <c r="D1483" s="4">
        <v>40983</v>
      </c>
      <c r="E1483" s="2">
        <v>41030</v>
      </c>
      <c r="F1483" s="2">
        <f t="shared" si="328"/>
        <v>44682</v>
      </c>
      <c r="G1483" s="6">
        <v>80</v>
      </c>
      <c r="H1483" s="7" t="s">
        <v>453</v>
      </c>
      <c r="I1483" s="7" t="s">
        <v>86</v>
      </c>
      <c r="J1483" s="189"/>
      <c r="K1483" s="266">
        <f t="shared" si="330"/>
        <v>2022</v>
      </c>
      <c r="L1483" s="417" t="s">
        <v>7529</v>
      </c>
      <c r="M1483" s="417" t="s">
        <v>7593</v>
      </c>
      <c r="N1483" s="32" t="s">
        <v>237</v>
      </c>
      <c r="O1483" s="32" t="s">
        <v>4117</v>
      </c>
      <c r="P1483" s="278"/>
      <c r="Q1483" s="233" t="s">
        <v>4116</v>
      </c>
      <c r="R1483" s="75">
        <v>430</v>
      </c>
      <c r="S1483" s="75">
        <v>49840</v>
      </c>
      <c r="T1483" s="75">
        <v>50270</v>
      </c>
      <c r="U1483" s="200">
        <v>120</v>
      </c>
      <c r="V1483" s="287">
        <f t="shared" ca="1" si="331"/>
        <v>8</v>
      </c>
      <c r="W1483" s="75">
        <f t="shared" ca="1" si="332"/>
        <v>1080</v>
      </c>
      <c r="X1483" s="200">
        <f t="shared" ca="1" si="333"/>
        <v>51230</v>
      </c>
      <c r="Y1483" s="1"/>
      <c r="Z1483" s="31">
        <v>0.1</v>
      </c>
      <c r="AA1483" s="223">
        <v>0.09</v>
      </c>
      <c r="AB1483" s="302" t="s">
        <v>7158</v>
      </c>
      <c r="AC1483" s="302"/>
      <c r="AD1483" s="302"/>
      <c r="AE1483" s="302"/>
      <c r="AF1483">
        <f t="shared" si="327"/>
        <v>0</v>
      </c>
    </row>
    <row r="1484" spans="1:32" ht="26.25" hidden="1" x14ac:dyDescent="0.25">
      <c r="A1484" s="322" t="s">
        <v>4118</v>
      </c>
      <c r="B1484" s="93" t="str">
        <f t="shared" si="329"/>
        <v>YES</v>
      </c>
      <c r="C1484" s="93" t="s">
        <v>5503</v>
      </c>
      <c r="D1484" s="4">
        <v>40983</v>
      </c>
      <c r="E1484" s="2">
        <v>41030</v>
      </c>
      <c r="F1484" s="2">
        <f t="shared" si="328"/>
        <v>44682</v>
      </c>
      <c r="G1484" s="6">
        <v>2107.7800000000002</v>
      </c>
      <c r="H1484" s="7" t="s">
        <v>97</v>
      </c>
      <c r="I1484" s="7" t="s">
        <v>86</v>
      </c>
      <c r="J1484" s="189"/>
      <c r="K1484" s="266">
        <f t="shared" si="330"/>
        <v>2022</v>
      </c>
      <c r="L1484" s="417" t="s">
        <v>5834</v>
      </c>
      <c r="M1484" s="417" t="s">
        <v>7536</v>
      </c>
      <c r="N1484" s="32" t="s">
        <v>7795</v>
      </c>
      <c r="O1484" s="32" t="s">
        <v>4120</v>
      </c>
      <c r="P1484" s="278"/>
      <c r="Q1484" s="233" t="s">
        <v>4119</v>
      </c>
      <c r="R1484" s="75">
        <v>7528</v>
      </c>
      <c r="S1484" s="75">
        <v>0</v>
      </c>
      <c r="T1484" s="75">
        <v>7528</v>
      </c>
      <c r="U1484" s="200">
        <v>3162</v>
      </c>
      <c r="V1484" s="287">
        <f t="shared" ca="1" si="331"/>
        <v>8</v>
      </c>
      <c r="W1484" s="75">
        <f t="shared" ca="1" si="332"/>
        <v>28458</v>
      </c>
      <c r="X1484" s="200">
        <f t="shared" ca="1" si="333"/>
        <v>32824</v>
      </c>
      <c r="Y1484" s="1"/>
      <c r="Z1484" s="31">
        <v>0.1</v>
      </c>
      <c r="AA1484" s="223">
        <v>0.09</v>
      </c>
      <c r="AB1484" s="302" t="s">
        <v>7159</v>
      </c>
      <c r="AC1484" s="302"/>
      <c r="AD1484" s="302"/>
      <c r="AE1484" s="302"/>
      <c r="AF1484">
        <f t="shared" si="327"/>
        <v>0</v>
      </c>
    </row>
    <row r="1485" spans="1:32" ht="39" hidden="1" customHeight="1" x14ac:dyDescent="0.25">
      <c r="A1485" s="322" t="s">
        <v>4121</v>
      </c>
      <c r="B1485" s="93" t="str">
        <f t="shared" si="329"/>
        <v>YES</v>
      </c>
      <c r="C1485" s="93" t="s">
        <v>5503</v>
      </c>
      <c r="D1485" s="4">
        <v>40983</v>
      </c>
      <c r="E1485" s="2">
        <v>41030</v>
      </c>
      <c r="F1485" s="2">
        <f t="shared" si="328"/>
        <v>44682</v>
      </c>
      <c r="G1485" s="6">
        <v>1925.7</v>
      </c>
      <c r="H1485" s="7" t="s">
        <v>97</v>
      </c>
      <c r="I1485" s="7" t="s">
        <v>86</v>
      </c>
      <c r="J1485" s="189"/>
      <c r="K1485" s="266">
        <f t="shared" si="330"/>
        <v>2022</v>
      </c>
      <c r="L1485" s="417" t="s">
        <v>5834</v>
      </c>
      <c r="M1485" s="417" t="s">
        <v>7536</v>
      </c>
      <c r="N1485" s="32" t="s">
        <v>7795</v>
      </c>
      <c r="O1485" s="32" t="s">
        <v>4123</v>
      </c>
      <c r="P1485" s="278"/>
      <c r="Q1485" s="233" t="s">
        <v>4122</v>
      </c>
      <c r="R1485" s="75">
        <v>6891</v>
      </c>
      <c r="S1485" s="75">
        <v>11556</v>
      </c>
      <c r="T1485" s="75">
        <v>18447</v>
      </c>
      <c r="U1485" s="200">
        <v>2889</v>
      </c>
      <c r="V1485" s="287">
        <f t="shared" ca="1" si="331"/>
        <v>8</v>
      </c>
      <c r="W1485" s="75">
        <f t="shared" ca="1" si="332"/>
        <v>26001</v>
      </c>
      <c r="X1485" s="200">
        <f t="shared" ca="1" si="333"/>
        <v>41559</v>
      </c>
      <c r="Y1485" s="1"/>
      <c r="Z1485" s="31">
        <v>0.1</v>
      </c>
      <c r="AA1485" s="223">
        <v>0.09</v>
      </c>
      <c r="AB1485" s="302" t="s">
        <v>7160</v>
      </c>
      <c r="AC1485" s="302"/>
      <c r="AD1485" s="302"/>
      <c r="AE1485" s="302"/>
      <c r="AF1485">
        <f t="shared" si="327"/>
        <v>0</v>
      </c>
    </row>
    <row r="1486" spans="1:32" hidden="1" x14ac:dyDescent="0.25">
      <c r="A1486" s="322" t="s">
        <v>4124</v>
      </c>
      <c r="B1486" s="93" t="str">
        <f t="shared" si="329"/>
        <v>YES</v>
      </c>
      <c r="C1486" s="93" t="s">
        <v>5503</v>
      </c>
      <c r="D1486" s="4">
        <v>40983</v>
      </c>
      <c r="E1486" s="2">
        <v>41030</v>
      </c>
      <c r="F1486" s="2">
        <f t="shared" si="328"/>
        <v>44682</v>
      </c>
      <c r="G1486" s="6">
        <v>39.81</v>
      </c>
      <c r="H1486" s="7" t="s">
        <v>97</v>
      </c>
      <c r="I1486" s="7" t="s">
        <v>86</v>
      </c>
      <c r="J1486" s="189"/>
      <c r="K1486" s="266">
        <f t="shared" si="330"/>
        <v>2022</v>
      </c>
      <c r="L1486" s="417" t="s">
        <v>5834</v>
      </c>
      <c r="M1486" s="417" t="s">
        <v>7536</v>
      </c>
      <c r="N1486" s="32" t="s">
        <v>7795</v>
      </c>
      <c r="O1486" s="32" t="s">
        <v>4126</v>
      </c>
      <c r="P1486" s="278"/>
      <c r="Q1486" s="233" t="s">
        <v>4125</v>
      </c>
      <c r="R1486" s="75">
        <v>290</v>
      </c>
      <c r="S1486" s="75">
        <v>0</v>
      </c>
      <c r="T1486" s="75">
        <v>290</v>
      </c>
      <c r="U1486" s="200">
        <v>60</v>
      </c>
      <c r="V1486" s="287">
        <f t="shared" ca="1" si="331"/>
        <v>8</v>
      </c>
      <c r="W1486" s="75">
        <f t="shared" ca="1" si="332"/>
        <v>540</v>
      </c>
      <c r="X1486" s="200">
        <f t="shared" ca="1" si="333"/>
        <v>770</v>
      </c>
      <c r="Y1486" s="1"/>
      <c r="Z1486" s="31">
        <v>0.1</v>
      </c>
      <c r="AA1486" s="223">
        <v>0.09</v>
      </c>
      <c r="AB1486" s="302" t="s">
        <v>7161</v>
      </c>
      <c r="AC1486" s="302"/>
      <c r="AD1486" s="302"/>
      <c r="AE1486" s="302"/>
      <c r="AF1486">
        <f t="shared" si="327"/>
        <v>0</v>
      </c>
    </row>
    <row r="1487" spans="1:32" ht="77.25" hidden="1" x14ac:dyDescent="0.25">
      <c r="A1487" s="322" t="s">
        <v>4127</v>
      </c>
      <c r="B1487" s="93" t="str">
        <f t="shared" si="329"/>
        <v>YES</v>
      </c>
      <c r="C1487" s="93" t="s">
        <v>5503</v>
      </c>
      <c r="D1487" s="4">
        <v>40983</v>
      </c>
      <c r="E1487" s="2">
        <v>41030</v>
      </c>
      <c r="F1487" s="2">
        <f t="shared" si="328"/>
        <v>44682</v>
      </c>
      <c r="G1487" s="6">
        <v>40</v>
      </c>
      <c r="H1487" s="7" t="s">
        <v>684</v>
      </c>
      <c r="I1487" s="7" t="s">
        <v>86</v>
      </c>
      <c r="J1487" s="189"/>
      <c r="K1487" s="266">
        <f t="shared" si="330"/>
        <v>2022</v>
      </c>
      <c r="L1487" s="417" t="s">
        <v>5519</v>
      </c>
      <c r="M1487" s="417" t="s">
        <v>5573</v>
      </c>
      <c r="N1487" s="32" t="s">
        <v>7796</v>
      </c>
      <c r="O1487" s="32" t="s">
        <v>4129</v>
      </c>
      <c r="P1487" s="278"/>
      <c r="Q1487" s="233" t="s">
        <v>4128</v>
      </c>
      <c r="R1487" s="75">
        <v>290</v>
      </c>
      <c r="S1487" s="75">
        <v>0</v>
      </c>
      <c r="T1487" s="75">
        <v>290</v>
      </c>
      <c r="U1487" s="200">
        <v>60</v>
      </c>
      <c r="V1487" s="287">
        <f t="shared" ca="1" si="331"/>
        <v>8</v>
      </c>
      <c r="W1487" s="75">
        <f t="shared" ca="1" si="332"/>
        <v>540</v>
      </c>
      <c r="X1487" s="200">
        <f t="shared" ca="1" si="333"/>
        <v>770</v>
      </c>
      <c r="Y1487" s="1"/>
      <c r="Z1487" s="31">
        <v>0.1</v>
      </c>
      <c r="AA1487" s="223">
        <v>0.09</v>
      </c>
      <c r="AB1487" s="302" t="s">
        <v>7162</v>
      </c>
      <c r="AC1487" s="302"/>
      <c r="AD1487" s="302"/>
      <c r="AE1487" s="302"/>
      <c r="AF1487">
        <f t="shared" si="327"/>
        <v>0</v>
      </c>
    </row>
    <row r="1488" spans="1:32" ht="102.75" hidden="1" x14ac:dyDescent="0.25">
      <c r="A1488" s="322" t="s">
        <v>4130</v>
      </c>
      <c r="B1488" s="93" t="str">
        <f t="shared" ref="B1488:B1511" si="334">IF(COUNTIF(GIS,A1488),"YES","NO")</f>
        <v>YES</v>
      </c>
      <c r="C1488" s="93" t="s">
        <v>5503</v>
      </c>
      <c r="D1488" s="4">
        <v>40983</v>
      </c>
      <c r="E1488" s="2">
        <v>41030</v>
      </c>
      <c r="F1488" s="2">
        <f t="shared" si="328"/>
        <v>44682</v>
      </c>
      <c r="G1488" s="6">
        <v>1998.92</v>
      </c>
      <c r="H1488" s="7" t="s">
        <v>97</v>
      </c>
      <c r="I1488" s="7" t="s">
        <v>86</v>
      </c>
      <c r="J1488" s="189"/>
      <c r="K1488" s="266">
        <f t="shared" ref="K1488:K1511" si="335">YEAR(F1488)</f>
        <v>2022</v>
      </c>
      <c r="L1488" s="417" t="s">
        <v>5834</v>
      </c>
      <c r="M1488" s="417" t="s">
        <v>7536</v>
      </c>
      <c r="N1488" s="32" t="s">
        <v>7797</v>
      </c>
      <c r="O1488" s="32" t="s">
        <v>4132</v>
      </c>
      <c r="P1488" s="278"/>
      <c r="Q1488" s="233" t="s">
        <v>4131</v>
      </c>
      <c r="R1488" s="75">
        <v>7146.5</v>
      </c>
      <c r="S1488" s="75">
        <v>11994</v>
      </c>
      <c r="T1488" s="75">
        <v>19140.5</v>
      </c>
      <c r="U1488" s="200">
        <v>2998.5</v>
      </c>
      <c r="V1488" s="287">
        <f t="shared" ref="V1488:V1511" ca="1" si="336">IF(YEAR($W$3)-YEAR(E1488)&gt;9,10,IF(MONTH($W$3)&lt;MONTH(E1488),YEAR($W$3)-YEAR(E1488),YEAR($W$3)-YEAR(E1488)+1))</f>
        <v>8</v>
      </c>
      <c r="W1488" s="75">
        <f t="shared" ref="W1488:W1511" ca="1" si="337">IF(V1488&lt;6, ROUNDUP(G1488,0)*$W$6*V1488, ROUNDUP(G1488,0)*($W$6*5 + (V1488-5)*$W$7))</f>
        <v>26986.5</v>
      </c>
      <c r="X1488" s="200">
        <f t="shared" ca="1" si="333"/>
        <v>43128.5</v>
      </c>
      <c r="Y1488" s="1"/>
      <c r="Z1488" s="31">
        <v>0.1</v>
      </c>
      <c r="AA1488" s="223">
        <v>0.09</v>
      </c>
      <c r="AB1488" s="302" t="s">
        <v>7163</v>
      </c>
      <c r="AC1488" s="302"/>
      <c r="AD1488" s="302"/>
      <c r="AE1488" s="302"/>
      <c r="AF1488">
        <f t="shared" si="327"/>
        <v>0</v>
      </c>
    </row>
    <row r="1489" spans="1:32" ht="64.5" hidden="1" x14ac:dyDescent="0.25">
      <c r="A1489" s="322" t="s">
        <v>4133</v>
      </c>
      <c r="B1489" s="93" t="str">
        <f t="shared" si="334"/>
        <v>YES</v>
      </c>
      <c r="C1489" s="93" t="s">
        <v>5503</v>
      </c>
      <c r="D1489" s="4">
        <v>40983</v>
      </c>
      <c r="E1489" s="2">
        <v>41030</v>
      </c>
      <c r="F1489" s="2">
        <f t="shared" si="328"/>
        <v>44682</v>
      </c>
      <c r="G1489" s="6">
        <v>151.75</v>
      </c>
      <c r="H1489" s="7" t="s">
        <v>287</v>
      </c>
      <c r="I1489" s="7" t="s">
        <v>86</v>
      </c>
      <c r="J1489" s="189"/>
      <c r="K1489" s="266">
        <f t="shared" si="335"/>
        <v>2022</v>
      </c>
      <c r="L1489" s="417" t="s">
        <v>5514</v>
      </c>
      <c r="M1489" s="417" t="s">
        <v>7589</v>
      </c>
      <c r="N1489" s="32" t="s">
        <v>7796</v>
      </c>
      <c r="O1489" s="32" t="s">
        <v>4135</v>
      </c>
      <c r="P1489" s="278"/>
      <c r="Q1489" s="233" t="s">
        <v>4134</v>
      </c>
      <c r="R1489" s="75">
        <v>682</v>
      </c>
      <c r="S1489" s="75">
        <v>17176</v>
      </c>
      <c r="T1489" s="75">
        <v>17858</v>
      </c>
      <c r="U1489" s="200">
        <v>228</v>
      </c>
      <c r="V1489" s="287">
        <f t="shared" ca="1" si="336"/>
        <v>8</v>
      </c>
      <c r="W1489" s="75">
        <f t="shared" ca="1" si="337"/>
        <v>2052</v>
      </c>
      <c r="X1489" s="200">
        <f t="shared" ca="1" si="333"/>
        <v>19682</v>
      </c>
      <c r="Y1489" s="1"/>
      <c r="Z1489" s="31">
        <v>0.1</v>
      </c>
      <c r="AA1489" s="223">
        <v>0.09</v>
      </c>
      <c r="AB1489" s="302" t="s">
        <v>7164</v>
      </c>
      <c r="AC1489" s="302"/>
      <c r="AD1489" s="302"/>
      <c r="AE1489" s="302"/>
      <c r="AF1489">
        <f t="shared" si="327"/>
        <v>0</v>
      </c>
    </row>
    <row r="1490" spans="1:32" hidden="1" x14ac:dyDescent="0.25">
      <c r="A1490" s="322" t="s">
        <v>4136</v>
      </c>
      <c r="B1490" s="93" t="str">
        <f t="shared" si="334"/>
        <v>YES</v>
      </c>
      <c r="C1490" s="93" t="s">
        <v>5503</v>
      </c>
      <c r="D1490" s="4">
        <v>40983</v>
      </c>
      <c r="E1490" s="2">
        <v>41030</v>
      </c>
      <c r="F1490" s="2">
        <f t="shared" si="328"/>
        <v>44682</v>
      </c>
      <c r="G1490" s="6">
        <v>482.28</v>
      </c>
      <c r="H1490" s="7" t="s">
        <v>287</v>
      </c>
      <c r="I1490" s="7" t="s">
        <v>86</v>
      </c>
      <c r="J1490" s="189"/>
      <c r="K1490" s="266">
        <f t="shared" si="335"/>
        <v>2022</v>
      </c>
      <c r="L1490" s="417" t="s">
        <v>5514</v>
      </c>
      <c r="M1490" s="417" t="s">
        <v>7589</v>
      </c>
      <c r="N1490" s="32" t="s">
        <v>7796</v>
      </c>
      <c r="O1490" s="32" t="s">
        <v>4138</v>
      </c>
      <c r="P1490" s="278"/>
      <c r="Q1490" s="233" t="s">
        <v>4137</v>
      </c>
      <c r="R1490" s="75">
        <v>1840.5</v>
      </c>
      <c r="S1490" s="75">
        <v>30429</v>
      </c>
      <c r="T1490" s="75">
        <v>32269.5</v>
      </c>
      <c r="U1490" s="200">
        <v>724.5</v>
      </c>
      <c r="V1490" s="287">
        <f t="shared" ca="1" si="336"/>
        <v>8</v>
      </c>
      <c r="W1490" s="75">
        <f t="shared" ca="1" si="337"/>
        <v>6520.5</v>
      </c>
      <c r="X1490" s="200">
        <f t="shared" ca="1" si="333"/>
        <v>38065.5</v>
      </c>
      <c r="Y1490" s="1"/>
      <c r="Z1490" s="31">
        <v>0.1</v>
      </c>
      <c r="AA1490" s="223">
        <v>0.09</v>
      </c>
      <c r="AB1490" s="302" t="s">
        <v>7165</v>
      </c>
      <c r="AC1490" s="302"/>
      <c r="AD1490" s="302"/>
      <c r="AE1490" s="302"/>
      <c r="AF1490">
        <f t="shared" si="327"/>
        <v>0</v>
      </c>
    </row>
    <row r="1491" spans="1:32" ht="77.25" hidden="1" customHeight="1" x14ac:dyDescent="0.25">
      <c r="A1491" s="322" t="s">
        <v>4139</v>
      </c>
      <c r="B1491" s="93" t="str">
        <f t="shared" si="334"/>
        <v>YES</v>
      </c>
      <c r="C1491" s="93" t="s">
        <v>5503</v>
      </c>
      <c r="D1491" s="4">
        <v>40983</v>
      </c>
      <c r="E1491" s="2">
        <v>41030</v>
      </c>
      <c r="F1491" s="2">
        <f t="shared" si="328"/>
        <v>44682</v>
      </c>
      <c r="G1491" s="6">
        <v>1986.42</v>
      </c>
      <c r="H1491" s="7" t="s">
        <v>4141</v>
      </c>
      <c r="I1491" s="7" t="s">
        <v>79</v>
      </c>
      <c r="J1491" s="189"/>
      <c r="K1491" s="266">
        <f t="shared" si="335"/>
        <v>2022</v>
      </c>
      <c r="L1491" s="391" t="s">
        <v>5514</v>
      </c>
      <c r="M1491" s="391" t="s">
        <v>5809</v>
      </c>
      <c r="N1491" s="32" t="s">
        <v>7794</v>
      </c>
      <c r="O1491" s="32" t="s">
        <v>4142</v>
      </c>
      <c r="P1491" s="278"/>
      <c r="Q1491" s="233" t="s">
        <v>4140</v>
      </c>
      <c r="R1491" s="75">
        <v>7104.5</v>
      </c>
      <c r="S1491" s="75">
        <v>19870</v>
      </c>
      <c r="T1491" s="75">
        <v>26974.5</v>
      </c>
      <c r="U1491" s="200">
        <v>2980.5</v>
      </c>
      <c r="V1491" s="287">
        <f t="shared" ca="1" si="336"/>
        <v>8</v>
      </c>
      <c r="W1491" s="75">
        <f t="shared" ca="1" si="337"/>
        <v>26824.5</v>
      </c>
      <c r="X1491" s="200">
        <f t="shared" ca="1" si="333"/>
        <v>50818.5</v>
      </c>
      <c r="Y1491" s="1"/>
      <c r="Z1491" s="31">
        <v>0.1</v>
      </c>
      <c r="AA1491" s="223">
        <v>0.09</v>
      </c>
      <c r="AB1491" s="302" t="s">
        <v>7166</v>
      </c>
      <c r="AC1491" s="302"/>
      <c r="AD1491" s="302"/>
      <c r="AE1491" s="302"/>
      <c r="AF1491">
        <f t="shared" si="327"/>
        <v>0</v>
      </c>
    </row>
    <row r="1492" spans="1:32" ht="64.5" hidden="1" customHeight="1" x14ac:dyDescent="0.25">
      <c r="A1492" s="322" t="s">
        <v>4143</v>
      </c>
      <c r="B1492" s="93" t="str">
        <f t="shared" si="334"/>
        <v>YES</v>
      </c>
      <c r="C1492" s="93" t="s">
        <v>5503</v>
      </c>
      <c r="D1492" s="4">
        <v>40983</v>
      </c>
      <c r="E1492" s="2">
        <v>41030</v>
      </c>
      <c r="F1492" s="2">
        <f t="shared" si="328"/>
        <v>44682</v>
      </c>
      <c r="G1492" s="6">
        <v>2071.2600000000002</v>
      </c>
      <c r="H1492" s="7" t="s">
        <v>4141</v>
      </c>
      <c r="I1492" s="7" t="s">
        <v>79</v>
      </c>
      <c r="J1492" s="189"/>
      <c r="K1492" s="266">
        <f t="shared" si="335"/>
        <v>2022</v>
      </c>
      <c r="L1492" s="391" t="s">
        <v>5514</v>
      </c>
      <c r="M1492" s="391" t="s">
        <v>6016</v>
      </c>
      <c r="N1492" s="32" t="s">
        <v>7794</v>
      </c>
      <c r="O1492" s="32" t="s">
        <v>4145</v>
      </c>
      <c r="P1492" s="278"/>
      <c r="Q1492" s="233" t="s">
        <v>4144</v>
      </c>
      <c r="R1492" s="75">
        <v>7402</v>
      </c>
      <c r="S1492" s="75">
        <v>20720</v>
      </c>
      <c r="T1492" s="75">
        <v>28122</v>
      </c>
      <c r="U1492" s="200">
        <v>3108</v>
      </c>
      <c r="V1492" s="287">
        <f t="shared" ca="1" si="336"/>
        <v>8</v>
      </c>
      <c r="W1492" s="75">
        <f t="shared" ca="1" si="337"/>
        <v>27972</v>
      </c>
      <c r="X1492" s="200">
        <f t="shared" ca="1" si="333"/>
        <v>52986</v>
      </c>
      <c r="Y1492" s="1"/>
      <c r="Z1492" s="31">
        <v>0.1</v>
      </c>
      <c r="AA1492" s="223">
        <v>0.09</v>
      </c>
      <c r="AB1492" s="302" t="s">
        <v>7167</v>
      </c>
      <c r="AC1492" s="302"/>
      <c r="AD1492" s="302"/>
      <c r="AE1492" s="302"/>
      <c r="AF1492">
        <f t="shared" si="327"/>
        <v>0</v>
      </c>
    </row>
    <row r="1493" spans="1:32" hidden="1" x14ac:dyDescent="0.25">
      <c r="A1493" s="322" t="s">
        <v>4146</v>
      </c>
      <c r="B1493" s="93" t="str">
        <f t="shared" si="334"/>
        <v>YES</v>
      </c>
      <c r="C1493" s="93" t="s">
        <v>5503</v>
      </c>
      <c r="D1493" s="4">
        <v>40983</v>
      </c>
      <c r="E1493" s="2">
        <v>41030</v>
      </c>
      <c r="F1493" s="2">
        <f t="shared" si="328"/>
        <v>44682</v>
      </c>
      <c r="G1493" s="6">
        <v>37.15</v>
      </c>
      <c r="H1493" s="7" t="s">
        <v>4141</v>
      </c>
      <c r="I1493" s="7" t="s">
        <v>79</v>
      </c>
      <c r="J1493" s="189"/>
      <c r="K1493" s="266">
        <f t="shared" si="335"/>
        <v>2022</v>
      </c>
      <c r="L1493" s="391" t="s">
        <v>5514</v>
      </c>
      <c r="M1493" s="391" t="s">
        <v>6016</v>
      </c>
      <c r="N1493" s="32" t="s">
        <v>7794</v>
      </c>
      <c r="O1493" s="32" t="s">
        <v>4148</v>
      </c>
      <c r="P1493" s="278"/>
      <c r="Q1493" s="233" t="s">
        <v>4147</v>
      </c>
      <c r="R1493" s="75">
        <v>283</v>
      </c>
      <c r="S1493" s="75">
        <v>380</v>
      </c>
      <c r="T1493" s="75">
        <v>663</v>
      </c>
      <c r="U1493" s="200">
        <v>57</v>
      </c>
      <c r="V1493" s="287">
        <f t="shared" ca="1" si="336"/>
        <v>8</v>
      </c>
      <c r="W1493" s="75">
        <f t="shared" ca="1" si="337"/>
        <v>513</v>
      </c>
      <c r="X1493" s="200">
        <f t="shared" ca="1" si="333"/>
        <v>1119</v>
      </c>
      <c r="Y1493" s="1"/>
      <c r="Z1493" s="31">
        <v>0.1</v>
      </c>
      <c r="AA1493" s="223">
        <v>0.09</v>
      </c>
      <c r="AB1493" s="302" t="s">
        <v>7168</v>
      </c>
      <c r="AC1493" s="302"/>
      <c r="AD1493" s="302"/>
      <c r="AE1493" s="302"/>
      <c r="AF1493">
        <f t="shared" si="327"/>
        <v>0</v>
      </c>
    </row>
    <row r="1494" spans="1:32" ht="26.25" hidden="1" x14ac:dyDescent="0.25">
      <c r="A1494" s="322" t="s">
        <v>4149</v>
      </c>
      <c r="B1494" s="93" t="str">
        <f t="shared" si="334"/>
        <v>YES</v>
      </c>
      <c r="C1494" s="93" t="s">
        <v>5503</v>
      </c>
      <c r="D1494" s="4">
        <v>40983</v>
      </c>
      <c r="E1494" s="2">
        <v>41030</v>
      </c>
      <c r="F1494" s="2">
        <f t="shared" si="328"/>
        <v>44682</v>
      </c>
      <c r="G1494" s="6">
        <v>1707.98</v>
      </c>
      <c r="H1494" s="7" t="s">
        <v>4141</v>
      </c>
      <c r="I1494" s="7" t="s">
        <v>79</v>
      </c>
      <c r="J1494" s="189"/>
      <c r="K1494" s="266">
        <f t="shared" si="335"/>
        <v>2022</v>
      </c>
      <c r="L1494" s="391" t="s">
        <v>5514</v>
      </c>
      <c r="M1494" s="391" t="s">
        <v>6016</v>
      </c>
      <c r="N1494" s="32" t="s">
        <v>7794</v>
      </c>
      <c r="O1494" s="32" t="s">
        <v>4042</v>
      </c>
      <c r="P1494" s="278"/>
      <c r="Q1494" s="233" t="s">
        <v>4150</v>
      </c>
      <c r="R1494" s="75">
        <v>6128</v>
      </c>
      <c r="S1494" s="75">
        <v>17080</v>
      </c>
      <c r="T1494" s="75">
        <v>23208</v>
      </c>
      <c r="U1494" s="200">
        <v>2562</v>
      </c>
      <c r="V1494" s="287">
        <f t="shared" ca="1" si="336"/>
        <v>8</v>
      </c>
      <c r="W1494" s="75">
        <f t="shared" ca="1" si="337"/>
        <v>23058</v>
      </c>
      <c r="X1494" s="200">
        <f t="shared" ca="1" si="333"/>
        <v>43704</v>
      </c>
      <c r="Y1494" s="1"/>
      <c r="Z1494" s="31">
        <v>0.1</v>
      </c>
      <c r="AA1494" s="223">
        <v>0.09</v>
      </c>
      <c r="AB1494" s="302" t="s">
        <v>7169</v>
      </c>
      <c r="AC1494" s="302"/>
      <c r="AD1494" s="302"/>
      <c r="AE1494" s="302"/>
      <c r="AF1494">
        <f t="shared" si="327"/>
        <v>0</v>
      </c>
    </row>
    <row r="1495" spans="1:32" ht="39" hidden="1" customHeight="1" x14ac:dyDescent="0.25">
      <c r="A1495" s="322" t="s">
        <v>4151</v>
      </c>
      <c r="B1495" s="93" t="str">
        <f t="shared" si="334"/>
        <v>YES</v>
      </c>
      <c r="C1495" s="93" t="s">
        <v>5503</v>
      </c>
      <c r="D1495" s="4">
        <v>40983</v>
      </c>
      <c r="E1495" s="2">
        <v>41030</v>
      </c>
      <c r="F1495" s="2">
        <f t="shared" si="328"/>
        <v>44682</v>
      </c>
      <c r="G1495" s="6">
        <v>859.16</v>
      </c>
      <c r="H1495" s="7" t="s">
        <v>1512</v>
      </c>
      <c r="I1495" s="7" t="s">
        <v>79</v>
      </c>
      <c r="J1495" s="189"/>
      <c r="K1495" s="266">
        <f t="shared" si="335"/>
        <v>2022</v>
      </c>
      <c r="L1495" s="391" t="s">
        <v>7601</v>
      </c>
      <c r="M1495" s="391" t="s">
        <v>5508</v>
      </c>
      <c r="N1495" s="32" t="s">
        <v>7794</v>
      </c>
      <c r="O1495" s="32" t="s">
        <v>4153</v>
      </c>
      <c r="P1495" s="278"/>
      <c r="Q1495" s="233" t="s">
        <v>4152</v>
      </c>
      <c r="R1495" s="75">
        <v>3160</v>
      </c>
      <c r="S1495" s="75">
        <v>0</v>
      </c>
      <c r="T1495" s="75">
        <v>3160</v>
      </c>
      <c r="U1495" s="200">
        <v>1290</v>
      </c>
      <c r="V1495" s="287">
        <f t="shared" ca="1" si="336"/>
        <v>8</v>
      </c>
      <c r="W1495" s="75">
        <f t="shared" ca="1" si="337"/>
        <v>11610</v>
      </c>
      <c r="X1495" s="200">
        <f t="shared" ca="1" si="333"/>
        <v>13480</v>
      </c>
      <c r="Y1495" s="1"/>
      <c r="Z1495" s="31">
        <v>0.1</v>
      </c>
      <c r="AA1495" s="223">
        <v>0.09</v>
      </c>
      <c r="AB1495" s="302" t="s">
        <v>7170</v>
      </c>
      <c r="AC1495" s="302"/>
      <c r="AD1495" s="302"/>
      <c r="AE1495" s="302"/>
      <c r="AF1495">
        <f t="shared" si="327"/>
        <v>0</v>
      </c>
    </row>
    <row r="1496" spans="1:32" ht="26.25" hidden="1" x14ac:dyDescent="0.25">
      <c r="A1496" s="322" t="s">
        <v>4154</v>
      </c>
      <c r="B1496" s="93" t="str">
        <f t="shared" si="334"/>
        <v>YES</v>
      </c>
      <c r="C1496" s="93" t="s">
        <v>5503</v>
      </c>
      <c r="D1496" s="4">
        <v>40983</v>
      </c>
      <c r="E1496" s="2">
        <v>41030</v>
      </c>
      <c r="F1496" s="2">
        <f t="shared" si="328"/>
        <v>44682</v>
      </c>
      <c r="G1496" s="6">
        <v>2147.5100000000002</v>
      </c>
      <c r="H1496" s="7" t="s">
        <v>4141</v>
      </c>
      <c r="I1496" s="7" t="s">
        <v>79</v>
      </c>
      <c r="J1496" s="189"/>
      <c r="K1496" s="266">
        <f t="shared" si="335"/>
        <v>2022</v>
      </c>
      <c r="L1496" s="391" t="s">
        <v>5514</v>
      </c>
      <c r="M1496" s="391" t="s">
        <v>6016</v>
      </c>
      <c r="N1496" s="32" t="s">
        <v>7794</v>
      </c>
      <c r="O1496" s="32" t="s">
        <v>4042</v>
      </c>
      <c r="P1496" s="278"/>
      <c r="Q1496" s="233" t="s">
        <v>4155</v>
      </c>
      <c r="R1496" s="75">
        <v>7668</v>
      </c>
      <c r="S1496" s="75">
        <v>21480</v>
      </c>
      <c r="T1496" s="75">
        <v>29148</v>
      </c>
      <c r="U1496" s="200">
        <v>3222</v>
      </c>
      <c r="V1496" s="287">
        <f t="shared" ca="1" si="336"/>
        <v>8</v>
      </c>
      <c r="W1496" s="75">
        <f t="shared" ca="1" si="337"/>
        <v>28998</v>
      </c>
      <c r="X1496" s="200">
        <f t="shared" ca="1" si="333"/>
        <v>54924</v>
      </c>
      <c r="Y1496" s="1"/>
      <c r="Z1496" s="31">
        <v>0.1</v>
      </c>
      <c r="AA1496" s="223">
        <v>0.09</v>
      </c>
      <c r="AB1496" s="302" t="s">
        <v>7171</v>
      </c>
      <c r="AC1496" s="302"/>
      <c r="AD1496" s="302"/>
      <c r="AE1496" s="302"/>
      <c r="AF1496">
        <f t="shared" si="327"/>
        <v>0</v>
      </c>
    </row>
    <row r="1497" spans="1:32" ht="39" hidden="1" x14ac:dyDescent="0.25">
      <c r="A1497" s="322" t="s">
        <v>4156</v>
      </c>
      <c r="B1497" s="93" t="str">
        <f t="shared" si="334"/>
        <v>YES</v>
      </c>
      <c r="C1497" s="93" t="s">
        <v>5503</v>
      </c>
      <c r="D1497" s="4">
        <v>40983</v>
      </c>
      <c r="E1497" s="2">
        <v>41030</v>
      </c>
      <c r="F1497" s="2">
        <f t="shared" si="328"/>
        <v>44682</v>
      </c>
      <c r="G1497" s="6">
        <v>2274.1</v>
      </c>
      <c r="H1497" s="7" t="s">
        <v>4141</v>
      </c>
      <c r="I1497" s="7" t="s">
        <v>79</v>
      </c>
      <c r="J1497" s="189"/>
      <c r="K1497" s="266">
        <f t="shared" si="335"/>
        <v>2022</v>
      </c>
      <c r="L1497" s="391" t="s">
        <v>5514</v>
      </c>
      <c r="M1497" s="391" t="s">
        <v>6016</v>
      </c>
      <c r="N1497" s="32" t="s">
        <v>7794</v>
      </c>
      <c r="O1497" s="32" t="s">
        <v>4158</v>
      </c>
      <c r="P1497" s="278"/>
      <c r="Q1497" s="233" t="s">
        <v>4157</v>
      </c>
      <c r="R1497" s="75">
        <v>8112.5</v>
      </c>
      <c r="S1497" s="75">
        <v>22750</v>
      </c>
      <c r="T1497" s="75">
        <v>30862.5</v>
      </c>
      <c r="U1497" s="200">
        <v>3412.5</v>
      </c>
      <c r="V1497" s="287">
        <f t="shared" ca="1" si="336"/>
        <v>8</v>
      </c>
      <c r="W1497" s="75">
        <f t="shared" ca="1" si="337"/>
        <v>30712.5</v>
      </c>
      <c r="X1497" s="200">
        <f t="shared" ca="1" si="333"/>
        <v>58162.5</v>
      </c>
      <c r="Y1497" s="1"/>
      <c r="Z1497" s="31">
        <v>0.1</v>
      </c>
      <c r="AA1497" s="223">
        <v>0.09</v>
      </c>
      <c r="AB1497" s="302" t="s">
        <v>7172</v>
      </c>
      <c r="AC1497" s="302"/>
      <c r="AD1497" s="302"/>
      <c r="AE1497" s="302"/>
      <c r="AF1497">
        <f t="shared" si="327"/>
        <v>0</v>
      </c>
    </row>
    <row r="1498" spans="1:32" ht="51.75" hidden="1" x14ac:dyDescent="0.25">
      <c r="A1498" s="322" t="s">
        <v>4159</v>
      </c>
      <c r="B1498" s="93" t="str">
        <f t="shared" si="334"/>
        <v>YES</v>
      </c>
      <c r="C1498" s="93" t="s">
        <v>5503</v>
      </c>
      <c r="D1498" s="4">
        <v>40983</v>
      </c>
      <c r="E1498" s="2">
        <v>41030</v>
      </c>
      <c r="F1498" s="2">
        <f t="shared" si="328"/>
        <v>44682</v>
      </c>
      <c r="G1498" s="6">
        <v>1296.6099999999999</v>
      </c>
      <c r="H1498" s="7" t="s">
        <v>4141</v>
      </c>
      <c r="I1498" s="7" t="s">
        <v>79</v>
      </c>
      <c r="J1498" s="189"/>
      <c r="K1498" s="266">
        <f t="shared" si="335"/>
        <v>2022</v>
      </c>
      <c r="L1498" s="391" t="s">
        <v>5514</v>
      </c>
      <c r="M1498" s="391" t="s">
        <v>6016</v>
      </c>
      <c r="N1498" s="32" t="s">
        <v>7794</v>
      </c>
      <c r="O1498" s="32" t="s">
        <v>4161</v>
      </c>
      <c r="P1498" s="278"/>
      <c r="Q1498" s="233" t="s">
        <v>4160</v>
      </c>
      <c r="R1498" s="75">
        <v>4689.5</v>
      </c>
      <c r="S1498" s="75">
        <v>23346</v>
      </c>
      <c r="T1498" s="75">
        <v>28035.5</v>
      </c>
      <c r="U1498" s="200">
        <v>1945.5</v>
      </c>
      <c r="V1498" s="287">
        <f t="shared" ca="1" si="336"/>
        <v>8</v>
      </c>
      <c r="W1498" s="75">
        <f t="shared" ca="1" si="337"/>
        <v>17509.5</v>
      </c>
      <c r="X1498" s="200">
        <f t="shared" ca="1" si="333"/>
        <v>43599.5</v>
      </c>
      <c r="Y1498" s="1"/>
      <c r="Z1498" s="31">
        <v>0.1</v>
      </c>
      <c r="AA1498" s="223">
        <v>0.09</v>
      </c>
      <c r="AB1498" s="302" t="s">
        <v>7173</v>
      </c>
      <c r="AC1498" s="302"/>
      <c r="AD1498" s="302"/>
      <c r="AE1498" s="302"/>
      <c r="AF1498">
        <f t="shared" si="327"/>
        <v>0</v>
      </c>
    </row>
    <row r="1499" spans="1:32" hidden="1" x14ac:dyDescent="0.25">
      <c r="A1499" s="322" t="s">
        <v>4162</v>
      </c>
      <c r="B1499" s="93" t="str">
        <f t="shared" si="334"/>
        <v>YES</v>
      </c>
      <c r="C1499" s="93" t="s">
        <v>5503</v>
      </c>
      <c r="D1499" s="4">
        <v>40983</v>
      </c>
      <c r="E1499" s="2">
        <v>41030</v>
      </c>
      <c r="F1499" s="2">
        <f t="shared" si="328"/>
        <v>44682</v>
      </c>
      <c r="G1499" s="6">
        <v>1993.05</v>
      </c>
      <c r="H1499" s="7" t="s">
        <v>4141</v>
      </c>
      <c r="I1499" s="7" t="s">
        <v>79</v>
      </c>
      <c r="J1499" s="189"/>
      <c r="K1499" s="266">
        <f t="shared" si="335"/>
        <v>2022</v>
      </c>
      <c r="L1499" s="391" t="s">
        <v>5514</v>
      </c>
      <c r="M1499" s="391" t="s">
        <v>5809</v>
      </c>
      <c r="N1499" s="32" t="s">
        <v>7794</v>
      </c>
      <c r="O1499" s="32" t="s">
        <v>4164</v>
      </c>
      <c r="P1499" s="278"/>
      <c r="Q1499" s="233" t="s">
        <v>4163</v>
      </c>
      <c r="R1499" s="75">
        <v>7129</v>
      </c>
      <c r="S1499" s="75">
        <v>19940</v>
      </c>
      <c r="T1499" s="75">
        <v>27069</v>
      </c>
      <c r="U1499" s="200">
        <v>2991</v>
      </c>
      <c r="V1499" s="287">
        <f t="shared" ca="1" si="336"/>
        <v>8</v>
      </c>
      <c r="W1499" s="75">
        <f t="shared" ca="1" si="337"/>
        <v>26919</v>
      </c>
      <c r="X1499" s="200">
        <f t="shared" ca="1" si="333"/>
        <v>50997</v>
      </c>
      <c r="Y1499" s="1"/>
      <c r="Z1499" s="31">
        <v>0.1</v>
      </c>
      <c r="AA1499" s="223">
        <v>0.09</v>
      </c>
      <c r="AB1499" s="302" t="s">
        <v>7174</v>
      </c>
      <c r="AC1499" s="302"/>
      <c r="AD1499" s="302"/>
      <c r="AE1499" s="302"/>
      <c r="AF1499">
        <f t="shared" si="327"/>
        <v>0</v>
      </c>
    </row>
    <row r="1500" spans="1:32" ht="26.25" hidden="1" x14ac:dyDescent="0.25">
      <c r="A1500" s="322" t="s">
        <v>4165</v>
      </c>
      <c r="B1500" s="93" t="str">
        <f t="shared" si="334"/>
        <v>YES</v>
      </c>
      <c r="C1500" s="93" t="s">
        <v>5503</v>
      </c>
      <c r="D1500" s="4">
        <v>40983</v>
      </c>
      <c r="E1500" s="2">
        <v>41030</v>
      </c>
      <c r="F1500" s="2">
        <f t="shared" si="328"/>
        <v>44682</v>
      </c>
      <c r="G1500" s="6">
        <v>1835.46</v>
      </c>
      <c r="H1500" s="7" t="s">
        <v>4141</v>
      </c>
      <c r="I1500" s="7" t="s">
        <v>79</v>
      </c>
      <c r="J1500" s="189"/>
      <c r="K1500" s="266">
        <f t="shared" si="335"/>
        <v>2022</v>
      </c>
      <c r="L1500" s="391" t="s">
        <v>5514</v>
      </c>
      <c r="M1500" s="391" t="s">
        <v>5809</v>
      </c>
      <c r="N1500" s="32" t="s">
        <v>7794</v>
      </c>
      <c r="O1500" s="32" t="s">
        <v>4167</v>
      </c>
      <c r="P1500" s="278"/>
      <c r="Q1500" s="233" t="s">
        <v>4166</v>
      </c>
      <c r="R1500" s="75">
        <v>6576</v>
      </c>
      <c r="S1500" s="75">
        <v>18360</v>
      </c>
      <c r="T1500" s="75">
        <v>24936</v>
      </c>
      <c r="U1500" s="200">
        <v>2754</v>
      </c>
      <c r="V1500" s="287">
        <f t="shared" ca="1" si="336"/>
        <v>8</v>
      </c>
      <c r="W1500" s="75">
        <f t="shared" ca="1" si="337"/>
        <v>24786</v>
      </c>
      <c r="X1500" s="200">
        <f t="shared" ca="1" si="333"/>
        <v>46968</v>
      </c>
      <c r="Y1500" s="1"/>
      <c r="Z1500" s="31">
        <v>0.1</v>
      </c>
      <c r="AA1500" s="223">
        <v>0.09</v>
      </c>
      <c r="AB1500" s="342" t="s">
        <v>7175</v>
      </c>
      <c r="AC1500" s="302"/>
      <c r="AD1500" s="302"/>
      <c r="AE1500" s="302"/>
      <c r="AF1500">
        <f t="shared" ref="AF1500:AF1563" si="338">COUNTIF(FilterList,A1500)</f>
        <v>0</v>
      </c>
    </row>
    <row r="1501" spans="1:32" ht="39" hidden="1" x14ac:dyDescent="0.25">
      <c r="A1501" s="322" t="s">
        <v>4168</v>
      </c>
      <c r="B1501" s="93" t="str">
        <f t="shared" si="334"/>
        <v>YES</v>
      </c>
      <c r="C1501" s="93" t="s">
        <v>5503</v>
      </c>
      <c r="D1501" s="4">
        <v>40983</v>
      </c>
      <c r="E1501" s="2">
        <v>41030</v>
      </c>
      <c r="F1501" s="2">
        <f t="shared" ref="F1501:F1564" si="339">DATE(YEAR(E1501)+10,MONTH(E1501),DAY(E1501))</f>
        <v>44682</v>
      </c>
      <c r="G1501" s="6">
        <v>2046.04</v>
      </c>
      <c r="H1501" s="7" t="s">
        <v>4141</v>
      </c>
      <c r="I1501" s="7" t="s">
        <v>79</v>
      </c>
      <c r="J1501" s="189"/>
      <c r="K1501" s="266">
        <f t="shared" si="335"/>
        <v>2022</v>
      </c>
      <c r="L1501" s="391" t="s">
        <v>5514</v>
      </c>
      <c r="M1501" s="391" t="s">
        <v>5809</v>
      </c>
      <c r="N1501" s="32" t="s">
        <v>7794</v>
      </c>
      <c r="O1501" s="32" t="s">
        <v>4170</v>
      </c>
      <c r="P1501" s="278"/>
      <c r="Q1501" s="233" t="s">
        <v>4169</v>
      </c>
      <c r="R1501" s="75">
        <v>7314.5</v>
      </c>
      <c r="S1501" s="75">
        <v>20470</v>
      </c>
      <c r="T1501" s="75">
        <v>27784.5</v>
      </c>
      <c r="U1501" s="200">
        <v>3070.5</v>
      </c>
      <c r="V1501" s="287">
        <f t="shared" ca="1" si="336"/>
        <v>8</v>
      </c>
      <c r="W1501" s="75">
        <f t="shared" ca="1" si="337"/>
        <v>27634.5</v>
      </c>
      <c r="X1501" s="200">
        <f t="shared" ca="1" si="333"/>
        <v>52348.5</v>
      </c>
      <c r="Y1501" s="1"/>
      <c r="Z1501" s="31">
        <v>0.1</v>
      </c>
      <c r="AA1501" s="223">
        <v>0.09</v>
      </c>
      <c r="AB1501" s="302" t="s">
        <v>7176</v>
      </c>
      <c r="AC1501" s="302"/>
      <c r="AD1501" s="302"/>
      <c r="AE1501" s="302"/>
      <c r="AF1501">
        <f t="shared" si="338"/>
        <v>0</v>
      </c>
    </row>
    <row r="1502" spans="1:32" ht="26.25" hidden="1" x14ac:dyDescent="0.25">
      <c r="A1502" s="322" t="s">
        <v>4171</v>
      </c>
      <c r="B1502" s="93" t="str">
        <f t="shared" si="334"/>
        <v>YES</v>
      </c>
      <c r="C1502" s="93" t="s">
        <v>5503</v>
      </c>
      <c r="D1502" s="4">
        <v>40983</v>
      </c>
      <c r="E1502" s="2">
        <v>41030</v>
      </c>
      <c r="F1502" s="2">
        <f t="shared" si="339"/>
        <v>44682</v>
      </c>
      <c r="G1502" s="6">
        <v>2034.4</v>
      </c>
      <c r="H1502" s="7" t="s">
        <v>4141</v>
      </c>
      <c r="I1502" s="7" t="s">
        <v>79</v>
      </c>
      <c r="J1502" s="189"/>
      <c r="K1502" s="266">
        <f t="shared" si="335"/>
        <v>2022</v>
      </c>
      <c r="L1502" s="391" t="s">
        <v>5514</v>
      </c>
      <c r="M1502" s="391" t="s">
        <v>5809</v>
      </c>
      <c r="N1502" s="32" t="s">
        <v>7794</v>
      </c>
      <c r="O1502" s="32" t="s">
        <v>4173</v>
      </c>
      <c r="P1502" s="278"/>
      <c r="Q1502" s="233" t="s">
        <v>4172</v>
      </c>
      <c r="R1502" s="75">
        <v>7272.5</v>
      </c>
      <c r="S1502" s="75">
        <v>107855</v>
      </c>
      <c r="T1502" s="75">
        <v>115127.5</v>
      </c>
      <c r="U1502" s="200">
        <v>3052.5</v>
      </c>
      <c r="V1502" s="287">
        <f t="shared" ca="1" si="336"/>
        <v>8</v>
      </c>
      <c r="W1502" s="75">
        <f t="shared" ca="1" si="337"/>
        <v>27472.5</v>
      </c>
      <c r="X1502" s="200">
        <f t="shared" ca="1" si="333"/>
        <v>139547.5</v>
      </c>
      <c r="Y1502" s="1"/>
      <c r="Z1502" s="31">
        <v>0.1</v>
      </c>
      <c r="AA1502" s="223">
        <v>0.09</v>
      </c>
      <c r="AB1502" s="302" t="s">
        <v>7177</v>
      </c>
      <c r="AC1502" s="302"/>
      <c r="AD1502" s="302"/>
      <c r="AE1502" s="302"/>
      <c r="AF1502">
        <f t="shared" si="338"/>
        <v>0</v>
      </c>
    </row>
    <row r="1503" spans="1:32" ht="64.5" hidden="1" customHeight="1" x14ac:dyDescent="0.25">
      <c r="A1503" s="322" t="s">
        <v>4174</v>
      </c>
      <c r="B1503" s="93" t="str">
        <f t="shared" si="334"/>
        <v>YES</v>
      </c>
      <c r="C1503" s="93" t="s">
        <v>5503</v>
      </c>
      <c r="D1503" s="4">
        <v>40983</v>
      </c>
      <c r="E1503" s="2">
        <v>41030</v>
      </c>
      <c r="F1503" s="2">
        <f t="shared" si="339"/>
        <v>44682</v>
      </c>
      <c r="G1503" s="6">
        <v>1710.44</v>
      </c>
      <c r="H1503" s="7" t="s">
        <v>4141</v>
      </c>
      <c r="I1503" s="7" t="s">
        <v>79</v>
      </c>
      <c r="J1503" s="189"/>
      <c r="K1503" s="266">
        <f t="shared" si="335"/>
        <v>2022</v>
      </c>
      <c r="L1503" s="391" t="s">
        <v>5514</v>
      </c>
      <c r="M1503" s="391" t="s">
        <v>7536</v>
      </c>
      <c r="N1503" s="32" t="s">
        <v>7794</v>
      </c>
      <c r="O1503" s="32" t="s">
        <v>4176</v>
      </c>
      <c r="P1503" s="278"/>
      <c r="Q1503" s="233" t="s">
        <v>4175</v>
      </c>
      <c r="R1503" s="75">
        <v>6138.5</v>
      </c>
      <c r="S1503" s="75">
        <v>17110</v>
      </c>
      <c r="T1503" s="75">
        <v>23248.5</v>
      </c>
      <c r="U1503" s="200">
        <v>2566.5</v>
      </c>
      <c r="V1503" s="287">
        <f t="shared" ca="1" si="336"/>
        <v>8</v>
      </c>
      <c r="W1503" s="75">
        <f t="shared" ca="1" si="337"/>
        <v>23098.5</v>
      </c>
      <c r="X1503" s="200">
        <f t="shared" ca="1" si="333"/>
        <v>43780.5</v>
      </c>
      <c r="Y1503" s="1"/>
      <c r="Z1503" s="31">
        <v>0.1</v>
      </c>
      <c r="AA1503" s="223">
        <v>0.09</v>
      </c>
      <c r="AB1503" s="302" t="s">
        <v>7178</v>
      </c>
      <c r="AC1503" s="302"/>
      <c r="AD1503" s="302"/>
      <c r="AE1503" s="302"/>
      <c r="AF1503">
        <f t="shared" si="338"/>
        <v>0</v>
      </c>
    </row>
    <row r="1504" spans="1:32" ht="39" hidden="1" x14ac:dyDescent="0.25">
      <c r="A1504" s="322" t="s">
        <v>4177</v>
      </c>
      <c r="B1504" s="93" t="str">
        <f t="shared" si="334"/>
        <v>YES</v>
      </c>
      <c r="C1504" s="93" t="s">
        <v>5503</v>
      </c>
      <c r="D1504" s="4">
        <v>40983</v>
      </c>
      <c r="E1504" s="2">
        <v>41030</v>
      </c>
      <c r="F1504" s="2">
        <f t="shared" si="339"/>
        <v>44682</v>
      </c>
      <c r="G1504" s="6">
        <v>1984.97</v>
      </c>
      <c r="H1504" s="7" t="s">
        <v>4141</v>
      </c>
      <c r="I1504" s="7" t="s">
        <v>79</v>
      </c>
      <c r="J1504" s="189"/>
      <c r="K1504" s="266">
        <f t="shared" si="335"/>
        <v>2022</v>
      </c>
      <c r="L1504" s="391" t="s">
        <v>5514</v>
      </c>
      <c r="M1504" s="391" t="s">
        <v>7536</v>
      </c>
      <c r="N1504" s="32" t="s">
        <v>7794</v>
      </c>
      <c r="O1504" s="32" t="s">
        <v>4179</v>
      </c>
      <c r="P1504" s="278"/>
      <c r="Q1504" s="233" t="s">
        <v>4178</v>
      </c>
      <c r="R1504" s="75">
        <v>7097.5</v>
      </c>
      <c r="S1504" s="75">
        <v>19850</v>
      </c>
      <c r="T1504" s="75">
        <v>26947.5</v>
      </c>
      <c r="U1504" s="200">
        <v>2977.5</v>
      </c>
      <c r="V1504" s="287">
        <f t="shared" ca="1" si="336"/>
        <v>8</v>
      </c>
      <c r="W1504" s="75">
        <f t="shared" ca="1" si="337"/>
        <v>26797.5</v>
      </c>
      <c r="X1504" s="200">
        <f t="shared" ca="1" si="333"/>
        <v>50767.5</v>
      </c>
      <c r="Y1504" s="1"/>
      <c r="Z1504" s="31">
        <v>0.1</v>
      </c>
      <c r="AA1504" s="223">
        <v>0.09</v>
      </c>
      <c r="AB1504" s="302" t="s">
        <v>7179</v>
      </c>
      <c r="AC1504" s="302"/>
      <c r="AD1504" s="302"/>
      <c r="AE1504" s="302"/>
      <c r="AF1504">
        <f t="shared" si="338"/>
        <v>0</v>
      </c>
    </row>
    <row r="1505" spans="1:32" ht="51.75" hidden="1" x14ac:dyDescent="0.25">
      <c r="A1505" s="322" t="s">
        <v>4180</v>
      </c>
      <c r="B1505" s="93" t="str">
        <f t="shared" si="334"/>
        <v>YES</v>
      </c>
      <c r="C1505" s="93" t="s">
        <v>5503</v>
      </c>
      <c r="D1505" s="4">
        <v>40983</v>
      </c>
      <c r="E1505" s="2">
        <v>41030</v>
      </c>
      <c r="F1505" s="2">
        <f t="shared" si="339"/>
        <v>44682</v>
      </c>
      <c r="G1505" s="6">
        <v>2007.17</v>
      </c>
      <c r="H1505" s="7" t="s">
        <v>4141</v>
      </c>
      <c r="I1505" s="7" t="s">
        <v>79</v>
      </c>
      <c r="J1505" s="189"/>
      <c r="K1505" s="266">
        <f t="shared" si="335"/>
        <v>2022</v>
      </c>
      <c r="L1505" s="391" t="s">
        <v>5514</v>
      </c>
      <c r="M1505" s="391" t="s">
        <v>7536</v>
      </c>
      <c r="N1505" s="32" t="s">
        <v>7794</v>
      </c>
      <c r="O1505" s="32" t="s">
        <v>4182</v>
      </c>
      <c r="P1505" s="278"/>
      <c r="Q1505" s="233" t="s">
        <v>4181</v>
      </c>
      <c r="R1505" s="75">
        <v>7178</v>
      </c>
      <c r="S1505" s="75">
        <v>20080</v>
      </c>
      <c r="T1505" s="75">
        <v>27258</v>
      </c>
      <c r="U1505" s="200">
        <v>3012</v>
      </c>
      <c r="V1505" s="287">
        <f t="shared" ca="1" si="336"/>
        <v>8</v>
      </c>
      <c r="W1505" s="75">
        <f t="shared" ca="1" si="337"/>
        <v>27108</v>
      </c>
      <c r="X1505" s="200">
        <f t="shared" ca="1" si="333"/>
        <v>51354</v>
      </c>
      <c r="Y1505" s="1"/>
      <c r="Z1505" s="31">
        <v>0.1</v>
      </c>
      <c r="AA1505" s="223">
        <v>0.09</v>
      </c>
      <c r="AB1505" s="302" t="s">
        <v>7180</v>
      </c>
      <c r="AC1505" s="302"/>
      <c r="AD1505" s="302"/>
      <c r="AE1505" s="302"/>
      <c r="AF1505">
        <f t="shared" si="338"/>
        <v>0</v>
      </c>
    </row>
    <row r="1506" spans="1:32" hidden="1" x14ac:dyDescent="0.25">
      <c r="A1506" s="322" t="s">
        <v>4183</v>
      </c>
      <c r="B1506" s="93" t="str">
        <f t="shared" si="334"/>
        <v>YES</v>
      </c>
      <c r="C1506" s="93" t="s">
        <v>5503</v>
      </c>
      <c r="D1506" s="4">
        <v>40983</v>
      </c>
      <c r="E1506" s="2">
        <v>41030</v>
      </c>
      <c r="F1506" s="2">
        <f t="shared" si="339"/>
        <v>44682</v>
      </c>
      <c r="G1506" s="6">
        <v>1911.26</v>
      </c>
      <c r="H1506" s="7" t="s">
        <v>4141</v>
      </c>
      <c r="I1506" s="7" t="s">
        <v>79</v>
      </c>
      <c r="J1506" s="189"/>
      <c r="K1506" s="266">
        <f t="shared" si="335"/>
        <v>2022</v>
      </c>
      <c r="L1506" s="391" t="s">
        <v>5514</v>
      </c>
      <c r="M1506" s="391" t="s">
        <v>7536</v>
      </c>
      <c r="N1506" s="32" t="s">
        <v>7794</v>
      </c>
      <c r="O1506" s="32" t="s">
        <v>4164</v>
      </c>
      <c r="P1506" s="278"/>
      <c r="Q1506" s="233" t="s">
        <v>4184</v>
      </c>
      <c r="R1506" s="75">
        <v>6842</v>
      </c>
      <c r="S1506" s="75">
        <v>19120</v>
      </c>
      <c r="T1506" s="75">
        <v>25962</v>
      </c>
      <c r="U1506" s="200">
        <v>2868</v>
      </c>
      <c r="V1506" s="287">
        <f t="shared" ca="1" si="336"/>
        <v>8</v>
      </c>
      <c r="W1506" s="75">
        <f t="shared" ca="1" si="337"/>
        <v>25812</v>
      </c>
      <c r="X1506" s="200">
        <f t="shared" ca="1" si="333"/>
        <v>48906</v>
      </c>
      <c r="Y1506" s="1"/>
      <c r="Z1506" s="31">
        <v>0.1</v>
      </c>
      <c r="AA1506" s="223">
        <v>0.09</v>
      </c>
      <c r="AB1506" s="302" t="s">
        <v>7181</v>
      </c>
      <c r="AC1506" s="302"/>
      <c r="AD1506" s="302"/>
      <c r="AE1506" s="302"/>
      <c r="AF1506">
        <f t="shared" si="338"/>
        <v>0</v>
      </c>
    </row>
    <row r="1507" spans="1:32" ht="64.5" hidden="1" x14ac:dyDescent="0.25">
      <c r="A1507" s="322" t="s">
        <v>4185</v>
      </c>
      <c r="B1507" s="93" t="str">
        <f t="shared" si="334"/>
        <v>YES</v>
      </c>
      <c r="C1507" s="93" t="s">
        <v>5503</v>
      </c>
      <c r="D1507" s="4">
        <v>40983</v>
      </c>
      <c r="E1507" s="2">
        <v>41030</v>
      </c>
      <c r="F1507" s="2">
        <f t="shared" si="339"/>
        <v>44682</v>
      </c>
      <c r="G1507" s="6">
        <v>2333.66</v>
      </c>
      <c r="H1507" s="7" t="s">
        <v>4141</v>
      </c>
      <c r="I1507" s="7" t="s">
        <v>79</v>
      </c>
      <c r="J1507" s="189"/>
      <c r="K1507" s="266">
        <f t="shared" si="335"/>
        <v>2022</v>
      </c>
      <c r="L1507" s="391" t="s">
        <v>5514</v>
      </c>
      <c r="M1507" s="391" t="s">
        <v>7536</v>
      </c>
      <c r="N1507" s="32" t="s">
        <v>7794</v>
      </c>
      <c r="O1507" s="32" t="s">
        <v>4187</v>
      </c>
      <c r="P1507" s="278"/>
      <c r="Q1507" s="233" t="s">
        <v>4186</v>
      </c>
      <c r="R1507" s="75">
        <v>8319</v>
      </c>
      <c r="S1507" s="75">
        <v>18672</v>
      </c>
      <c r="T1507" s="75">
        <v>26991</v>
      </c>
      <c r="U1507" s="200">
        <v>3501</v>
      </c>
      <c r="V1507" s="287">
        <f t="shared" ca="1" si="336"/>
        <v>8</v>
      </c>
      <c r="W1507" s="75">
        <f t="shared" ca="1" si="337"/>
        <v>31509</v>
      </c>
      <c r="X1507" s="200">
        <f t="shared" ca="1" si="333"/>
        <v>54999</v>
      </c>
      <c r="Y1507" s="1"/>
      <c r="Z1507" s="31">
        <v>0.1</v>
      </c>
      <c r="AA1507" s="223">
        <v>0.09</v>
      </c>
      <c r="AB1507" s="302" t="s">
        <v>7182</v>
      </c>
      <c r="AC1507" s="302"/>
      <c r="AD1507" s="302"/>
      <c r="AE1507" s="302"/>
      <c r="AF1507">
        <f t="shared" si="338"/>
        <v>0</v>
      </c>
    </row>
    <row r="1508" spans="1:32" ht="64.5" hidden="1" x14ac:dyDescent="0.25">
      <c r="A1508" s="322" t="s">
        <v>4188</v>
      </c>
      <c r="B1508" s="93" t="str">
        <f t="shared" si="334"/>
        <v>YES</v>
      </c>
      <c r="C1508" s="93" t="s">
        <v>5503</v>
      </c>
      <c r="D1508" s="4">
        <v>40983</v>
      </c>
      <c r="E1508" s="2">
        <v>41030</v>
      </c>
      <c r="F1508" s="2">
        <f t="shared" si="339"/>
        <v>44682</v>
      </c>
      <c r="G1508" s="6">
        <v>1829.57</v>
      </c>
      <c r="H1508" s="7" t="s">
        <v>4141</v>
      </c>
      <c r="I1508" s="7" t="s">
        <v>79</v>
      </c>
      <c r="J1508" s="189"/>
      <c r="K1508" s="266">
        <f t="shared" si="335"/>
        <v>2022</v>
      </c>
      <c r="L1508" s="391" t="s">
        <v>5514</v>
      </c>
      <c r="M1508" s="391" t="s">
        <v>5809</v>
      </c>
      <c r="N1508" s="32" t="s">
        <v>7794</v>
      </c>
      <c r="O1508" s="32" t="s">
        <v>4190</v>
      </c>
      <c r="P1508" s="278"/>
      <c r="Q1508" s="233" t="s">
        <v>4189</v>
      </c>
      <c r="R1508" s="75">
        <v>6555</v>
      </c>
      <c r="S1508" s="75">
        <v>18300</v>
      </c>
      <c r="T1508" s="75">
        <v>24855</v>
      </c>
      <c r="U1508" s="200">
        <v>2745</v>
      </c>
      <c r="V1508" s="287">
        <f t="shared" ca="1" si="336"/>
        <v>8</v>
      </c>
      <c r="W1508" s="75">
        <f t="shared" ca="1" si="337"/>
        <v>24705</v>
      </c>
      <c r="X1508" s="200">
        <f t="shared" ca="1" si="333"/>
        <v>46815</v>
      </c>
      <c r="Y1508" s="1"/>
      <c r="Z1508" s="31">
        <v>0.1</v>
      </c>
      <c r="AA1508" s="223">
        <v>0.09</v>
      </c>
      <c r="AB1508" s="302" t="s">
        <v>7183</v>
      </c>
      <c r="AC1508" s="302"/>
      <c r="AD1508" s="302"/>
      <c r="AE1508" s="302"/>
      <c r="AF1508">
        <f t="shared" si="338"/>
        <v>0</v>
      </c>
    </row>
    <row r="1509" spans="1:32" ht="39" hidden="1" x14ac:dyDescent="0.25">
      <c r="A1509" s="322" t="s">
        <v>4191</v>
      </c>
      <c r="B1509" s="93" t="str">
        <f t="shared" si="334"/>
        <v>YES</v>
      </c>
      <c r="C1509" s="93" t="s">
        <v>5503</v>
      </c>
      <c r="D1509" s="4">
        <v>40983</v>
      </c>
      <c r="E1509" s="2">
        <v>41030</v>
      </c>
      <c r="F1509" s="2">
        <f t="shared" si="339"/>
        <v>44682</v>
      </c>
      <c r="G1509" s="6">
        <v>1912.8</v>
      </c>
      <c r="H1509" s="7" t="s">
        <v>4141</v>
      </c>
      <c r="I1509" s="7" t="s">
        <v>79</v>
      </c>
      <c r="J1509" s="189"/>
      <c r="K1509" s="266">
        <f t="shared" si="335"/>
        <v>2022</v>
      </c>
      <c r="L1509" s="391" t="s">
        <v>5514</v>
      </c>
      <c r="M1509" s="391" t="s">
        <v>5809</v>
      </c>
      <c r="N1509" s="32" t="s">
        <v>7794</v>
      </c>
      <c r="O1509" s="32" t="s">
        <v>4193</v>
      </c>
      <c r="P1509" s="278"/>
      <c r="Q1509" s="233" t="s">
        <v>4192</v>
      </c>
      <c r="R1509" s="75">
        <v>6845.5</v>
      </c>
      <c r="S1509" s="75">
        <v>91824</v>
      </c>
      <c r="T1509" s="75">
        <v>98669.5</v>
      </c>
      <c r="U1509" s="200">
        <v>2869.5</v>
      </c>
      <c r="V1509" s="287">
        <f t="shared" ca="1" si="336"/>
        <v>8</v>
      </c>
      <c r="W1509" s="75">
        <f t="shared" ca="1" si="337"/>
        <v>25825.5</v>
      </c>
      <c r="X1509" s="200">
        <f t="shared" ca="1" si="333"/>
        <v>121625.5</v>
      </c>
      <c r="Y1509" s="1"/>
      <c r="Z1509" s="31">
        <v>0.1</v>
      </c>
      <c r="AA1509" s="223">
        <v>0.09</v>
      </c>
      <c r="AB1509" s="302" t="s">
        <v>7184</v>
      </c>
      <c r="AC1509" s="302"/>
      <c r="AD1509" s="302"/>
      <c r="AE1509" s="302"/>
      <c r="AF1509">
        <f t="shared" si="338"/>
        <v>0</v>
      </c>
    </row>
    <row r="1510" spans="1:32" ht="26.25" hidden="1" x14ac:dyDescent="0.25">
      <c r="A1510" s="322" t="s">
        <v>4194</v>
      </c>
      <c r="B1510" s="93" t="str">
        <f t="shared" si="334"/>
        <v>YES</v>
      </c>
      <c r="C1510" s="93" t="s">
        <v>5503</v>
      </c>
      <c r="D1510" s="4">
        <v>40983</v>
      </c>
      <c r="E1510" s="2">
        <v>41030</v>
      </c>
      <c r="F1510" s="2">
        <f t="shared" si="339"/>
        <v>44682</v>
      </c>
      <c r="G1510" s="6">
        <v>2013.8</v>
      </c>
      <c r="H1510" s="7" t="s">
        <v>4141</v>
      </c>
      <c r="I1510" s="7" t="s">
        <v>79</v>
      </c>
      <c r="J1510" s="189"/>
      <c r="K1510" s="266">
        <f t="shared" si="335"/>
        <v>2022</v>
      </c>
      <c r="L1510" s="391" t="s">
        <v>5514</v>
      </c>
      <c r="M1510" s="391" t="s">
        <v>5809</v>
      </c>
      <c r="N1510" s="32" t="s">
        <v>7794</v>
      </c>
      <c r="O1510" s="32" t="s">
        <v>4196</v>
      </c>
      <c r="P1510" s="278"/>
      <c r="Q1510" s="233" t="s">
        <v>4195</v>
      </c>
      <c r="R1510" s="75">
        <v>7199</v>
      </c>
      <c r="S1510" s="75">
        <v>96672</v>
      </c>
      <c r="T1510" s="75">
        <v>103871</v>
      </c>
      <c r="U1510" s="200">
        <v>3021</v>
      </c>
      <c r="V1510" s="287">
        <f t="shared" ca="1" si="336"/>
        <v>8</v>
      </c>
      <c r="W1510" s="75">
        <f t="shared" ca="1" si="337"/>
        <v>27189</v>
      </c>
      <c r="X1510" s="200">
        <f t="shared" ca="1" si="333"/>
        <v>128039</v>
      </c>
      <c r="Y1510" s="1"/>
      <c r="Z1510" s="31">
        <v>0.1</v>
      </c>
      <c r="AA1510" s="223">
        <v>0.09</v>
      </c>
      <c r="AB1510" s="302" t="s">
        <v>7185</v>
      </c>
      <c r="AC1510" s="302"/>
      <c r="AD1510" s="302"/>
      <c r="AE1510" s="302"/>
      <c r="AF1510">
        <f t="shared" si="338"/>
        <v>0</v>
      </c>
    </row>
    <row r="1511" spans="1:32" ht="26.25" hidden="1" x14ac:dyDescent="0.25">
      <c r="A1511" s="322" t="s">
        <v>4197</v>
      </c>
      <c r="B1511" s="93" t="str">
        <f t="shared" si="334"/>
        <v>YES</v>
      </c>
      <c r="C1511" s="93" t="s">
        <v>5503</v>
      </c>
      <c r="D1511" s="4">
        <v>40983</v>
      </c>
      <c r="E1511" s="2">
        <v>41030</v>
      </c>
      <c r="F1511" s="2">
        <f t="shared" si="339"/>
        <v>44682</v>
      </c>
      <c r="G1511" s="6">
        <v>1846.31</v>
      </c>
      <c r="H1511" s="7" t="s">
        <v>4141</v>
      </c>
      <c r="I1511" s="7" t="s">
        <v>79</v>
      </c>
      <c r="J1511" s="189"/>
      <c r="K1511" s="266">
        <f t="shared" si="335"/>
        <v>2022</v>
      </c>
      <c r="L1511" s="391" t="s">
        <v>5514</v>
      </c>
      <c r="M1511" s="391" t="s">
        <v>7536</v>
      </c>
      <c r="N1511" s="32" t="s">
        <v>7794</v>
      </c>
      <c r="O1511" s="32" t="s">
        <v>4199</v>
      </c>
      <c r="P1511" s="278"/>
      <c r="Q1511" s="233" t="s">
        <v>4198</v>
      </c>
      <c r="R1511" s="75">
        <v>6614.5</v>
      </c>
      <c r="S1511" s="75">
        <v>18470</v>
      </c>
      <c r="T1511" s="75">
        <v>25084.5</v>
      </c>
      <c r="U1511" s="200">
        <v>2770.5</v>
      </c>
      <c r="V1511" s="287">
        <f t="shared" ca="1" si="336"/>
        <v>8</v>
      </c>
      <c r="W1511" s="75">
        <f t="shared" ca="1" si="337"/>
        <v>24934.5</v>
      </c>
      <c r="X1511" s="200">
        <f t="shared" ca="1" si="333"/>
        <v>47248.5</v>
      </c>
      <c r="Y1511" s="1"/>
      <c r="Z1511" s="31">
        <v>0.1</v>
      </c>
      <c r="AA1511" s="223">
        <v>0.09</v>
      </c>
      <c r="AB1511" s="302" t="s">
        <v>7186</v>
      </c>
      <c r="AC1511" s="302"/>
      <c r="AD1511" s="302"/>
      <c r="AE1511" s="302"/>
      <c r="AF1511">
        <f t="shared" si="338"/>
        <v>0</v>
      </c>
    </row>
    <row r="1512" spans="1:32" ht="15.75" hidden="1" thickBot="1" x14ac:dyDescent="0.3">
      <c r="A1512" s="322"/>
      <c r="D1512" s="4"/>
      <c r="E1512" s="2"/>
      <c r="F1512" s="2"/>
      <c r="G1512" s="6"/>
      <c r="H1512" s="7"/>
      <c r="I1512" s="7"/>
      <c r="J1512" s="186"/>
      <c r="K1512" s="186"/>
      <c r="L1512" s="386"/>
      <c r="M1512" s="386"/>
      <c r="N1512" s="32"/>
      <c r="O1512" s="32"/>
      <c r="P1512" s="278"/>
      <c r="Q1512" s="233"/>
      <c r="R1512" s="76">
        <v>273798</v>
      </c>
      <c r="S1512" s="76">
        <v>1839742</v>
      </c>
      <c r="T1512" s="76">
        <v>2113540</v>
      </c>
      <c r="U1512" s="200"/>
      <c r="V1512" s="75"/>
      <c r="W1512" s="75"/>
      <c r="X1512" s="200"/>
      <c r="Y1512" s="1"/>
      <c r="Z1512" s="77"/>
      <c r="AA1512" s="225"/>
      <c r="AB1512" s="302"/>
      <c r="AC1512" s="302"/>
      <c r="AD1512" s="302"/>
      <c r="AE1512" s="302"/>
      <c r="AF1512">
        <f t="shared" si="338"/>
        <v>0</v>
      </c>
    </row>
    <row r="1513" spans="1:32" hidden="1" x14ac:dyDescent="0.25">
      <c r="A1513" s="322"/>
      <c r="D1513" s="4"/>
      <c r="E1513" s="2"/>
      <c r="F1513" s="2"/>
      <c r="G1513" s="6"/>
      <c r="H1513" s="7"/>
      <c r="I1513" s="7"/>
      <c r="J1513" s="186"/>
      <c r="K1513" s="186"/>
      <c r="L1513" s="386"/>
      <c r="M1513" s="386"/>
      <c r="N1513" s="32"/>
      <c r="O1513" s="32"/>
      <c r="P1513" s="278"/>
      <c r="Q1513" s="233"/>
      <c r="R1513" s="75"/>
      <c r="S1513" s="75"/>
      <c r="T1513" s="75"/>
      <c r="U1513" s="200"/>
      <c r="V1513" s="75"/>
      <c r="W1513" s="75"/>
      <c r="X1513" s="200"/>
      <c r="Y1513" s="1"/>
      <c r="Z1513" s="77"/>
      <c r="AA1513" s="225"/>
      <c r="AB1513" s="302"/>
      <c r="AC1513" s="302"/>
      <c r="AD1513" s="302"/>
      <c r="AE1513" s="302"/>
      <c r="AF1513">
        <f t="shared" si="338"/>
        <v>0</v>
      </c>
    </row>
    <row r="1514" spans="1:32" ht="26.25" hidden="1" x14ac:dyDescent="0.25">
      <c r="A1514" s="322" t="s">
        <v>4200</v>
      </c>
      <c r="B1514" s="93" t="str">
        <f>IF(COUNTIF(GIS,A1514),"YES","NO")</f>
        <v>YES</v>
      </c>
      <c r="C1514" s="93" t="s">
        <v>5503</v>
      </c>
      <c r="D1514" s="4">
        <v>41017</v>
      </c>
      <c r="E1514" s="2">
        <v>41091</v>
      </c>
      <c r="F1514" s="2">
        <f t="shared" si="339"/>
        <v>44743</v>
      </c>
      <c r="G1514" s="6">
        <v>480</v>
      </c>
      <c r="H1514" s="7" t="s">
        <v>904</v>
      </c>
      <c r="I1514" s="7" t="s">
        <v>512</v>
      </c>
      <c r="J1514" s="105" t="s">
        <v>4849</v>
      </c>
      <c r="K1514" s="266">
        <f>YEAR(F1514)</f>
        <v>2022</v>
      </c>
      <c r="L1514" s="390" t="s">
        <v>7606</v>
      </c>
      <c r="M1514" s="390" t="s">
        <v>7574</v>
      </c>
      <c r="N1514" s="32" t="s">
        <v>4202</v>
      </c>
      <c r="O1514" s="32" t="s">
        <v>4203</v>
      </c>
      <c r="P1514" s="278"/>
      <c r="Q1514" s="233" t="s">
        <v>4201</v>
      </c>
      <c r="R1514" s="75">
        <v>1830</v>
      </c>
      <c r="S1514" s="75">
        <v>483840</v>
      </c>
      <c r="T1514" s="75">
        <v>485670</v>
      </c>
      <c r="U1514" s="200">
        <v>720</v>
      </c>
      <c r="V1514" s="287">
        <f ca="1">IF(YEAR($W$3)-YEAR(E1514)&gt;9,10,IF(MONTH($W$3)&lt;MONTH(E1514),YEAR($W$3)-YEAR(E1514),YEAR($W$3)-YEAR(E1514)+1))</f>
        <v>8</v>
      </c>
      <c r="W1514" s="75">
        <f t="shared" ref="W1514:W1516" ca="1" si="340">IF(V1514&lt;6, ROUNDUP(G1514,0)*$W$6*V1514, ROUNDUP(G1514,0)*($W$6*5 + (V1514-5)*$W$7))</f>
        <v>6480</v>
      </c>
      <c r="X1514" s="200">
        <f t="shared" ref="X1514:X1516" ca="1" si="341">IF(V1514=0,T1514,((T1514-ROUNDUP(G1514,0)*1.5)+W1514))</f>
        <v>491430</v>
      </c>
      <c r="Y1514" s="1"/>
      <c r="Z1514" s="31">
        <v>0.1</v>
      </c>
      <c r="AA1514" s="223">
        <v>0.09</v>
      </c>
      <c r="AB1514" s="302" t="s">
        <v>7187</v>
      </c>
      <c r="AC1514" s="302"/>
      <c r="AD1514" s="302"/>
      <c r="AE1514" s="302"/>
      <c r="AF1514">
        <f t="shared" si="338"/>
        <v>0</v>
      </c>
    </row>
    <row r="1515" spans="1:32" ht="26.25" hidden="1" x14ac:dyDescent="0.25">
      <c r="A1515" s="322" t="s">
        <v>4204</v>
      </c>
      <c r="B1515" s="93" t="str">
        <f>IF(COUNTIF(GIS,A1515),"YES","NO")</f>
        <v>YES</v>
      </c>
      <c r="C1515" s="93" t="s">
        <v>5503</v>
      </c>
      <c r="D1515" s="4">
        <v>41017</v>
      </c>
      <c r="E1515" s="2">
        <v>41091</v>
      </c>
      <c r="F1515" s="2">
        <f t="shared" si="339"/>
        <v>44743</v>
      </c>
      <c r="G1515" s="6">
        <v>160</v>
      </c>
      <c r="H1515" s="7" t="s">
        <v>904</v>
      </c>
      <c r="I1515" s="7" t="s">
        <v>512</v>
      </c>
      <c r="J1515" s="105" t="s">
        <v>4849</v>
      </c>
      <c r="K1515" s="266">
        <f>YEAR(F1515)</f>
        <v>2022</v>
      </c>
      <c r="L1515" s="390" t="s">
        <v>7606</v>
      </c>
      <c r="M1515" s="390" t="s">
        <v>7574</v>
      </c>
      <c r="N1515" s="32" t="s">
        <v>4202</v>
      </c>
      <c r="O1515" s="32" t="s">
        <v>4206</v>
      </c>
      <c r="P1515" s="278"/>
      <c r="Q1515" s="233" t="s">
        <v>4205</v>
      </c>
      <c r="R1515" s="75">
        <v>710</v>
      </c>
      <c r="S1515" s="75">
        <v>167680</v>
      </c>
      <c r="T1515" s="75">
        <v>168390</v>
      </c>
      <c r="U1515" s="200">
        <v>240</v>
      </c>
      <c r="V1515" s="287">
        <f ca="1">IF(YEAR($W$3)-YEAR(E1515)&gt;9,10,IF(MONTH($W$3)&lt;MONTH(E1515),YEAR($W$3)-YEAR(E1515),YEAR($W$3)-YEAR(E1515)+1))</f>
        <v>8</v>
      </c>
      <c r="W1515" s="75">
        <f t="shared" ca="1" si="340"/>
        <v>2160</v>
      </c>
      <c r="X1515" s="200">
        <f t="shared" ca="1" si="341"/>
        <v>170310</v>
      </c>
      <c r="Y1515" s="1"/>
      <c r="Z1515" s="31">
        <v>0.1</v>
      </c>
      <c r="AA1515" s="223">
        <v>0.09</v>
      </c>
      <c r="AB1515" s="302" t="s">
        <v>7188</v>
      </c>
      <c r="AC1515" s="302"/>
      <c r="AD1515" s="302"/>
      <c r="AE1515" s="302"/>
      <c r="AF1515">
        <f t="shared" si="338"/>
        <v>0</v>
      </c>
    </row>
    <row r="1516" spans="1:32" hidden="1" x14ac:dyDescent="0.25">
      <c r="A1516" s="322" t="s">
        <v>4207</v>
      </c>
      <c r="B1516" s="93" t="str">
        <f>IF(COUNTIF(GIS,A1516),"YES","NO")</f>
        <v>YES</v>
      </c>
      <c r="C1516" s="93" t="s">
        <v>5503</v>
      </c>
      <c r="D1516" s="4">
        <v>41017</v>
      </c>
      <c r="E1516" s="2">
        <v>41091</v>
      </c>
      <c r="F1516" s="2">
        <f t="shared" si="339"/>
        <v>44743</v>
      </c>
      <c r="G1516" s="6">
        <v>20</v>
      </c>
      <c r="H1516" s="7" t="s">
        <v>4209</v>
      </c>
      <c r="I1516" s="7" t="s">
        <v>198</v>
      </c>
      <c r="J1516" s="186"/>
      <c r="K1516" s="266">
        <f>YEAR(F1516)</f>
        <v>2022</v>
      </c>
      <c r="L1516" s="390" t="s">
        <v>5519</v>
      </c>
      <c r="M1516" s="390" t="s">
        <v>7574</v>
      </c>
      <c r="N1516" s="32" t="s">
        <v>4210</v>
      </c>
      <c r="O1516" s="32" t="s">
        <v>4211</v>
      </c>
      <c r="P1516" s="278"/>
      <c r="Q1516" s="233" t="s">
        <v>4208</v>
      </c>
      <c r="R1516" s="75">
        <v>220</v>
      </c>
      <c r="S1516" s="75">
        <v>0</v>
      </c>
      <c r="T1516" s="75">
        <v>220</v>
      </c>
      <c r="U1516" s="200">
        <v>30</v>
      </c>
      <c r="V1516" s="287">
        <f ca="1">IF(YEAR($W$3)-YEAR(E1516)&gt;9,10,IF(MONTH($W$3)&lt;MONTH(E1516),YEAR($W$3)-YEAR(E1516),YEAR($W$3)-YEAR(E1516)+1))</f>
        <v>8</v>
      </c>
      <c r="W1516" s="75">
        <f t="shared" ca="1" si="340"/>
        <v>270</v>
      </c>
      <c r="X1516" s="200">
        <f t="shared" ca="1" si="341"/>
        <v>460</v>
      </c>
      <c r="Y1516" s="1"/>
      <c r="Z1516" s="31">
        <v>0.1</v>
      </c>
      <c r="AA1516" s="223">
        <v>0.09</v>
      </c>
      <c r="AB1516" s="302" t="s">
        <v>7189</v>
      </c>
      <c r="AC1516" s="302"/>
      <c r="AD1516" s="302"/>
      <c r="AE1516" s="302"/>
      <c r="AF1516">
        <f t="shared" si="338"/>
        <v>0</v>
      </c>
    </row>
    <row r="1517" spans="1:32" ht="15.75" hidden="1" thickBot="1" x14ac:dyDescent="0.3">
      <c r="A1517" s="322"/>
      <c r="D1517" s="7"/>
      <c r="E1517" s="8"/>
      <c r="F1517" s="2"/>
      <c r="G1517" s="6"/>
      <c r="H1517" s="7"/>
      <c r="I1517" s="7"/>
      <c r="J1517" s="186"/>
      <c r="K1517" s="186"/>
      <c r="L1517" s="386"/>
      <c r="M1517" s="386"/>
      <c r="N1517" s="32"/>
      <c r="O1517" s="32"/>
      <c r="P1517" s="278"/>
      <c r="Q1517" s="233"/>
      <c r="R1517" s="76">
        <v>2760</v>
      </c>
      <c r="S1517" s="76">
        <v>651520</v>
      </c>
      <c r="T1517" s="76">
        <v>654280</v>
      </c>
      <c r="U1517" s="200"/>
      <c r="V1517" s="75"/>
      <c r="W1517" s="75"/>
      <c r="X1517" s="200"/>
      <c r="Y1517" s="1"/>
      <c r="Z1517" s="1"/>
      <c r="AA1517" s="219"/>
      <c r="AB1517" s="302"/>
      <c r="AC1517" s="302"/>
      <c r="AD1517" s="302"/>
      <c r="AE1517" s="302"/>
      <c r="AF1517">
        <f t="shared" si="338"/>
        <v>0</v>
      </c>
    </row>
    <row r="1518" spans="1:32" hidden="1" x14ac:dyDescent="0.25">
      <c r="A1518" s="322"/>
      <c r="D1518" s="7"/>
      <c r="E1518" s="8"/>
      <c r="F1518" s="2"/>
      <c r="G1518" s="7"/>
      <c r="H1518" s="7"/>
      <c r="I1518" s="7"/>
      <c r="J1518" s="186"/>
      <c r="K1518" s="186"/>
      <c r="L1518" s="386"/>
      <c r="M1518" s="386"/>
      <c r="N1518" s="32"/>
      <c r="O1518" s="32"/>
      <c r="P1518" s="278"/>
      <c r="Q1518" s="233"/>
      <c r="R1518" s="75"/>
      <c r="S1518" s="75"/>
      <c r="T1518" s="75"/>
      <c r="U1518" s="200"/>
      <c r="V1518" s="75"/>
      <c r="W1518" s="75"/>
      <c r="X1518" s="200"/>
      <c r="Y1518" s="1"/>
      <c r="Z1518" s="1"/>
      <c r="AA1518" s="219"/>
      <c r="AB1518" s="302"/>
      <c r="AC1518" s="302"/>
      <c r="AD1518" s="302"/>
      <c r="AE1518" s="302"/>
      <c r="AF1518">
        <f t="shared" si="338"/>
        <v>0</v>
      </c>
    </row>
    <row r="1519" spans="1:32" ht="26.25" hidden="1" x14ac:dyDescent="0.25">
      <c r="A1519" s="322" t="s">
        <v>4212</v>
      </c>
      <c r="B1519" s="93" t="str">
        <f t="shared" ref="B1519:B1558" si="342">IF(COUNTIF(GIS,A1519),"YES","NO")</f>
        <v>YES</v>
      </c>
      <c r="C1519" s="93" t="s">
        <v>5503</v>
      </c>
      <c r="D1519" s="4">
        <v>41074</v>
      </c>
      <c r="E1519" s="2">
        <v>41122</v>
      </c>
      <c r="F1519" s="2">
        <f t="shared" si="339"/>
        <v>44774</v>
      </c>
      <c r="G1519" s="10">
        <v>233.29</v>
      </c>
      <c r="H1519" s="7" t="s">
        <v>287</v>
      </c>
      <c r="I1519" s="7" t="s">
        <v>86</v>
      </c>
      <c r="J1519" s="186"/>
      <c r="K1519" s="266">
        <f t="shared" ref="K1519:K1558" si="343">YEAR(F1519)</f>
        <v>2022</v>
      </c>
      <c r="L1519" s="301" t="s">
        <v>5514</v>
      </c>
      <c r="M1519" s="301" t="s">
        <v>5573</v>
      </c>
      <c r="N1519" s="32" t="s">
        <v>7796</v>
      </c>
      <c r="O1519" s="32" t="s">
        <v>4214</v>
      </c>
      <c r="P1519" s="278"/>
      <c r="Q1519" s="233" t="s">
        <v>4213</v>
      </c>
      <c r="R1519" s="75">
        <v>969</v>
      </c>
      <c r="S1519" s="75">
        <v>98982</v>
      </c>
      <c r="T1519" s="75">
        <v>99951</v>
      </c>
      <c r="U1519" s="200">
        <v>351</v>
      </c>
      <c r="V1519" s="287">
        <f t="shared" ref="V1519:V1558" ca="1" si="344">IF(YEAR($W$3)-YEAR(E1519)&gt;9,10,IF(MONTH($W$3)&lt;MONTH(E1519),YEAR($W$3)-YEAR(E1519),YEAR($W$3)-YEAR(E1519)+1))</f>
        <v>8</v>
      </c>
      <c r="W1519" s="75">
        <f t="shared" ref="W1519:W1558" ca="1" si="345">IF(V1519&lt;6, ROUNDUP(G1519,0)*$W$6*V1519, ROUNDUP(G1519,0)*($W$6*5 + (V1519-5)*$W$7))</f>
        <v>3159</v>
      </c>
      <c r="X1519" s="200">
        <f t="shared" ref="X1519:X1558" ca="1" si="346">IF(V1519=0,T1519,((T1519-ROUNDUP(G1519,0)*1.5)+W1519))</f>
        <v>102759</v>
      </c>
      <c r="Y1519" s="7"/>
      <c r="Z1519" s="31">
        <v>0.1</v>
      </c>
      <c r="AA1519" s="223">
        <v>0.09</v>
      </c>
      <c r="AB1519" s="302" t="s">
        <v>7190</v>
      </c>
      <c r="AC1519" s="302"/>
      <c r="AD1519" s="302"/>
      <c r="AE1519" s="302"/>
      <c r="AF1519">
        <f t="shared" si="338"/>
        <v>0</v>
      </c>
    </row>
    <row r="1520" spans="1:32" hidden="1" x14ac:dyDescent="0.25">
      <c r="A1520" s="322" t="s">
        <v>4215</v>
      </c>
      <c r="B1520" s="93" t="str">
        <f t="shared" si="342"/>
        <v>YES</v>
      </c>
      <c r="C1520" s="93" t="s">
        <v>5503</v>
      </c>
      <c r="D1520" s="4">
        <v>41074</v>
      </c>
      <c r="E1520" s="2">
        <v>41122</v>
      </c>
      <c r="F1520" s="2">
        <f t="shared" si="339"/>
        <v>44774</v>
      </c>
      <c r="G1520" s="10">
        <v>471.91</v>
      </c>
      <c r="H1520" s="7" t="s">
        <v>287</v>
      </c>
      <c r="I1520" s="7" t="s">
        <v>86</v>
      </c>
      <c r="J1520" s="186"/>
      <c r="K1520" s="266">
        <f t="shared" si="343"/>
        <v>2022</v>
      </c>
      <c r="L1520" s="301" t="s">
        <v>5514</v>
      </c>
      <c r="M1520" s="301" t="s">
        <v>7589</v>
      </c>
      <c r="N1520" s="32" t="s">
        <v>7796</v>
      </c>
      <c r="O1520" s="32" t="s">
        <v>4217</v>
      </c>
      <c r="P1520" s="278"/>
      <c r="Q1520" s="233" t="s">
        <v>4216</v>
      </c>
      <c r="R1520" s="75">
        <v>1802</v>
      </c>
      <c r="S1520" s="75">
        <v>15576</v>
      </c>
      <c r="T1520" s="75">
        <v>17378</v>
      </c>
      <c r="U1520" s="200">
        <v>708</v>
      </c>
      <c r="V1520" s="287">
        <f t="shared" ca="1" si="344"/>
        <v>8</v>
      </c>
      <c r="W1520" s="75">
        <f t="shared" ca="1" si="345"/>
        <v>6372</v>
      </c>
      <c r="X1520" s="200">
        <f t="shared" ca="1" si="346"/>
        <v>23042</v>
      </c>
      <c r="Y1520" s="7"/>
      <c r="Z1520" s="31">
        <v>0.1</v>
      </c>
      <c r="AA1520" s="223">
        <v>0.09</v>
      </c>
      <c r="AB1520" s="302" t="s">
        <v>7191</v>
      </c>
      <c r="AC1520" s="302"/>
      <c r="AD1520" s="302"/>
      <c r="AE1520" s="302"/>
      <c r="AF1520">
        <f t="shared" si="338"/>
        <v>0</v>
      </c>
    </row>
    <row r="1521" spans="1:32" hidden="1" x14ac:dyDescent="0.25">
      <c r="A1521" s="322" t="s">
        <v>4218</v>
      </c>
      <c r="B1521" s="93" t="str">
        <f t="shared" si="342"/>
        <v>YES</v>
      </c>
      <c r="C1521" s="93" t="s">
        <v>5503</v>
      </c>
      <c r="D1521" s="4">
        <v>41074</v>
      </c>
      <c r="E1521" s="2">
        <v>41122</v>
      </c>
      <c r="F1521" s="2">
        <f t="shared" si="339"/>
        <v>44774</v>
      </c>
      <c r="G1521" s="10">
        <v>160</v>
      </c>
      <c r="H1521" s="7" t="s">
        <v>4220</v>
      </c>
      <c r="I1521" s="7" t="s">
        <v>86</v>
      </c>
      <c r="J1521" s="186"/>
      <c r="K1521" s="266">
        <f t="shared" si="343"/>
        <v>2022</v>
      </c>
      <c r="L1521" s="301" t="s">
        <v>5519</v>
      </c>
      <c r="M1521" s="301" t="s">
        <v>7592</v>
      </c>
      <c r="N1521" s="32" t="s">
        <v>7796</v>
      </c>
      <c r="O1521" s="32" t="s">
        <v>4221</v>
      </c>
      <c r="P1521" s="278"/>
      <c r="Q1521" s="233" t="s">
        <v>4219</v>
      </c>
      <c r="R1521" s="75">
        <v>710</v>
      </c>
      <c r="S1521" s="75">
        <v>8480</v>
      </c>
      <c r="T1521" s="75">
        <v>9190</v>
      </c>
      <c r="U1521" s="200">
        <v>240</v>
      </c>
      <c r="V1521" s="287">
        <f t="shared" ca="1" si="344"/>
        <v>8</v>
      </c>
      <c r="W1521" s="75">
        <f t="shared" ca="1" si="345"/>
        <v>2160</v>
      </c>
      <c r="X1521" s="200">
        <f t="shared" ca="1" si="346"/>
        <v>11110</v>
      </c>
      <c r="Y1521" s="7"/>
      <c r="Z1521" s="31">
        <v>0.1</v>
      </c>
      <c r="AA1521" s="223">
        <v>0.09</v>
      </c>
      <c r="AB1521" s="302" t="s">
        <v>7192</v>
      </c>
      <c r="AC1521" s="302"/>
      <c r="AD1521" s="302"/>
      <c r="AE1521" s="302"/>
      <c r="AF1521">
        <f t="shared" si="338"/>
        <v>0</v>
      </c>
    </row>
    <row r="1522" spans="1:32" hidden="1" x14ac:dyDescent="0.25">
      <c r="A1522" s="322" t="s">
        <v>4222</v>
      </c>
      <c r="B1522" s="93" t="str">
        <f t="shared" si="342"/>
        <v>YES</v>
      </c>
      <c r="C1522" s="93" t="s">
        <v>5503</v>
      </c>
      <c r="D1522" s="4">
        <v>41074</v>
      </c>
      <c r="E1522" s="2">
        <v>41122</v>
      </c>
      <c r="F1522" s="2">
        <f t="shared" si="339"/>
        <v>44774</v>
      </c>
      <c r="G1522" s="10">
        <v>1285.44</v>
      </c>
      <c r="H1522" s="7" t="s">
        <v>4220</v>
      </c>
      <c r="I1522" s="7" t="s">
        <v>86</v>
      </c>
      <c r="J1522" s="186"/>
      <c r="K1522" s="266">
        <f t="shared" si="343"/>
        <v>2022</v>
      </c>
      <c r="L1522" s="301" t="s">
        <v>5519</v>
      </c>
      <c r="M1522" s="301" t="s">
        <v>7592</v>
      </c>
      <c r="N1522" s="32" t="s">
        <v>7796</v>
      </c>
      <c r="O1522" s="32" t="s">
        <v>4224</v>
      </c>
      <c r="P1522" s="278"/>
      <c r="Q1522" s="233" t="s">
        <v>4223</v>
      </c>
      <c r="R1522" s="75">
        <v>4651</v>
      </c>
      <c r="S1522" s="75">
        <v>46296</v>
      </c>
      <c r="T1522" s="75">
        <v>50947</v>
      </c>
      <c r="U1522" s="200">
        <v>1929</v>
      </c>
      <c r="V1522" s="287">
        <f t="shared" ca="1" si="344"/>
        <v>8</v>
      </c>
      <c r="W1522" s="75">
        <f t="shared" ca="1" si="345"/>
        <v>17361</v>
      </c>
      <c r="X1522" s="200">
        <f t="shared" ca="1" si="346"/>
        <v>66379</v>
      </c>
      <c r="Y1522" s="7"/>
      <c r="Z1522" s="31">
        <v>0.1</v>
      </c>
      <c r="AA1522" s="223">
        <v>0.09</v>
      </c>
      <c r="AB1522" s="302" t="s">
        <v>7193</v>
      </c>
      <c r="AC1522" s="302"/>
      <c r="AD1522" s="302"/>
      <c r="AE1522" s="302"/>
      <c r="AF1522">
        <f t="shared" si="338"/>
        <v>0</v>
      </c>
    </row>
    <row r="1523" spans="1:32" hidden="1" x14ac:dyDescent="0.25">
      <c r="A1523" s="322" t="s">
        <v>4225</v>
      </c>
      <c r="B1523" s="93" t="str">
        <f t="shared" si="342"/>
        <v>YES</v>
      </c>
      <c r="C1523" s="93" t="s">
        <v>5503</v>
      </c>
      <c r="D1523" s="4">
        <v>41074</v>
      </c>
      <c r="E1523" s="2">
        <v>41122</v>
      </c>
      <c r="F1523" s="2">
        <f t="shared" si="339"/>
        <v>44774</v>
      </c>
      <c r="G1523" s="10">
        <v>210.3</v>
      </c>
      <c r="H1523" s="7" t="s">
        <v>4220</v>
      </c>
      <c r="I1523" s="7" t="s">
        <v>86</v>
      </c>
      <c r="J1523" s="186"/>
      <c r="K1523" s="266">
        <f t="shared" si="343"/>
        <v>2022</v>
      </c>
      <c r="L1523" s="301" t="s">
        <v>5519</v>
      </c>
      <c r="M1523" s="301" t="s">
        <v>7592</v>
      </c>
      <c r="N1523" s="32" t="s">
        <v>7796</v>
      </c>
      <c r="O1523" s="32" t="s">
        <v>4227</v>
      </c>
      <c r="P1523" s="278"/>
      <c r="Q1523" s="233" t="s">
        <v>4226</v>
      </c>
      <c r="R1523" s="75">
        <v>888.5</v>
      </c>
      <c r="S1523" s="75">
        <v>11816</v>
      </c>
      <c r="T1523" s="75">
        <v>12704.5</v>
      </c>
      <c r="U1523" s="200">
        <v>316.5</v>
      </c>
      <c r="V1523" s="287">
        <f t="shared" ca="1" si="344"/>
        <v>8</v>
      </c>
      <c r="W1523" s="75">
        <f t="shared" ca="1" si="345"/>
        <v>2848.5</v>
      </c>
      <c r="X1523" s="200">
        <f t="shared" ca="1" si="346"/>
        <v>15236.5</v>
      </c>
      <c r="Y1523" s="7"/>
      <c r="Z1523" s="31">
        <v>0.1</v>
      </c>
      <c r="AA1523" s="223">
        <v>0.09</v>
      </c>
      <c r="AB1523" s="302" t="s">
        <v>7194</v>
      </c>
      <c r="AC1523" s="302"/>
      <c r="AD1523" s="302"/>
      <c r="AE1523" s="302"/>
      <c r="AF1523">
        <f t="shared" si="338"/>
        <v>0</v>
      </c>
    </row>
    <row r="1524" spans="1:32" hidden="1" x14ac:dyDescent="0.25">
      <c r="A1524" s="322" t="s">
        <v>4228</v>
      </c>
      <c r="B1524" s="93" t="str">
        <f t="shared" si="342"/>
        <v>YES</v>
      </c>
      <c r="C1524" s="93" t="s">
        <v>5503</v>
      </c>
      <c r="D1524" s="4">
        <v>41074</v>
      </c>
      <c r="E1524" s="2">
        <v>41122</v>
      </c>
      <c r="F1524" s="2">
        <f t="shared" si="339"/>
        <v>44774</v>
      </c>
      <c r="G1524" s="10">
        <v>639.55999999999995</v>
      </c>
      <c r="H1524" s="7" t="s">
        <v>4220</v>
      </c>
      <c r="I1524" s="7" t="s">
        <v>86</v>
      </c>
      <c r="J1524" s="186"/>
      <c r="K1524" s="266">
        <f t="shared" si="343"/>
        <v>2022</v>
      </c>
      <c r="L1524" s="301" t="s">
        <v>5519</v>
      </c>
      <c r="M1524" s="301" t="s">
        <v>7592</v>
      </c>
      <c r="N1524" s="32" t="s">
        <v>7796</v>
      </c>
      <c r="O1524" s="32" t="s">
        <v>4230</v>
      </c>
      <c r="P1524" s="278"/>
      <c r="Q1524" s="233" t="s">
        <v>4229</v>
      </c>
      <c r="R1524" s="75">
        <v>2390</v>
      </c>
      <c r="S1524" s="75">
        <v>32000</v>
      </c>
      <c r="T1524" s="75">
        <v>34390</v>
      </c>
      <c r="U1524" s="200">
        <v>960</v>
      </c>
      <c r="V1524" s="287">
        <f t="shared" ca="1" si="344"/>
        <v>8</v>
      </c>
      <c r="W1524" s="75">
        <f t="shared" ca="1" si="345"/>
        <v>8640</v>
      </c>
      <c r="X1524" s="200">
        <f t="shared" ca="1" si="346"/>
        <v>42070</v>
      </c>
      <c r="Y1524" s="7"/>
      <c r="Z1524" s="31">
        <v>0.1</v>
      </c>
      <c r="AA1524" s="223">
        <v>0.09</v>
      </c>
      <c r="AB1524" s="302" t="s">
        <v>7195</v>
      </c>
      <c r="AC1524" s="302"/>
      <c r="AD1524" s="302"/>
      <c r="AE1524" s="302"/>
      <c r="AF1524">
        <f t="shared" si="338"/>
        <v>0</v>
      </c>
    </row>
    <row r="1525" spans="1:32" hidden="1" x14ac:dyDescent="0.25">
      <c r="A1525" s="322" t="s">
        <v>4231</v>
      </c>
      <c r="B1525" s="93" t="str">
        <f t="shared" si="342"/>
        <v>YES</v>
      </c>
      <c r="C1525" s="93" t="s">
        <v>5503</v>
      </c>
      <c r="D1525" s="4">
        <v>41074</v>
      </c>
      <c r="E1525" s="2">
        <v>41122</v>
      </c>
      <c r="F1525" s="2">
        <f t="shared" si="339"/>
        <v>44774</v>
      </c>
      <c r="G1525" s="10">
        <v>637.4</v>
      </c>
      <c r="H1525" s="7" t="s">
        <v>4141</v>
      </c>
      <c r="I1525" s="7" t="s">
        <v>79</v>
      </c>
      <c r="J1525" s="186"/>
      <c r="K1525" s="266">
        <f t="shared" si="343"/>
        <v>2022</v>
      </c>
      <c r="L1525" s="390" t="s">
        <v>5834</v>
      </c>
      <c r="M1525" s="390" t="s">
        <v>5809</v>
      </c>
      <c r="N1525" s="32" t="s">
        <v>7794</v>
      </c>
      <c r="O1525" s="32" t="s">
        <v>4233</v>
      </c>
      <c r="P1525" s="278"/>
      <c r="Q1525" s="233" t="s">
        <v>4232</v>
      </c>
      <c r="R1525" s="75">
        <v>2383</v>
      </c>
      <c r="S1525" s="75">
        <v>0</v>
      </c>
      <c r="T1525" s="75">
        <v>2383</v>
      </c>
      <c r="U1525" s="200">
        <v>957</v>
      </c>
      <c r="V1525" s="287">
        <f t="shared" ca="1" si="344"/>
        <v>8</v>
      </c>
      <c r="W1525" s="75">
        <f t="shared" ca="1" si="345"/>
        <v>8613</v>
      </c>
      <c r="X1525" s="200">
        <f t="shared" ca="1" si="346"/>
        <v>10039</v>
      </c>
      <c r="Y1525" s="7"/>
      <c r="Z1525" s="31">
        <v>0.1</v>
      </c>
      <c r="AA1525" s="223">
        <v>0.09</v>
      </c>
      <c r="AB1525" s="302" t="s">
        <v>7196</v>
      </c>
      <c r="AC1525" s="302"/>
      <c r="AD1525" s="302"/>
      <c r="AE1525" s="302"/>
      <c r="AF1525">
        <f t="shared" si="338"/>
        <v>0</v>
      </c>
    </row>
    <row r="1526" spans="1:32" hidden="1" x14ac:dyDescent="0.25">
      <c r="A1526" s="322" t="s">
        <v>4234</v>
      </c>
      <c r="B1526" s="93" t="str">
        <f t="shared" si="342"/>
        <v>YES</v>
      </c>
      <c r="C1526" s="93" t="s">
        <v>5503</v>
      </c>
      <c r="D1526" s="4">
        <v>41074</v>
      </c>
      <c r="E1526" s="2">
        <v>41122</v>
      </c>
      <c r="F1526" s="2">
        <f t="shared" si="339"/>
        <v>44774</v>
      </c>
      <c r="G1526" s="10">
        <v>1274</v>
      </c>
      <c r="H1526" s="7" t="s">
        <v>4141</v>
      </c>
      <c r="I1526" s="7" t="s">
        <v>79</v>
      </c>
      <c r="J1526" s="186"/>
      <c r="K1526" s="266">
        <f t="shared" si="343"/>
        <v>2022</v>
      </c>
      <c r="L1526" s="390" t="s">
        <v>5834</v>
      </c>
      <c r="M1526" s="390" t="s">
        <v>5809</v>
      </c>
      <c r="N1526" s="32" t="s">
        <v>7794</v>
      </c>
      <c r="O1526" s="32" t="s">
        <v>4236</v>
      </c>
      <c r="P1526" s="278"/>
      <c r="Q1526" s="233" t="s">
        <v>4235</v>
      </c>
      <c r="R1526" s="75">
        <v>4609</v>
      </c>
      <c r="S1526" s="75">
        <v>5096</v>
      </c>
      <c r="T1526" s="75">
        <v>9705</v>
      </c>
      <c r="U1526" s="200">
        <v>1911</v>
      </c>
      <c r="V1526" s="287">
        <f t="shared" ca="1" si="344"/>
        <v>8</v>
      </c>
      <c r="W1526" s="75">
        <f t="shared" ca="1" si="345"/>
        <v>17199</v>
      </c>
      <c r="X1526" s="200">
        <f t="shared" ca="1" si="346"/>
        <v>24993</v>
      </c>
      <c r="Y1526" s="7"/>
      <c r="Z1526" s="31">
        <v>0.1</v>
      </c>
      <c r="AA1526" s="223">
        <v>0.09</v>
      </c>
      <c r="AB1526" s="302" t="s">
        <v>7197</v>
      </c>
      <c r="AC1526" s="302"/>
      <c r="AD1526" s="302"/>
      <c r="AE1526" s="302"/>
      <c r="AF1526">
        <f t="shared" si="338"/>
        <v>0</v>
      </c>
    </row>
    <row r="1527" spans="1:32" ht="26.25" hidden="1" x14ac:dyDescent="0.25">
      <c r="A1527" s="322" t="s">
        <v>4237</v>
      </c>
      <c r="B1527" s="93" t="str">
        <f t="shared" si="342"/>
        <v>YES</v>
      </c>
      <c r="C1527" s="93" t="s">
        <v>5503</v>
      </c>
      <c r="D1527" s="4">
        <v>41074</v>
      </c>
      <c r="E1527" s="2">
        <v>41122</v>
      </c>
      <c r="F1527" s="2">
        <f t="shared" si="339"/>
        <v>44774</v>
      </c>
      <c r="G1527" s="10">
        <v>2054.08</v>
      </c>
      <c r="H1527" s="7" t="s">
        <v>4141</v>
      </c>
      <c r="I1527" s="7" t="s">
        <v>79</v>
      </c>
      <c r="J1527" s="186"/>
      <c r="K1527" s="266">
        <f t="shared" si="343"/>
        <v>2022</v>
      </c>
      <c r="L1527" s="390" t="s">
        <v>5834</v>
      </c>
      <c r="M1527" s="390" t="s">
        <v>5809</v>
      </c>
      <c r="N1527" s="32" t="s">
        <v>7794</v>
      </c>
      <c r="O1527" s="32" t="s">
        <v>4239</v>
      </c>
      <c r="P1527" s="278"/>
      <c r="Q1527" s="233" t="s">
        <v>4238</v>
      </c>
      <c r="R1527" s="75">
        <v>7342.5</v>
      </c>
      <c r="S1527" s="75">
        <v>16440</v>
      </c>
      <c r="T1527" s="75">
        <v>23782.5</v>
      </c>
      <c r="U1527" s="200">
        <v>3082.5</v>
      </c>
      <c r="V1527" s="287">
        <f t="shared" ca="1" si="344"/>
        <v>8</v>
      </c>
      <c r="W1527" s="75">
        <f t="shared" ca="1" si="345"/>
        <v>27742.5</v>
      </c>
      <c r="X1527" s="200">
        <f t="shared" ca="1" si="346"/>
        <v>48442.5</v>
      </c>
      <c r="Y1527" s="7"/>
      <c r="Z1527" s="31">
        <v>0.1</v>
      </c>
      <c r="AA1527" s="223">
        <v>0.09</v>
      </c>
      <c r="AB1527" s="302" t="s">
        <v>7198</v>
      </c>
      <c r="AC1527" s="302"/>
      <c r="AD1527" s="302"/>
      <c r="AE1527" s="302"/>
      <c r="AF1527">
        <f t="shared" si="338"/>
        <v>0</v>
      </c>
    </row>
    <row r="1528" spans="1:32" hidden="1" x14ac:dyDescent="0.25">
      <c r="A1528" s="322" t="s">
        <v>4240</v>
      </c>
      <c r="B1528" s="93" t="str">
        <f t="shared" si="342"/>
        <v>YES</v>
      </c>
      <c r="C1528" s="93" t="s">
        <v>5503</v>
      </c>
      <c r="D1528" s="4">
        <v>41074</v>
      </c>
      <c r="E1528" s="2">
        <v>41122</v>
      </c>
      <c r="F1528" s="2">
        <f t="shared" si="339"/>
        <v>44774</v>
      </c>
      <c r="G1528" s="10">
        <v>1911.48</v>
      </c>
      <c r="H1528" s="7" t="s">
        <v>4141</v>
      </c>
      <c r="I1528" s="7" t="s">
        <v>79</v>
      </c>
      <c r="J1528" s="186"/>
      <c r="K1528" s="266">
        <f t="shared" si="343"/>
        <v>2022</v>
      </c>
      <c r="L1528" s="390" t="s">
        <v>5834</v>
      </c>
      <c r="M1528" s="390" t="s">
        <v>5809</v>
      </c>
      <c r="N1528" s="32" t="s">
        <v>7794</v>
      </c>
      <c r="O1528" s="32" t="s">
        <v>4242</v>
      </c>
      <c r="P1528" s="278"/>
      <c r="Q1528" s="233" t="s">
        <v>4241</v>
      </c>
      <c r="R1528" s="75">
        <v>6842</v>
      </c>
      <c r="S1528" s="75">
        <v>15296</v>
      </c>
      <c r="T1528" s="75">
        <v>22138</v>
      </c>
      <c r="U1528" s="200">
        <v>2868</v>
      </c>
      <c r="V1528" s="287">
        <f t="shared" ca="1" si="344"/>
        <v>8</v>
      </c>
      <c r="W1528" s="75">
        <f t="shared" ca="1" si="345"/>
        <v>25812</v>
      </c>
      <c r="X1528" s="200">
        <f t="shared" ca="1" si="346"/>
        <v>45082</v>
      </c>
      <c r="Y1528" s="7"/>
      <c r="Z1528" s="31">
        <v>0.1</v>
      </c>
      <c r="AA1528" s="223">
        <v>0.09</v>
      </c>
      <c r="AB1528" s="302" t="s">
        <v>7199</v>
      </c>
      <c r="AC1528" s="302"/>
      <c r="AD1528" s="302"/>
      <c r="AE1528" s="302"/>
      <c r="AF1528">
        <f t="shared" si="338"/>
        <v>0</v>
      </c>
    </row>
    <row r="1529" spans="1:32" hidden="1" x14ac:dyDescent="0.25">
      <c r="A1529" s="322" t="s">
        <v>4243</v>
      </c>
      <c r="B1529" s="93" t="str">
        <f t="shared" si="342"/>
        <v>YES</v>
      </c>
      <c r="C1529" s="93" t="s">
        <v>5503</v>
      </c>
      <c r="D1529" s="4">
        <v>41074</v>
      </c>
      <c r="E1529" s="2">
        <v>41122</v>
      </c>
      <c r="F1529" s="2">
        <f t="shared" si="339"/>
        <v>44774</v>
      </c>
      <c r="G1529" s="10">
        <v>642.53</v>
      </c>
      <c r="H1529" s="7" t="s">
        <v>4220</v>
      </c>
      <c r="I1529" s="7" t="s">
        <v>86</v>
      </c>
      <c r="J1529" s="186"/>
      <c r="K1529" s="266">
        <f t="shared" si="343"/>
        <v>2022</v>
      </c>
      <c r="L1529" s="301" t="s">
        <v>5519</v>
      </c>
      <c r="M1529" s="301" t="s">
        <v>7592</v>
      </c>
      <c r="N1529" s="32" t="s">
        <v>7796</v>
      </c>
      <c r="O1529" s="32" t="s">
        <v>3975</v>
      </c>
      <c r="P1529" s="278"/>
      <c r="Q1529" s="233" t="s">
        <v>4244</v>
      </c>
      <c r="R1529" s="75">
        <v>2400.5</v>
      </c>
      <c r="S1529" s="75">
        <v>30864</v>
      </c>
      <c r="T1529" s="75">
        <v>33264.5</v>
      </c>
      <c r="U1529" s="200">
        <v>964.5</v>
      </c>
      <c r="V1529" s="287">
        <f t="shared" ca="1" si="344"/>
        <v>8</v>
      </c>
      <c r="W1529" s="75">
        <f t="shared" ca="1" si="345"/>
        <v>8680.5</v>
      </c>
      <c r="X1529" s="200">
        <f t="shared" ca="1" si="346"/>
        <v>40980.5</v>
      </c>
      <c r="Y1529" s="7"/>
      <c r="Z1529" s="31">
        <v>0.1</v>
      </c>
      <c r="AA1529" s="223">
        <v>0.09</v>
      </c>
      <c r="AB1529" s="302" t="s">
        <v>7200</v>
      </c>
      <c r="AC1529" s="302"/>
      <c r="AD1529" s="302"/>
      <c r="AE1529" s="302"/>
      <c r="AF1529">
        <f t="shared" si="338"/>
        <v>0</v>
      </c>
    </row>
    <row r="1530" spans="1:32" hidden="1" x14ac:dyDescent="0.25">
      <c r="A1530" s="322" t="s">
        <v>4245</v>
      </c>
      <c r="B1530" s="93" t="str">
        <f t="shared" si="342"/>
        <v>YES</v>
      </c>
      <c r="C1530" s="93" t="s">
        <v>5503</v>
      </c>
      <c r="D1530" s="4">
        <v>41074</v>
      </c>
      <c r="E1530" s="2">
        <v>41122</v>
      </c>
      <c r="F1530" s="2">
        <f t="shared" si="339"/>
        <v>44774</v>
      </c>
      <c r="G1530" s="10">
        <v>1273.8</v>
      </c>
      <c r="H1530" s="7" t="s">
        <v>4141</v>
      </c>
      <c r="I1530" s="7" t="s">
        <v>79</v>
      </c>
      <c r="J1530" s="186"/>
      <c r="K1530" s="266">
        <f t="shared" si="343"/>
        <v>2022</v>
      </c>
      <c r="L1530" s="390" t="s">
        <v>5834</v>
      </c>
      <c r="M1530" s="390" t="s">
        <v>5809</v>
      </c>
      <c r="N1530" s="32" t="s">
        <v>7794</v>
      </c>
      <c r="O1530" s="32" t="s">
        <v>4247</v>
      </c>
      <c r="P1530" s="278"/>
      <c r="Q1530" s="233" t="s">
        <v>4246</v>
      </c>
      <c r="R1530" s="75">
        <v>4609</v>
      </c>
      <c r="S1530" s="75">
        <v>0</v>
      </c>
      <c r="T1530" s="75">
        <v>4609</v>
      </c>
      <c r="U1530" s="200">
        <v>1911</v>
      </c>
      <c r="V1530" s="287">
        <f t="shared" ca="1" si="344"/>
        <v>8</v>
      </c>
      <c r="W1530" s="75">
        <f t="shared" ca="1" si="345"/>
        <v>17199</v>
      </c>
      <c r="X1530" s="200">
        <f t="shared" ca="1" si="346"/>
        <v>19897</v>
      </c>
      <c r="Y1530" s="7"/>
      <c r="Z1530" s="31">
        <v>0.1</v>
      </c>
      <c r="AA1530" s="223">
        <v>0.09</v>
      </c>
      <c r="AB1530" s="302" t="s">
        <v>7201</v>
      </c>
      <c r="AC1530" s="302"/>
      <c r="AD1530" s="302"/>
      <c r="AE1530" s="302"/>
      <c r="AF1530">
        <f t="shared" si="338"/>
        <v>0</v>
      </c>
    </row>
    <row r="1531" spans="1:32" ht="51.75" hidden="1" customHeight="1" x14ac:dyDescent="0.25">
      <c r="A1531" s="322" t="s">
        <v>4248</v>
      </c>
      <c r="B1531" s="93" t="str">
        <f t="shared" si="342"/>
        <v>YES</v>
      </c>
      <c r="C1531" s="93" t="s">
        <v>5503</v>
      </c>
      <c r="D1531" s="4">
        <v>41074</v>
      </c>
      <c r="E1531" s="2">
        <v>41122</v>
      </c>
      <c r="F1531" s="2">
        <f t="shared" si="339"/>
        <v>44774</v>
      </c>
      <c r="G1531" s="10">
        <v>251.13</v>
      </c>
      <c r="H1531" s="7" t="s">
        <v>287</v>
      </c>
      <c r="I1531" s="7" t="s">
        <v>86</v>
      </c>
      <c r="J1531" s="186"/>
      <c r="K1531" s="266">
        <f t="shared" si="343"/>
        <v>2022</v>
      </c>
      <c r="L1531" s="301" t="s">
        <v>5519</v>
      </c>
      <c r="M1531" s="301" t="s">
        <v>5573</v>
      </c>
      <c r="N1531" s="32" t="s">
        <v>7786</v>
      </c>
      <c r="O1531" s="32" t="s">
        <v>4250</v>
      </c>
      <c r="P1531" s="278"/>
      <c r="Q1531" s="233" t="s">
        <v>4249</v>
      </c>
      <c r="R1531" s="75">
        <v>1032</v>
      </c>
      <c r="S1531" s="75">
        <v>9576</v>
      </c>
      <c r="T1531" s="75">
        <v>10608</v>
      </c>
      <c r="U1531" s="200">
        <v>378</v>
      </c>
      <c r="V1531" s="287">
        <f t="shared" ca="1" si="344"/>
        <v>8</v>
      </c>
      <c r="W1531" s="75">
        <f t="shared" ca="1" si="345"/>
        <v>3402</v>
      </c>
      <c r="X1531" s="200">
        <f t="shared" ca="1" si="346"/>
        <v>13632</v>
      </c>
      <c r="Y1531" s="7"/>
      <c r="Z1531" s="31">
        <v>0.1</v>
      </c>
      <c r="AA1531" s="223">
        <v>0.09</v>
      </c>
      <c r="AB1531" s="302" t="s">
        <v>7202</v>
      </c>
      <c r="AC1531" s="302"/>
      <c r="AD1531" s="302"/>
      <c r="AE1531" s="302"/>
      <c r="AF1531">
        <f t="shared" si="338"/>
        <v>0</v>
      </c>
    </row>
    <row r="1532" spans="1:32" hidden="1" x14ac:dyDescent="0.25">
      <c r="A1532" s="322" t="s">
        <v>4251</v>
      </c>
      <c r="B1532" s="93" t="str">
        <f t="shared" si="342"/>
        <v>YES</v>
      </c>
      <c r="C1532" s="93" t="s">
        <v>5503</v>
      </c>
      <c r="D1532" s="4">
        <v>41074</v>
      </c>
      <c r="E1532" s="2">
        <v>41122</v>
      </c>
      <c r="F1532" s="2">
        <f t="shared" si="339"/>
        <v>44774</v>
      </c>
      <c r="G1532" s="10">
        <v>1998.57</v>
      </c>
      <c r="H1532" s="7" t="s">
        <v>4141</v>
      </c>
      <c r="I1532" s="7" t="s">
        <v>79</v>
      </c>
      <c r="J1532" s="186"/>
      <c r="K1532" s="266">
        <f t="shared" si="343"/>
        <v>2022</v>
      </c>
      <c r="L1532" s="390" t="s">
        <v>5834</v>
      </c>
      <c r="M1532" s="390" t="s">
        <v>5809</v>
      </c>
      <c r="N1532" s="32" t="s">
        <v>7794</v>
      </c>
      <c r="O1532" s="32" t="s">
        <v>4253</v>
      </c>
      <c r="P1532" s="278"/>
      <c r="Q1532" s="233" t="s">
        <v>4252</v>
      </c>
      <c r="R1532" s="75">
        <v>7146.5</v>
      </c>
      <c r="S1532" s="75">
        <v>0</v>
      </c>
      <c r="T1532" s="75">
        <v>7146.5</v>
      </c>
      <c r="U1532" s="200">
        <v>2998.5</v>
      </c>
      <c r="V1532" s="287">
        <f t="shared" ca="1" si="344"/>
        <v>8</v>
      </c>
      <c r="W1532" s="75">
        <f t="shared" ca="1" si="345"/>
        <v>26986.5</v>
      </c>
      <c r="X1532" s="200">
        <f t="shared" ca="1" si="346"/>
        <v>31134.5</v>
      </c>
      <c r="Y1532" s="7"/>
      <c r="Z1532" s="31">
        <v>0.1</v>
      </c>
      <c r="AA1532" s="223">
        <v>0.09</v>
      </c>
      <c r="AB1532" s="302" t="s">
        <v>7203</v>
      </c>
      <c r="AC1532" s="302"/>
      <c r="AD1532" s="302"/>
      <c r="AE1532" s="302"/>
      <c r="AF1532">
        <f t="shared" si="338"/>
        <v>0</v>
      </c>
    </row>
    <row r="1533" spans="1:32" hidden="1" x14ac:dyDescent="0.25">
      <c r="A1533" s="322" t="s">
        <v>4254</v>
      </c>
      <c r="B1533" s="93" t="str">
        <f t="shared" si="342"/>
        <v>YES</v>
      </c>
      <c r="C1533" s="93" t="s">
        <v>5503</v>
      </c>
      <c r="D1533" s="4">
        <v>41074</v>
      </c>
      <c r="E1533" s="2">
        <v>41122</v>
      </c>
      <c r="F1533" s="2">
        <f t="shared" si="339"/>
        <v>44774</v>
      </c>
      <c r="G1533" s="10">
        <v>233</v>
      </c>
      <c r="H1533" s="7" t="s">
        <v>287</v>
      </c>
      <c r="I1533" s="7" t="s">
        <v>86</v>
      </c>
      <c r="J1533" s="186"/>
      <c r="K1533" s="266">
        <f t="shared" si="343"/>
        <v>2022</v>
      </c>
      <c r="L1533" s="301" t="s">
        <v>5514</v>
      </c>
      <c r="M1533" s="301" t="s">
        <v>7589</v>
      </c>
      <c r="N1533" s="32" t="s">
        <v>7786</v>
      </c>
      <c r="O1533" s="32" t="s">
        <v>4256</v>
      </c>
      <c r="P1533" s="278"/>
      <c r="Q1533" s="233" t="s">
        <v>4255</v>
      </c>
      <c r="R1533" s="75">
        <v>965.5</v>
      </c>
      <c r="S1533" s="75">
        <v>1864</v>
      </c>
      <c r="T1533" s="75">
        <v>2829.5</v>
      </c>
      <c r="U1533" s="200">
        <v>349.5</v>
      </c>
      <c r="V1533" s="287">
        <f t="shared" ca="1" si="344"/>
        <v>8</v>
      </c>
      <c r="W1533" s="75">
        <f t="shared" ca="1" si="345"/>
        <v>3145.5</v>
      </c>
      <c r="X1533" s="200">
        <f t="shared" ca="1" si="346"/>
        <v>5625.5</v>
      </c>
      <c r="Y1533" s="1"/>
      <c r="Z1533" s="31">
        <v>0.1</v>
      </c>
      <c r="AA1533" s="223">
        <v>0.09</v>
      </c>
      <c r="AB1533" s="302" t="s">
        <v>7204</v>
      </c>
      <c r="AC1533" s="302"/>
      <c r="AD1533" s="302"/>
      <c r="AE1533" s="302"/>
      <c r="AF1533">
        <f t="shared" si="338"/>
        <v>0</v>
      </c>
    </row>
    <row r="1534" spans="1:32" ht="51.75" hidden="1" customHeight="1" x14ac:dyDescent="0.25">
      <c r="A1534" s="322" t="s">
        <v>4257</v>
      </c>
      <c r="B1534" s="93" t="str">
        <f t="shared" si="342"/>
        <v>YES</v>
      </c>
      <c r="C1534" s="93" t="s">
        <v>5503</v>
      </c>
      <c r="D1534" s="4">
        <v>41074</v>
      </c>
      <c r="E1534" s="2">
        <v>41122</v>
      </c>
      <c r="F1534" s="2">
        <f t="shared" si="339"/>
        <v>44774</v>
      </c>
      <c r="G1534" s="10">
        <v>1501.96</v>
      </c>
      <c r="H1534" s="7" t="s">
        <v>4220</v>
      </c>
      <c r="I1534" s="7" t="s">
        <v>86</v>
      </c>
      <c r="J1534" s="186"/>
      <c r="K1534" s="266">
        <f t="shared" si="343"/>
        <v>2022</v>
      </c>
      <c r="L1534" s="301" t="s">
        <v>5519</v>
      </c>
      <c r="M1534" s="301" t="s">
        <v>7592</v>
      </c>
      <c r="N1534" s="32" t="s">
        <v>7786</v>
      </c>
      <c r="O1534" s="32" t="s">
        <v>4259</v>
      </c>
      <c r="P1534" s="278"/>
      <c r="Q1534" s="233" t="s">
        <v>4258</v>
      </c>
      <c r="R1534" s="75">
        <v>5407</v>
      </c>
      <c r="S1534" s="75">
        <v>54072</v>
      </c>
      <c r="T1534" s="75">
        <v>59479</v>
      </c>
      <c r="U1534" s="200">
        <v>2253</v>
      </c>
      <c r="V1534" s="287">
        <f t="shared" ca="1" si="344"/>
        <v>8</v>
      </c>
      <c r="W1534" s="75">
        <f t="shared" ca="1" si="345"/>
        <v>20277</v>
      </c>
      <c r="X1534" s="200">
        <f t="shared" ca="1" si="346"/>
        <v>77503</v>
      </c>
      <c r="Y1534" s="1"/>
      <c r="Z1534" s="31">
        <v>0.1</v>
      </c>
      <c r="AA1534" s="223">
        <v>0.09</v>
      </c>
      <c r="AB1534" s="302" t="s">
        <v>7205</v>
      </c>
      <c r="AC1534" s="302"/>
      <c r="AD1534" s="302"/>
      <c r="AE1534" s="302"/>
      <c r="AF1534">
        <f t="shared" si="338"/>
        <v>0</v>
      </c>
    </row>
    <row r="1535" spans="1:32" hidden="1" x14ac:dyDescent="0.25">
      <c r="A1535" s="322" t="s">
        <v>4260</v>
      </c>
      <c r="B1535" s="93" t="str">
        <f t="shared" si="342"/>
        <v>YES</v>
      </c>
      <c r="C1535" s="93" t="s">
        <v>5503</v>
      </c>
      <c r="D1535" s="4">
        <v>41074</v>
      </c>
      <c r="E1535" s="2">
        <v>41122</v>
      </c>
      <c r="F1535" s="2">
        <f t="shared" si="339"/>
        <v>44774</v>
      </c>
      <c r="G1535" s="10">
        <v>1154.67</v>
      </c>
      <c r="H1535" s="7" t="s">
        <v>4141</v>
      </c>
      <c r="I1535" s="7" t="s">
        <v>79</v>
      </c>
      <c r="J1535" s="186"/>
      <c r="K1535" s="266">
        <f t="shared" si="343"/>
        <v>2022</v>
      </c>
      <c r="L1535" s="390" t="s">
        <v>5834</v>
      </c>
      <c r="M1535" s="390" t="s">
        <v>5809</v>
      </c>
      <c r="N1535" s="32" t="s">
        <v>7794</v>
      </c>
      <c r="O1535" s="32" t="s">
        <v>4262</v>
      </c>
      <c r="P1535" s="278"/>
      <c r="Q1535" s="233" t="s">
        <v>4261</v>
      </c>
      <c r="R1535" s="75">
        <v>4192.5</v>
      </c>
      <c r="S1535" s="75">
        <v>0</v>
      </c>
      <c r="T1535" s="75">
        <v>4192.5</v>
      </c>
      <c r="U1535" s="200">
        <v>1732.5</v>
      </c>
      <c r="V1535" s="287">
        <f t="shared" ca="1" si="344"/>
        <v>8</v>
      </c>
      <c r="W1535" s="75">
        <f t="shared" ca="1" si="345"/>
        <v>15592.5</v>
      </c>
      <c r="X1535" s="200">
        <f t="shared" ca="1" si="346"/>
        <v>18052.5</v>
      </c>
      <c r="Y1535" s="1"/>
      <c r="Z1535" s="31">
        <v>0.1</v>
      </c>
      <c r="AA1535" s="223">
        <v>0.09</v>
      </c>
      <c r="AB1535" s="302" t="s">
        <v>7206</v>
      </c>
      <c r="AC1535" s="302"/>
      <c r="AD1535" s="302"/>
      <c r="AE1535" s="302"/>
      <c r="AF1535">
        <f t="shared" si="338"/>
        <v>0</v>
      </c>
    </row>
    <row r="1536" spans="1:32" hidden="1" x14ac:dyDescent="0.25">
      <c r="A1536" s="322" t="s">
        <v>4263</v>
      </c>
      <c r="B1536" s="93" t="str">
        <f t="shared" si="342"/>
        <v>YES</v>
      </c>
      <c r="C1536" s="93" t="s">
        <v>5503</v>
      </c>
      <c r="D1536" s="4">
        <v>41074</v>
      </c>
      <c r="E1536" s="2">
        <v>41122</v>
      </c>
      <c r="F1536" s="2">
        <f t="shared" si="339"/>
        <v>44774</v>
      </c>
      <c r="G1536" s="10">
        <v>636.63</v>
      </c>
      <c r="H1536" s="7" t="s">
        <v>4141</v>
      </c>
      <c r="I1536" s="7" t="s">
        <v>79</v>
      </c>
      <c r="J1536" s="186"/>
      <c r="K1536" s="266">
        <f t="shared" si="343"/>
        <v>2022</v>
      </c>
      <c r="L1536" s="390" t="s">
        <v>5834</v>
      </c>
      <c r="M1536" s="390" t="s">
        <v>5809</v>
      </c>
      <c r="N1536" s="32" t="s">
        <v>7794</v>
      </c>
      <c r="O1536" s="32" t="s">
        <v>4265</v>
      </c>
      <c r="P1536" s="278"/>
      <c r="Q1536" s="233" t="s">
        <v>4264</v>
      </c>
      <c r="R1536" s="75">
        <v>2379.5</v>
      </c>
      <c r="S1536" s="75">
        <v>0</v>
      </c>
      <c r="T1536" s="75">
        <v>2379.5</v>
      </c>
      <c r="U1536" s="200">
        <v>955.5</v>
      </c>
      <c r="V1536" s="287">
        <f t="shared" ca="1" si="344"/>
        <v>8</v>
      </c>
      <c r="W1536" s="75">
        <f t="shared" ca="1" si="345"/>
        <v>8599.5</v>
      </c>
      <c r="X1536" s="200">
        <f t="shared" ca="1" si="346"/>
        <v>10023.5</v>
      </c>
      <c r="Y1536" s="1"/>
      <c r="Z1536" s="31">
        <v>0.1</v>
      </c>
      <c r="AA1536" s="223">
        <v>0.09</v>
      </c>
      <c r="AB1536" s="302" t="s">
        <v>7207</v>
      </c>
      <c r="AC1536" s="302"/>
      <c r="AD1536" s="302"/>
      <c r="AE1536" s="302"/>
      <c r="AF1536">
        <f t="shared" si="338"/>
        <v>0</v>
      </c>
    </row>
    <row r="1537" spans="1:32" hidden="1" x14ac:dyDescent="0.25">
      <c r="A1537" s="322" t="s">
        <v>4266</v>
      </c>
      <c r="B1537" s="93" t="str">
        <f t="shared" si="342"/>
        <v>YES</v>
      </c>
      <c r="C1537" s="93" t="s">
        <v>5503</v>
      </c>
      <c r="D1537" s="4">
        <v>41074</v>
      </c>
      <c r="E1537" s="2">
        <v>41122</v>
      </c>
      <c r="F1537" s="2">
        <f t="shared" si="339"/>
        <v>44774</v>
      </c>
      <c r="G1537" s="10">
        <v>636.32000000000005</v>
      </c>
      <c r="H1537" s="7" t="s">
        <v>4141</v>
      </c>
      <c r="I1537" s="7" t="s">
        <v>79</v>
      </c>
      <c r="J1537" s="186"/>
      <c r="K1537" s="266">
        <f t="shared" si="343"/>
        <v>2022</v>
      </c>
      <c r="L1537" s="390" t="s">
        <v>5834</v>
      </c>
      <c r="M1537" s="390" t="s">
        <v>5809</v>
      </c>
      <c r="N1537" s="32" t="s">
        <v>7794</v>
      </c>
      <c r="O1537" s="32" t="s">
        <v>4268</v>
      </c>
      <c r="P1537" s="278"/>
      <c r="Q1537" s="233" t="s">
        <v>4267</v>
      </c>
      <c r="R1537" s="75">
        <v>2379.5</v>
      </c>
      <c r="S1537" s="75">
        <v>0</v>
      </c>
      <c r="T1537" s="75">
        <v>2379.5</v>
      </c>
      <c r="U1537" s="200">
        <v>955.5</v>
      </c>
      <c r="V1537" s="287">
        <f t="shared" ca="1" si="344"/>
        <v>8</v>
      </c>
      <c r="W1537" s="75">
        <f t="shared" ca="1" si="345"/>
        <v>8599.5</v>
      </c>
      <c r="X1537" s="200">
        <f t="shared" ca="1" si="346"/>
        <v>10023.5</v>
      </c>
      <c r="Y1537" s="1"/>
      <c r="Z1537" s="31">
        <v>0.1</v>
      </c>
      <c r="AA1537" s="223">
        <v>0.09</v>
      </c>
      <c r="AB1537" s="302" t="s">
        <v>7208</v>
      </c>
      <c r="AC1537" s="302"/>
      <c r="AD1537" s="302"/>
      <c r="AE1537" s="302"/>
      <c r="AF1537">
        <f t="shared" si="338"/>
        <v>0</v>
      </c>
    </row>
    <row r="1538" spans="1:32" ht="39" hidden="1" x14ac:dyDescent="0.25">
      <c r="A1538" s="322" t="s">
        <v>4269</v>
      </c>
      <c r="B1538" s="93" t="str">
        <f t="shared" si="342"/>
        <v>YES</v>
      </c>
      <c r="C1538" s="93" t="s">
        <v>5503</v>
      </c>
      <c r="D1538" s="4">
        <v>41074</v>
      </c>
      <c r="E1538" s="2">
        <v>41122</v>
      </c>
      <c r="F1538" s="2">
        <f t="shared" si="339"/>
        <v>44774</v>
      </c>
      <c r="G1538" s="10">
        <v>2022.78</v>
      </c>
      <c r="H1538" s="7" t="s">
        <v>4141</v>
      </c>
      <c r="I1538" s="7" t="s">
        <v>79</v>
      </c>
      <c r="J1538" s="186"/>
      <c r="K1538" s="266">
        <f t="shared" si="343"/>
        <v>2022</v>
      </c>
      <c r="L1538" s="390" t="s">
        <v>5834</v>
      </c>
      <c r="M1538" s="390" t="s">
        <v>5809</v>
      </c>
      <c r="N1538" s="32" t="s">
        <v>7794</v>
      </c>
      <c r="O1538" s="32" t="s">
        <v>4271</v>
      </c>
      <c r="P1538" s="278"/>
      <c r="Q1538" s="233" t="s">
        <v>4270</v>
      </c>
      <c r="R1538" s="75">
        <v>7230.5</v>
      </c>
      <c r="S1538" s="75">
        <v>0</v>
      </c>
      <c r="T1538" s="75">
        <v>7230.5</v>
      </c>
      <c r="U1538" s="200">
        <v>3034.5</v>
      </c>
      <c r="V1538" s="287">
        <f t="shared" ca="1" si="344"/>
        <v>8</v>
      </c>
      <c r="W1538" s="75">
        <f t="shared" ca="1" si="345"/>
        <v>27310.5</v>
      </c>
      <c r="X1538" s="200">
        <f t="shared" ca="1" si="346"/>
        <v>31506.5</v>
      </c>
      <c r="Y1538" s="1"/>
      <c r="Z1538" s="31">
        <v>0.1</v>
      </c>
      <c r="AA1538" s="223">
        <v>0.09</v>
      </c>
      <c r="AB1538" s="302" t="s">
        <v>7209</v>
      </c>
      <c r="AC1538" s="302"/>
      <c r="AD1538" s="302"/>
      <c r="AE1538" s="302"/>
      <c r="AF1538">
        <f t="shared" si="338"/>
        <v>0</v>
      </c>
    </row>
    <row r="1539" spans="1:32" ht="26.25" hidden="1" x14ac:dyDescent="0.25">
      <c r="A1539" s="322" t="s">
        <v>4272</v>
      </c>
      <c r="B1539" s="93" t="str">
        <f t="shared" si="342"/>
        <v>YES</v>
      </c>
      <c r="C1539" s="93" t="s">
        <v>5505</v>
      </c>
      <c r="D1539" s="4">
        <v>41074</v>
      </c>
      <c r="E1539" s="2">
        <v>41122</v>
      </c>
      <c r="F1539" s="2">
        <f t="shared" si="339"/>
        <v>44774</v>
      </c>
      <c r="G1539" s="10">
        <v>40</v>
      </c>
      <c r="H1539" s="7" t="s">
        <v>85</v>
      </c>
      <c r="I1539" s="7" t="s">
        <v>86</v>
      </c>
      <c r="J1539" s="105" t="s">
        <v>7732</v>
      </c>
      <c r="K1539" s="266">
        <f t="shared" si="343"/>
        <v>2022</v>
      </c>
      <c r="L1539" s="434" t="s">
        <v>7579</v>
      </c>
      <c r="M1539" s="434" t="s">
        <v>6145</v>
      </c>
      <c r="N1539" s="32" t="s">
        <v>7795</v>
      </c>
      <c r="O1539" s="32" t="s">
        <v>4274</v>
      </c>
      <c r="P1539" s="278"/>
      <c r="Q1539" s="233" t="s">
        <v>4273</v>
      </c>
      <c r="R1539" s="75">
        <v>290</v>
      </c>
      <c r="S1539" s="75">
        <v>0</v>
      </c>
      <c r="T1539" s="75">
        <v>290</v>
      </c>
      <c r="U1539" s="200">
        <v>60</v>
      </c>
      <c r="V1539" s="287">
        <f t="shared" ca="1" si="344"/>
        <v>8</v>
      </c>
      <c r="W1539" s="75">
        <f t="shared" ca="1" si="345"/>
        <v>540</v>
      </c>
      <c r="X1539" s="200">
        <f t="shared" ca="1" si="346"/>
        <v>770</v>
      </c>
      <c r="Y1539" s="1"/>
      <c r="Z1539" s="31">
        <v>0.1</v>
      </c>
      <c r="AA1539" s="223">
        <v>0.09</v>
      </c>
      <c r="AB1539" s="302"/>
      <c r="AC1539" s="302"/>
      <c r="AD1539" s="302"/>
      <c r="AE1539" s="302"/>
      <c r="AF1539">
        <f t="shared" si="338"/>
        <v>0</v>
      </c>
    </row>
    <row r="1540" spans="1:32" hidden="1" x14ac:dyDescent="0.25">
      <c r="A1540" s="322" t="s">
        <v>4275</v>
      </c>
      <c r="B1540" s="93" t="str">
        <f t="shared" si="342"/>
        <v>YES</v>
      </c>
      <c r="C1540" s="93" t="s">
        <v>5503</v>
      </c>
      <c r="D1540" s="4">
        <v>41074</v>
      </c>
      <c r="E1540" s="2">
        <v>41122</v>
      </c>
      <c r="F1540" s="2">
        <f t="shared" si="339"/>
        <v>44774</v>
      </c>
      <c r="G1540" s="10">
        <v>1588.4</v>
      </c>
      <c r="H1540" s="7" t="s">
        <v>4141</v>
      </c>
      <c r="I1540" s="7" t="s">
        <v>79</v>
      </c>
      <c r="J1540" s="186"/>
      <c r="K1540" s="266">
        <f t="shared" si="343"/>
        <v>2022</v>
      </c>
      <c r="L1540" s="390" t="s">
        <v>5834</v>
      </c>
      <c r="M1540" s="390" t="s">
        <v>5809</v>
      </c>
      <c r="N1540" s="32" t="s">
        <v>7794</v>
      </c>
      <c r="O1540" s="32" t="s">
        <v>4217</v>
      </c>
      <c r="P1540" s="278"/>
      <c r="Q1540" s="233" t="s">
        <v>4276</v>
      </c>
      <c r="R1540" s="75">
        <v>5711.5</v>
      </c>
      <c r="S1540" s="75">
        <v>0</v>
      </c>
      <c r="T1540" s="75">
        <v>5711.5</v>
      </c>
      <c r="U1540" s="200">
        <v>2383.5</v>
      </c>
      <c r="V1540" s="287">
        <f t="shared" ca="1" si="344"/>
        <v>8</v>
      </c>
      <c r="W1540" s="75">
        <f t="shared" ca="1" si="345"/>
        <v>21451.5</v>
      </c>
      <c r="X1540" s="200">
        <f t="shared" ca="1" si="346"/>
        <v>24779.5</v>
      </c>
      <c r="Y1540" s="1"/>
      <c r="Z1540" s="31">
        <v>0.1</v>
      </c>
      <c r="AA1540" s="223">
        <v>0.09</v>
      </c>
      <c r="AB1540" s="302" t="s">
        <v>7210</v>
      </c>
      <c r="AC1540" s="302"/>
      <c r="AD1540" s="302"/>
      <c r="AE1540" s="302"/>
      <c r="AF1540">
        <f t="shared" si="338"/>
        <v>0</v>
      </c>
    </row>
    <row r="1541" spans="1:32" hidden="1" x14ac:dyDescent="0.25">
      <c r="A1541" s="322" t="s">
        <v>4277</v>
      </c>
      <c r="B1541" s="93" t="str">
        <f t="shared" si="342"/>
        <v>YES</v>
      </c>
      <c r="C1541" s="93" t="s">
        <v>5503</v>
      </c>
      <c r="D1541" s="4">
        <v>41074</v>
      </c>
      <c r="E1541" s="2">
        <v>41122</v>
      </c>
      <c r="F1541" s="2">
        <f t="shared" si="339"/>
        <v>44774</v>
      </c>
      <c r="G1541" s="10">
        <v>637.76</v>
      </c>
      <c r="H1541" s="7" t="s">
        <v>4141</v>
      </c>
      <c r="I1541" s="7" t="s">
        <v>79</v>
      </c>
      <c r="J1541" s="186"/>
      <c r="K1541" s="266">
        <f t="shared" si="343"/>
        <v>2022</v>
      </c>
      <c r="L1541" s="390" t="s">
        <v>5834</v>
      </c>
      <c r="M1541" s="390" t="s">
        <v>5809</v>
      </c>
      <c r="N1541" s="32" t="s">
        <v>7794</v>
      </c>
      <c r="O1541" s="32" t="s">
        <v>4279</v>
      </c>
      <c r="P1541" s="278"/>
      <c r="Q1541" s="233" t="s">
        <v>4278</v>
      </c>
      <c r="R1541" s="75">
        <v>2383</v>
      </c>
      <c r="S1541" s="75">
        <v>0</v>
      </c>
      <c r="T1541" s="75">
        <v>2383</v>
      </c>
      <c r="U1541" s="200">
        <v>957</v>
      </c>
      <c r="V1541" s="287">
        <f t="shared" ca="1" si="344"/>
        <v>8</v>
      </c>
      <c r="W1541" s="75">
        <f t="shared" ca="1" si="345"/>
        <v>8613</v>
      </c>
      <c r="X1541" s="200">
        <f t="shared" ca="1" si="346"/>
        <v>10039</v>
      </c>
      <c r="Y1541" s="1"/>
      <c r="Z1541" s="31">
        <v>0.1</v>
      </c>
      <c r="AA1541" s="223">
        <v>0.09</v>
      </c>
      <c r="AB1541" s="302" t="s">
        <v>7211</v>
      </c>
      <c r="AC1541" s="302"/>
      <c r="AD1541" s="302"/>
      <c r="AE1541" s="302"/>
      <c r="AF1541">
        <f t="shared" si="338"/>
        <v>0</v>
      </c>
    </row>
    <row r="1542" spans="1:32" ht="26.25" hidden="1" x14ac:dyDescent="0.25">
      <c r="A1542" s="322" t="s">
        <v>4280</v>
      </c>
      <c r="B1542" s="93" t="str">
        <f t="shared" si="342"/>
        <v>YES</v>
      </c>
      <c r="C1542" s="93" t="s">
        <v>5503</v>
      </c>
      <c r="D1542" s="4">
        <v>41074</v>
      </c>
      <c r="E1542" s="2">
        <v>41122</v>
      </c>
      <c r="F1542" s="2">
        <f t="shared" si="339"/>
        <v>44774</v>
      </c>
      <c r="G1542" s="10">
        <v>591.1</v>
      </c>
      <c r="H1542" s="7" t="s">
        <v>4141</v>
      </c>
      <c r="I1542" s="7" t="s">
        <v>79</v>
      </c>
      <c r="J1542" s="186"/>
      <c r="K1542" s="266">
        <f t="shared" si="343"/>
        <v>2022</v>
      </c>
      <c r="L1542" s="390" t="s">
        <v>5834</v>
      </c>
      <c r="M1542" s="390" t="s">
        <v>5809</v>
      </c>
      <c r="N1542" s="32" t="s">
        <v>7794</v>
      </c>
      <c r="O1542" s="32" t="s">
        <v>4282</v>
      </c>
      <c r="P1542" s="278"/>
      <c r="Q1542" s="233" t="s">
        <v>4281</v>
      </c>
      <c r="R1542" s="75">
        <v>2222</v>
      </c>
      <c r="S1542" s="75">
        <v>0</v>
      </c>
      <c r="T1542" s="75">
        <v>2222</v>
      </c>
      <c r="U1542" s="200">
        <v>888</v>
      </c>
      <c r="V1542" s="287">
        <f t="shared" ca="1" si="344"/>
        <v>8</v>
      </c>
      <c r="W1542" s="75">
        <f t="shared" ca="1" si="345"/>
        <v>7992</v>
      </c>
      <c r="X1542" s="200">
        <f t="shared" ca="1" si="346"/>
        <v>9326</v>
      </c>
      <c r="Y1542" s="1"/>
      <c r="Z1542" s="31">
        <v>0.1</v>
      </c>
      <c r="AA1542" s="223">
        <v>0.09</v>
      </c>
      <c r="AB1542" s="302" t="s">
        <v>7212</v>
      </c>
      <c r="AC1542" s="302"/>
      <c r="AD1542" s="302"/>
      <c r="AE1542" s="302"/>
      <c r="AF1542">
        <f t="shared" si="338"/>
        <v>0</v>
      </c>
    </row>
    <row r="1543" spans="1:32" hidden="1" x14ac:dyDescent="0.25">
      <c r="A1543" s="322" t="s">
        <v>4283</v>
      </c>
      <c r="B1543" s="93" t="str">
        <f t="shared" si="342"/>
        <v>YES</v>
      </c>
      <c r="C1543" s="93" t="s">
        <v>5503</v>
      </c>
      <c r="D1543" s="4">
        <v>41074</v>
      </c>
      <c r="E1543" s="2">
        <v>41122</v>
      </c>
      <c r="F1543" s="2">
        <f t="shared" si="339"/>
        <v>44774</v>
      </c>
      <c r="G1543" s="10">
        <v>636.52</v>
      </c>
      <c r="H1543" s="7" t="s">
        <v>4141</v>
      </c>
      <c r="I1543" s="7" t="s">
        <v>79</v>
      </c>
      <c r="J1543" s="186"/>
      <c r="K1543" s="266">
        <f t="shared" si="343"/>
        <v>2022</v>
      </c>
      <c r="L1543" s="390" t="s">
        <v>5834</v>
      </c>
      <c r="M1543" s="390" t="s">
        <v>5809</v>
      </c>
      <c r="N1543" s="32" t="s">
        <v>7794</v>
      </c>
      <c r="O1543" s="32" t="s">
        <v>4285</v>
      </c>
      <c r="P1543" s="278"/>
      <c r="Q1543" s="233" t="s">
        <v>4284</v>
      </c>
      <c r="R1543" s="75">
        <v>2379.5</v>
      </c>
      <c r="S1543" s="75">
        <v>0</v>
      </c>
      <c r="T1543" s="75">
        <v>2379.5</v>
      </c>
      <c r="U1543" s="200">
        <v>955.5</v>
      </c>
      <c r="V1543" s="287">
        <f t="shared" ca="1" si="344"/>
        <v>8</v>
      </c>
      <c r="W1543" s="75">
        <f t="shared" ca="1" si="345"/>
        <v>8599.5</v>
      </c>
      <c r="X1543" s="200">
        <f t="shared" ca="1" si="346"/>
        <v>10023.5</v>
      </c>
      <c r="Y1543" s="1"/>
      <c r="Z1543" s="31">
        <v>0.1</v>
      </c>
      <c r="AA1543" s="223">
        <v>0.09</v>
      </c>
      <c r="AB1543" s="302" t="s">
        <v>7213</v>
      </c>
      <c r="AC1543" s="302"/>
      <c r="AD1543" s="302"/>
      <c r="AE1543" s="302"/>
      <c r="AF1543">
        <f t="shared" si="338"/>
        <v>0</v>
      </c>
    </row>
    <row r="1544" spans="1:32" ht="26.25" hidden="1" x14ac:dyDescent="0.25">
      <c r="A1544" s="322" t="s">
        <v>4286</v>
      </c>
      <c r="B1544" s="93" t="str">
        <f t="shared" si="342"/>
        <v>YES</v>
      </c>
      <c r="C1544" s="93" t="s">
        <v>5503</v>
      </c>
      <c r="D1544" s="4">
        <v>41074</v>
      </c>
      <c r="E1544" s="2">
        <v>41122</v>
      </c>
      <c r="F1544" s="2">
        <f t="shared" si="339"/>
        <v>44774</v>
      </c>
      <c r="G1544" s="10">
        <v>89.1</v>
      </c>
      <c r="H1544" s="7" t="s">
        <v>4141</v>
      </c>
      <c r="I1544" s="7" t="s">
        <v>79</v>
      </c>
      <c r="J1544" s="186"/>
      <c r="K1544" s="266">
        <f t="shared" si="343"/>
        <v>2022</v>
      </c>
      <c r="L1544" s="390" t="s">
        <v>5834</v>
      </c>
      <c r="M1544" s="390" t="s">
        <v>5809</v>
      </c>
      <c r="N1544" s="32" t="s">
        <v>7794</v>
      </c>
      <c r="O1544" s="32" t="s">
        <v>4288</v>
      </c>
      <c r="P1544" s="278"/>
      <c r="Q1544" s="233" t="s">
        <v>4287</v>
      </c>
      <c r="R1544" s="75">
        <v>465</v>
      </c>
      <c r="S1544" s="75">
        <v>0</v>
      </c>
      <c r="T1544" s="75">
        <v>465</v>
      </c>
      <c r="U1544" s="200">
        <v>135</v>
      </c>
      <c r="V1544" s="287">
        <f t="shared" ca="1" si="344"/>
        <v>8</v>
      </c>
      <c r="W1544" s="75">
        <f t="shared" ca="1" si="345"/>
        <v>1215</v>
      </c>
      <c r="X1544" s="200">
        <f t="shared" ca="1" si="346"/>
        <v>1545</v>
      </c>
      <c r="Y1544" s="1"/>
      <c r="Z1544" s="31">
        <v>0.1</v>
      </c>
      <c r="AA1544" s="223">
        <v>0.09</v>
      </c>
      <c r="AB1544" s="302" t="s">
        <v>7214</v>
      </c>
      <c r="AC1544" s="302"/>
      <c r="AD1544" s="302"/>
      <c r="AE1544" s="302"/>
      <c r="AF1544">
        <f t="shared" si="338"/>
        <v>0</v>
      </c>
    </row>
    <row r="1545" spans="1:32" hidden="1" x14ac:dyDescent="0.25">
      <c r="A1545" s="322" t="s">
        <v>4289</v>
      </c>
      <c r="B1545" s="93" t="str">
        <f t="shared" si="342"/>
        <v>YES</v>
      </c>
      <c r="C1545" s="93" t="s">
        <v>5503</v>
      </c>
      <c r="D1545" s="4">
        <v>41074</v>
      </c>
      <c r="E1545" s="2">
        <v>41122</v>
      </c>
      <c r="F1545" s="2">
        <f t="shared" si="339"/>
        <v>44774</v>
      </c>
      <c r="G1545" s="10">
        <v>2498.37</v>
      </c>
      <c r="H1545" s="7" t="s">
        <v>4141</v>
      </c>
      <c r="I1545" s="7" t="s">
        <v>79</v>
      </c>
      <c r="J1545" s="186"/>
      <c r="K1545" s="266">
        <f t="shared" si="343"/>
        <v>2022</v>
      </c>
      <c r="L1545" s="390" t="s">
        <v>5834</v>
      </c>
      <c r="M1545" s="390" t="s">
        <v>5809</v>
      </c>
      <c r="N1545" s="32" t="s">
        <v>7794</v>
      </c>
      <c r="O1545" s="32" t="s">
        <v>4217</v>
      </c>
      <c r="P1545" s="278"/>
      <c r="Q1545" s="233" t="s">
        <v>4290</v>
      </c>
      <c r="R1545" s="75">
        <v>8896.5</v>
      </c>
      <c r="S1545" s="75">
        <v>0</v>
      </c>
      <c r="T1545" s="75">
        <v>8896.5</v>
      </c>
      <c r="U1545" s="200">
        <v>3748.5</v>
      </c>
      <c r="V1545" s="287">
        <f t="shared" ca="1" si="344"/>
        <v>8</v>
      </c>
      <c r="W1545" s="75">
        <f t="shared" ca="1" si="345"/>
        <v>33736.5</v>
      </c>
      <c r="X1545" s="200">
        <f t="shared" ca="1" si="346"/>
        <v>38884.5</v>
      </c>
      <c r="Y1545" s="1"/>
      <c r="Z1545" s="31">
        <v>0.1</v>
      </c>
      <c r="AA1545" s="223">
        <v>0.09</v>
      </c>
      <c r="AB1545" s="302" t="s">
        <v>7215</v>
      </c>
      <c r="AC1545" s="302"/>
      <c r="AD1545" s="302"/>
      <c r="AE1545" s="302"/>
      <c r="AF1545">
        <f t="shared" si="338"/>
        <v>0</v>
      </c>
    </row>
    <row r="1546" spans="1:32" hidden="1" x14ac:dyDescent="0.25">
      <c r="A1546" s="322" t="s">
        <v>4291</v>
      </c>
      <c r="B1546" s="93" t="str">
        <f t="shared" si="342"/>
        <v>YES</v>
      </c>
      <c r="C1546" s="93" t="s">
        <v>5503</v>
      </c>
      <c r="D1546" s="4">
        <v>41074</v>
      </c>
      <c r="E1546" s="2">
        <v>41122</v>
      </c>
      <c r="F1546" s="2">
        <f t="shared" si="339"/>
        <v>44774</v>
      </c>
      <c r="G1546" s="10">
        <v>636.67999999999995</v>
      </c>
      <c r="H1546" s="7" t="s">
        <v>4141</v>
      </c>
      <c r="I1546" s="7" t="s">
        <v>79</v>
      </c>
      <c r="J1546" s="186"/>
      <c r="K1546" s="266">
        <f t="shared" si="343"/>
        <v>2022</v>
      </c>
      <c r="L1546" s="390" t="s">
        <v>5834</v>
      </c>
      <c r="M1546" s="390" t="s">
        <v>5809</v>
      </c>
      <c r="N1546" s="32" t="s">
        <v>7794</v>
      </c>
      <c r="O1546" s="32" t="s">
        <v>3888</v>
      </c>
      <c r="P1546" s="278"/>
      <c r="Q1546" s="233" t="s">
        <v>4292</v>
      </c>
      <c r="R1546" s="75">
        <v>2379.5</v>
      </c>
      <c r="S1546" s="75">
        <v>0</v>
      </c>
      <c r="T1546" s="75">
        <v>2379.5</v>
      </c>
      <c r="U1546" s="200">
        <v>955.5</v>
      </c>
      <c r="V1546" s="287">
        <f t="shared" ca="1" si="344"/>
        <v>8</v>
      </c>
      <c r="W1546" s="75">
        <f t="shared" ca="1" si="345"/>
        <v>8599.5</v>
      </c>
      <c r="X1546" s="200">
        <f t="shared" ca="1" si="346"/>
        <v>10023.5</v>
      </c>
      <c r="Y1546" s="1"/>
      <c r="Z1546" s="31">
        <v>0.1</v>
      </c>
      <c r="AA1546" s="223">
        <v>0.09</v>
      </c>
      <c r="AB1546" s="302" t="s">
        <v>7216</v>
      </c>
      <c r="AC1546" s="302"/>
      <c r="AD1546" s="302"/>
      <c r="AE1546" s="302"/>
      <c r="AF1546">
        <f t="shared" si="338"/>
        <v>0</v>
      </c>
    </row>
    <row r="1547" spans="1:32" hidden="1" x14ac:dyDescent="0.25">
      <c r="A1547" s="322" t="s">
        <v>4293</v>
      </c>
      <c r="B1547" s="93" t="str">
        <f t="shared" si="342"/>
        <v>YES</v>
      </c>
      <c r="C1547" s="93" t="s">
        <v>5503</v>
      </c>
      <c r="D1547" s="4">
        <v>41074</v>
      </c>
      <c r="E1547" s="2">
        <v>41122</v>
      </c>
      <c r="F1547" s="2">
        <f t="shared" si="339"/>
        <v>44774</v>
      </c>
      <c r="G1547" s="10">
        <v>636.72</v>
      </c>
      <c r="H1547" s="7" t="s">
        <v>4141</v>
      </c>
      <c r="I1547" s="7" t="s">
        <v>79</v>
      </c>
      <c r="J1547" s="186"/>
      <c r="K1547" s="266">
        <f t="shared" si="343"/>
        <v>2022</v>
      </c>
      <c r="L1547" s="390" t="s">
        <v>5834</v>
      </c>
      <c r="M1547" s="390" t="s">
        <v>5809</v>
      </c>
      <c r="N1547" s="32" t="s">
        <v>7794</v>
      </c>
      <c r="O1547" s="32" t="s">
        <v>4295</v>
      </c>
      <c r="P1547" s="278"/>
      <c r="Q1547" s="233" t="s">
        <v>4294</v>
      </c>
      <c r="R1547" s="75">
        <v>2379.5</v>
      </c>
      <c r="S1547" s="75">
        <v>0</v>
      </c>
      <c r="T1547" s="75">
        <v>2379.5</v>
      </c>
      <c r="U1547" s="200">
        <v>955.5</v>
      </c>
      <c r="V1547" s="287">
        <f t="shared" ca="1" si="344"/>
        <v>8</v>
      </c>
      <c r="W1547" s="75">
        <f t="shared" ca="1" si="345"/>
        <v>8599.5</v>
      </c>
      <c r="X1547" s="200">
        <f t="shared" ca="1" si="346"/>
        <v>10023.5</v>
      </c>
      <c r="Y1547" s="1"/>
      <c r="Z1547" s="31">
        <v>0.1</v>
      </c>
      <c r="AA1547" s="223">
        <v>0.09</v>
      </c>
      <c r="AB1547" s="302" t="s">
        <v>7217</v>
      </c>
      <c r="AC1547" s="302"/>
      <c r="AD1547" s="302"/>
      <c r="AE1547" s="302"/>
      <c r="AF1547">
        <f t="shared" si="338"/>
        <v>0</v>
      </c>
    </row>
    <row r="1548" spans="1:32" hidden="1" x14ac:dyDescent="0.25">
      <c r="A1548" s="322" t="s">
        <v>4296</v>
      </c>
      <c r="B1548" s="93" t="str">
        <f t="shared" si="342"/>
        <v>YES</v>
      </c>
      <c r="C1548" s="93" t="s">
        <v>5503</v>
      </c>
      <c r="D1548" s="4">
        <v>41074</v>
      </c>
      <c r="E1548" s="2">
        <v>41122</v>
      </c>
      <c r="F1548" s="2">
        <f t="shared" si="339"/>
        <v>44774</v>
      </c>
      <c r="G1548" s="10">
        <v>636.67999999999995</v>
      </c>
      <c r="H1548" s="7" t="s">
        <v>4141</v>
      </c>
      <c r="I1548" s="7" t="s">
        <v>79</v>
      </c>
      <c r="J1548" s="186"/>
      <c r="K1548" s="266">
        <f t="shared" si="343"/>
        <v>2022</v>
      </c>
      <c r="L1548" s="390" t="s">
        <v>5834</v>
      </c>
      <c r="M1548" s="390" t="s">
        <v>5809</v>
      </c>
      <c r="N1548" s="32" t="s">
        <v>7794</v>
      </c>
      <c r="O1548" s="32" t="s">
        <v>4298</v>
      </c>
      <c r="P1548" s="278"/>
      <c r="Q1548" s="233" t="s">
        <v>4297</v>
      </c>
      <c r="R1548" s="75">
        <v>2379.5</v>
      </c>
      <c r="S1548" s="75">
        <v>0</v>
      </c>
      <c r="T1548" s="75">
        <v>2379.5</v>
      </c>
      <c r="U1548" s="200">
        <v>955.5</v>
      </c>
      <c r="V1548" s="287">
        <f t="shared" ca="1" si="344"/>
        <v>8</v>
      </c>
      <c r="W1548" s="75">
        <f t="shared" ca="1" si="345"/>
        <v>8599.5</v>
      </c>
      <c r="X1548" s="200">
        <f t="shared" ca="1" si="346"/>
        <v>10023.5</v>
      </c>
      <c r="Y1548" s="1"/>
      <c r="Z1548" s="31">
        <v>0.1</v>
      </c>
      <c r="AA1548" s="223">
        <v>0.09</v>
      </c>
      <c r="AB1548" s="302" t="s">
        <v>7218</v>
      </c>
      <c r="AC1548" s="302"/>
      <c r="AD1548" s="302"/>
      <c r="AE1548" s="302"/>
      <c r="AF1548">
        <f t="shared" si="338"/>
        <v>0</v>
      </c>
    </row>
    <row r="1549" spans="1:32" hidden="1" x14ac:dyDescent="0.25">
      <c r="A1549" s="322" t="s">
        <v>4299</v>
      </c>
      <c r="B1549" s="93" t="str">
        <f t="shared" si="342"/>
        <v>YES</v>
      </c>
      <c r="C1549" s="93" t="s">
        <v>5503</v>
      </c>
      <c r="D1549" s="4">
        <v>41074</v>
      </c>
      <c r="E1549" s="2">
        <v>41122</v>
      </c>
      <c r="F1549" s="2">
        <f t="shared" si="339"/>
        <v>44774</v>
      </c>
      <c r="G1549" s="10">
        <v>638.47</v>
      </c>
      <c r="H1549" s="7" t="s">
        <v>4141</v>
      </c>
      <c r="I1549" s="7" t="s">
        <v>79</v>
      </c>
      <c r="J1549" s="186"/>
      <c r="K1549" s="266">
        <f t="shared" si="343"/>
        <v>2022</v>
      </c>
      <c r="L1549" s="390" t="s">
        <v>5834</v>
      </c>
      <c r="M1549" s="390" t="s">
        <v>5809</v>
      </c>
      <c r="N1549" s="32" t="s">
        <v>7794</v>
      </c>
      <c r="O1549" s="32" t="s">
        <v>4301</v>
      </c>
      <c r="P1549" s="278"/>
      <c r="Q1549" s="233" t="s">
        <v>4300</v>
      </c>
      <c r="R1549" s="75">
        <v>2386.5</v>
      </c>
      <c r="S1549" s="75">
        <v>0</v>
      </c>
      <c r="T1549" s="75">
        <v>2386.5</v>
      </c>
      <c r="U1549" s="200">
        <v>958.5</v>
      </c>
      <c r="V1549" s="287">
        <f t="shared" ca="1" si="344"/>
        <v>8</v>
      </c>
      <c r="W1549" s="75">
        <f t="shared" ca="1" si="345"/>
        <v>8626.5</v>
      </c>
      <c r="X1549" s="200">
        <f t="shared" ca="1" si="346"/>
        <v>10054.5</v>
      </c>
      <c r="Y1549" s="1"/>
      <c r="Z1549" s="31">
        <v>0.1</v>
      </c>
      <c r="AA1549" s="223">
        <v>0.09</v>
      </c>
      <c r="AB1549" s="302" t="s">
        <v>7219</v>
      </c>
      <c r="AC1549" s="302"/>
      <c r="AD1549" s="302"/>
      <c r="AE1549" s="302"/>
      <c r="AF1549">
        <f t="shared" si="338"/>
        <v>0</v>
      </c>
    </row>
    <row r="1550" spans="1:32" ht="26.25" hidden="1" x14ac:dyDescent="0.25">
      <c r="A1550" s="322" t="s">
        <v>4302</v>
      </c>
      <c r="B1550" s="93" t="str">
        <f>IF(COUNTIF(GIS,A1550),"YES","NO")</f>
        <v>YES</v>
      </c>
      <c r="C1550" s="93" t="s">
        <v>5505</v>
      </c>
      <c r="D1550" s="4">
        <v>41074</v>
      </c>
      <c r="E1550" s="2">
        <v>41122</v>
      </c>
      <c r="F1550" s="2">
        <f>DATE(YEAR(E1550)+10,MONTH(E1550),DAY(E1550))</f>
        <v>44774</v>
      </c>
      <c r="G1550" s="10">
        <v>2414.88</v>
      </c>
      <c r="H1550" s="7" t="s">
        <v>85</v>
      </c>
      <c r="I1550" s="7" t="s">
        <v>86</v>
      </c>
      <c r="J1550" s="105" t="s">
        <v>7732</v>
      </c>
      <c r="K1550" s="266">
        <f>YEAR(F1550)</f>
        <v>2022</v>
      </c>
      <c r="L1550" s="434" t="s">
        <v>7579</v>
      </c>
      <c r="M1550" s="434" t="s">
        <v>6145</v>
      </c>
      <c r="N1550" s="32" t="s">
        <v>7795</v>
      </c>
      <c r="O1550" s="32" t="s">
        <v>4304</v>
      </c>
      <c r="P1550" s="278"/>
      <c r="Q1550" s="233" t="s">
        <v>4303</v>
      </c>
      <c r="R1550" s="75">
        <v>8602.5</v>
      </c>
      <c r="S1550" s="75">
        <v>0</v>
      </c>
      <c r="T1550" s="75">
        <v>8602.5</v>
      </c>
      <c r="U1550" s="200">
        <v>3622.5</v>
      </c>
      <c r="V1550" s="287">
        <f ca="1">IF(YEAR($W$3)-YEAR(E1550)&gt;9,10,IF(MONTH($W$3)&lt;MONTH(E1550),YEAR($W$3)-YEAR(E1550),YEAR($W$3)-YEAR(E1550)+1))</f>
        <v>8</v>
      </c>
      <c r="W1550" s="75">
        <f ca="1">IF(V1550&lt;6, ROUNDUP(G1550,0)*$W$6*V1550, ROUNDUP(G1550,0)*($W$6*5 + (V1550-5)*$W$7))</f>
        <v>32602.5</v>
      </c>
      <c r="X1550" s="200">
        <f ca="1">IF(V1550=0,T1550,((T1550-ROUNDUP(G1550,0)*1.5)+W1550))</f>
        <v>37582.5</v>
      </c>
      <c r="Y1550" s="1"/>
      <c r="Z1550" s="31">
        <v>0.1</v>
      </c>
      <c r="AA1550" s="223">
        <v>0.09</v>
      </c>
      <c r="AB1550" s="302"/>
      <c r="AC1550" s="302"/>
      <c r="AD1550" s="302"/>
      <c r="AE1550" s="302"/>
      <c r="AF1550">
        <f>COUNTIF(FilterList,A1550)</f>
        <v>0</v>
      </c>
    </row>
    <row r="1551" spans="1:32" ht="51.75" hidden="1" x14ac:dyDescent="0.25">
      <c r="A1551" s="322" t="s">
        <v>4305</v>
      </c>
      <c r="B1551" s="93" t="str">
        <f>IF(COUNTIF(GIS,A1551),"YES","NO")</f>
        <v>YES</v>
      </c>
      <c r="C1551" s="93" t="s">
        <v>5505</v>
      </c>
      <c r="D1551" s="4">
        <v>41074</v>
      </c>
      <c r="E1551" s="2">
        <v>41122</v>
      </c>
      <c r="F1551" s="2">
        <f>DATE(YEAR(E1551)+10,MONTH(E1551),DAY(E1551))</f>
        <v>44774</v>
      </c>
      <c r="G1551" s="10">
        <v>1640.72</v>
      </c>
      <c r="H1551" s="7" t="s">
        <v>85</v>
      </c>
      <c r="I1551" s="7" t="s">
        <v>86</v>
      </c>
      <c r="J1551" s="105" t="s">
        <v>7732</v>
      </c>
      <c r="K1551" s="266">
        <f>YEAR(F1551)</f>
        <v>2022</v>
      </c>
      <c r="L1551" s="434" t="s">
        <v>7579</v>
      </c>
      <c r="M1551" s="434" t="s">
        <v>6145</v>
      </c>
      <c r="N1551" s="32" t="s">
        <v>7795</v>
      </c>
      <c r="O1551" s="32" t="s">
        <v>4307</v>
      </c>
      <c r="P1551" s="278"/>
      <c r="Q1551" s="233" t="s">
        <v>4306</v>
      </c>
      <c r="R1551" s="75">
        <v>5893.5</v>
      </c>
      <c r="S1551" s="75">
        <v>0</v>
      </c>
      <c r="T1551" s="75">
        <v>5893.5</v>
      </c>
      <c r="U1551" s="200">
        <v>2461.5</v>
      </c>
      <c r="V1551" s="287">
        <f ca="1">IF(YEAR($W$3)-YEAR(E1551)&gt;9,10,IF(MONTH($W$3)&lt;MONTH(E1551),YEAR($W$3)-YEAR(E1551),YEAR($W$3)-YEAR(E1551)+1))</f>
        <v>8</v>
      </c>
      <c r="W1551" s="75">
        <f ca="1">IF(V1551&lt;6, ROUNDUP(G1551,0)*$W$6*V1551, ROUNDUP(G1551,0)*($W$6*5 + (V1551-5)*$W$7))</f>
        <v>22153.5</v>
      </c>
      <c r="X1551" s="200">
        <f ca="1">IF(V1551=0,T1551,((T1551-ROUNDUP(G1551,0)*1.5)+W1551))</f>
        <v>25585.5</v>
      </c>
      <c r="Y1551" s="1"/>
      <c r="Z1551" s="31">
        <v>0.1</v>
      </c>
      <c r="AA1551" s="223">
        <v>0.09</v>
      </c>
      <c r="AB1551" s="302"/>
      <c r="AC1551" s="302"/>
      <c r="AD1551" s="302"/>
      <c r="AE1551" s="302"/>
      <c r="AF1551">
        <f>COUNTIF(FilterList,A1551)</f>
        <v>0</v>
      </c>
    </row>
    <row r="1552" spans="1:32" ht="26.25" hidden="1" x14ac:dyDescent="0.25">
      <c r="A1552" s="322" t="s">
        <v>4308</v>
      </c>
      <c r="B1552" s="93" t="str">
        <f>IF(COUNTIF(GIS,A1552),"YES","NO")</f>
        <v>YES</v>
      </c>
      <c r="C1552" s="93" t="s">
        <v>5505</v>
      </c>
      <c r="D1552" s="4">
        <v>41074</v>
      </c>
      <c r="E1552" s="2">
        <v>41122</v>
      </c>
      <c r="F1552" s="2">
        <f>DATE(YEAR(E1552)+10,MONTH(E1552),DAY(E1552))</f>
        <v>44774</v>
      </c>
      <c r="G1552" s="10">
        <v>80</v>
      </c>
      <c r="H1552" s="7" t="s">
        <v>85</v>
      </c>
      <c r="I1552" s="7" t="s">
        <v>86</v>
      </c>
      <c r="J1552" s="105" t="s">
        <v>7732</v>
      </c>
      <c r="K1552" s="266">
        <f>YEAR(F1552)</f>
        <v>2022</v>
      </c>
      <c r="L1552" s="434" t="s">
        <v>7579</v>
      </c>
      <c r="M1552" s="434" t="s">
        <v>6145</v>
      </c>
      <c r="N1552" s="32" t="s">
        <v>7795</v>
      </c>
      <c r="O1552" s="32" t="s">
        <v>4310</v>
      </c>
      <c r="P1552" s="278"/>
      <c r="Q1552" s="233" t="s">
        <v>4309</v>
      </c>
      <c r="R1552" s="75">
        <v>430</v>
      </c>
      <c r="S1552" s="75">
        <v>0</v>
      </c>
      <c r="T1552" s="75">
        <v>430</v>
      </c>
      <c r="U1552" s="200">
        <v>120</v>
      </c>
      <c r="V1552" s="287">
        <f ca="1">IF(YEAR($W$3)-YEAR(E1552)&gt;9,10,IF(MONTH($W$3)&lt;MONTH(E1552),YEAR($W$3)-YEAR(E1552),YEAR($W$3)-YEAR(E1552)+1))</f>
        <v>8</v>
      </c>
      <c r="W1552" s="75">
        <f ca="1">IF(V1552&lt;6, ROUNDUP(G1552,0)*$W$6*V1552, ROUNDUP(G1552,0)*($W$6*5 + (V1552-5)*$W$7))</f>
        <v>1080</v>
      </c>
      <c r="X1552" s="200">
        <f ca="1">IF(V1552=0,T1552,((T1552-ROUNDUP(G1552,0)*1.5)+W1552))</f>
        <v>1390</v>
      </c>
      <c r="Y1552" s="1"/>
      <c r="Z1552" s="31">
        <v>0.1</v>
      </c>
      <c r="AA1552" s="223">
        <v>0.09</v>
      </c>
      <c r="AB1552" s="302"/>
      <c r="AC1552" s="302"/>
      <c r="AD1552" s="302"/>
      <c r="AE1552" s="302"/>
      <c r="AF1552">
        <f>COUNTIF(FilterList,A1552)</f>
        <v>0</v>
      </c>
    </row>
    <row r="1553" spans="1:32" ht="26.25" hidden="1" x14ac:dyDescent="0.25">
      <c r="A1553" s="322" t="s">
        <v>4311</v>
      </c>
      <c r="B1553" s="93" t="str">
        <f>IF(COUNTIF(GIS,A1553),"YES","NO")</f>
        <v>YES</v>
      </c>
      <c r="C1553" s="93" t="s">
        <v>5505</v>
      </c>
      <c r="D1553" s="4">
        <v>41074</v>
      </c>
      <c r="E1553" s="2">
        <v>41122</v>
      </c>
      <c r="F1553" s="2">
        <f>DATE(YEAR(E1553)+10,MONTH(E1553),DAY(E1553))</f>
        <v>44774</v>
      </c>
      <c r="G1553" s="10">
        <v>200</v>
      </c>
      <c r="H1553" s="7" t="s">
        <v>85</v>
      </c>
      <c r="I1553" s="7" t="s">
        <v>86</v>
      </c>
      <c r="J1553" s="105" t="s">
        <v>7732</v>
      </c>
      <c r="K1553" s="266">
        <f>YEAR(F1553)</f>
        <v>2022</v>
      </c>
      <c r="L1553" s="434" t="s">
        <v>7579</v>
      </c>
      <c r="M1553" s="434" t="s">
        <v>6145</v>
      </c>
      <c r="N1553" s="32" t="s">
        <v>7795</v>
      </c>
      <c r="O1553" s="32" t="s">
        <v>4313</v>
      </c>
      <c r="P1553" s="278"/>
      <c r="Q1553" s="233" t="s">
        <v>4312</v>
      </c>
      <c r="R1553" s="75">
        <v>850</v>
      </c>
      <c r="S1553" s="75">
        <v>0</v>
      </c>
      <c r="T1553" s="75">
        <v>850</v>
      </c>
      <c r="U1553" s="200">
        <v>300</v>
      </c>
      <c r="V1553" s="287">
        <f ca="1">IF(YEAR($W$3)-YEAR(E1553)&gt;9,10,IF(MONTH($W$3)&lt;MONTH(E1553),YEAR($W$3)-YEAR(E1553),YEAR($W$3)-YEAR(E1553)+1))</f>
        <v>8</v>
      </c>
      <c r="W1553" s="75">
        <f ca="1">IF(V1553&lt;6, ROUNDUP(G1553,0)*$W$6*V1553, ROUNDUP(G1553,0)*($W$6*5 + (V1553-5)*$W$7))</f>
        <v>2700</v>
      </c>
      <c r="X1553" s="200">
        <f ca="1">IF(V1553=0,T1553,((T1553-ROUNDUP(G1553,0)*1.5)+W1553))</f>
        <v>3250</v>
      </c>
      <c r="Y1553" s="1"/>
      <c r="Z1553" s="31">
        <v>0.1</v>
      </c>
      <c r="AA1553" s="223">
        <v>0.09</v>
      </c>
      <c r="AB1553" s="302"/>
      <c r="AC1553" s="302"/>
      <c r="AD1553" s="302"/>
      <c r="AE1553" s="302"/>
      <c r="AF1553">
        <f>COUNTIF(FilterList,A1553)</f>
        <v>0</v>
      </c>
    </row>
    <row r="1554" spans="1:32" ht="39" hidden="1" customHeight="1" x14ac:dyDescent="0.25">
      <c r="A1554" s="322" t="s">
        <v>4314</v>
      </c>
      <c r="B1554" s="93" t="str">
        <f t="shared" si="342"/>
        <v>YES</v>
      </c>
      <c r="C1554" s="93" t="s">
        <v>5503</v>
      </c>
      <c r="D1554" s="4">
        <v>41074</v>
      </c>
      <c r="E1554" s="2">
        <v>41122</v>
      </c>
      <c r="F1554" s="2">
        <f t="shared" si="339"/>
        <v>44774</v>
      </c>
      <c r="G1554" s="10">
        <v>207.09</v>
      </c>
      <c r="H1554" s="7" t="s">
        <v>2831</v>
      </c>
      <c r="I1554" s="7" t="s">
        <v>79</v>
      </c>
      <c r="J1554" s="186"/>
      <c r="K1554" s="266">
        <f t="shared" si="343"/>
        <v>2022</v>
      </c>
      <c r="L1554" s="390" t="s">
        <v>5863</v>
      </c>
      <c r="M1554" s="390" t="s">
        <v>7578</v>
      </c>
      <c r="N1554" s="32" t="s">
        <v>7794</v>
      </c>
      <c r="O1554" s="32" t="s">
        <v>4316</v>
      </c>
      <c r="P1554" s="278"/>
      <c r="Q1554" s="233" t="s">
        <v>4315</v>
      </c>
      <c r="R1554" s="75">
        <v>878</v>
      </c>
      <c r="S1554" s="75">
        <v>0</v>
      </c>
      <c r="T1554" s="75">
        <v>878</v>
      </c>
      <c r="U1554" s="200">
        <v>312</v>
      </c>
      <c r="V1554" s="287">
        <f t="shared" ca="1" si="344"/>
        <v>8</v>
      </c>
      <c r="W1554" s="75">
        <f t="shared" ca="1" si="345"/>
        <v>2808</v>
      </c>
      <c r="X1554" s="200">
        <f t="shared" ca="1" si="346"/>
        <v>3374</v>
      </c>
      <c r="Y1554" s="1"/>
      <c r="Z1554" s="31">
        <v>0.1</v>
      </c>
      <c r="AA1554" s="223">
        <v>0.09</v>
      </c>
      <c r="AB1554" s="302" t="s">
        <v>7220</v>
      </c>
      <c r="AC1554" s="302"/>
      <c r="AD1554" s="302"/>
      <c r="AE1554" s="302"/>
      <c r="AF1554">
        <f t="shared" si="338"/>
        <v>0</v>
      </c>
    </row>
    <row r="1555" spans="1:32" ht="39" hidden="1" x14ac:dyDescent="0.25">
      <c r="A1555" s="322" t="s">
        <v>4317</v>
      </c>
      <c r="B1555" s="93" t="str">
        <f t="shared" si="342"/>
        <v>YES</v>
      </c>
      <c r="C1555" s="93" t="s">
        <v>5503</v>
      </c>
      <c r="D1555" s="4">
        <v>41074</v>
      </c>
      <c r="E1555" s="2">
        <v>41122</v>
      </c>
      <c r="F1555" s="2">
        <f t="shared" si="339"/>
        <v>44774</v>
      </c>
      <c r="G1555" s="10">
        <v>742.56</v>
      </c>
      <c r="H1555" s="7" t="s">
        <v>2831</v>
      </c>
      <c r="I1555" s="7" t="s">
        <v>79</v>
      </c>
      <c r="J1555" s="186"/>
      <c r="K1555" s="266">
        <f t="shared" si="343"/>
        <v>2022</v>
      </c>
      <c r="L1555" s="390" t="s">
        <v>5863</v>
      </c>
      <c r="M1555" s="390" t="s">
        <v>7578</v>
      </c>
      <c r="N1555" s="32" t="s">
        <v>7794</v>
      </c>
      <c r="O1555" s="32" t="s">
        <v>4319</v>
      </c>
      <c r="P1555" s="278"/>
      <c r="Q1555" s="233" t="s">
        <v>4318</v>
      </c>
      <c r="R1555" s="75">
        <v>2750.5</v>
      </c>
      <c r="S1555" s="75">
        <v>0</v>
      </c>
      <c r="T1555" s="75">
        <v>2750.5</v>
      </c>
      <c r="U1555" s="200">
        <v>1114.5</v>
      </c>
      <c r="V1555" s="287">
        <f t="shared" ca="1" si="344"/>
        <v>8</v>
      </c>
      <c r="W1555" s="75">
        <f t="shared" ca="1" si="345"/>
        <v>10030.5</v>
      </c>
      <c r="X1555" s="200">
        <f t="shared" ca="1" si="346"/>
        <v>11666.5</v>
      </c>
      <c r="Y1555" s="1"/>
      <c r="Z1555" s="31">
        <v>0.1</v>
      </c>
      <c r="AA1555" s="223">
        <v>0.09</v>
      </c>
      <c r="AB1555" s="302" t="s">
        <v>7221</v>
      </c>
      <c r="AC1555" s="302"/>
      <c r="AD1555" s="302"/>
      <c r="AE1555" s="302"/>
      <c r="AF1555">
        <f t="shared" si="338"/>
        <v>0</v>
      </c>
    </row>
    <row r="1556" spans="1:32" ht="26.25" hidden="1" x14ac:dyDescent="0.25">
      <c r="A1556" s="322" t="s">
        <v>4320</v>
      </c>
      <c r="B1556" s="93" t="str">
        <f t="shared" si="342"/>
        <v>YES</v>
      </c>
      <c r="C1556" s="93" t="s">
        <v>5503</v>
      </c>
      <c r="D1556" s="4">
        <v>41074</v>
      </c>
      <c r="E1556" s="2">
        <v>41122</v>
      </c>
      <c r="F1556" s="2">
        <f t="shared" si="339"/>
        <v>44774</v>
      </c>
      <c r="G1556" s="10">
        <v>236.53</v>
      </c>
      <c r="H1556" s="7" t="s">
        <v>2831</v>
      </c>
      <c r="I1556" s="7" t="s">
        <v>79</v>
      </c>
      <c r="J1556" s="186"/>
      <c r="K1556" s="266">
        <f t="shared" si="343"/>
        <v>2022</v>
      </c>
      <c r="L1556" s="390" t="s">
        <v>5863</v>
      </c>
      <c r="M1556" s="390" t="s">
        <v>7578</v>
      </c>
      <c r="N1556" s="32" t="s">
        <v>7794</v>
      </c>
      <c r="O1556" s="32" t="s">
        <v>4322</v>
      </c>
      <c r="P1556" s="278"/>
      <c r="Q1556" s="233" t="s">
        <v>4321</v>
      </c>
      <c r="R1556" s="75">
        <v>979.5</v>
      </c>
      <c r="S1556" s="75">
        <v>0</v>
      </c>
      <c r="T1556" s="75">
        <v>979.5</v>
      </c>
      <c r="U1556" s="200">
        <v>355.5</v>
      </c>
      <c r="V1556" s="287">
        <f t="shared" ca="1" si="344"/>
        <v>8</v>
      </c>
      <c r="W1556" s="75">
        <f t="shared" ca="1" si="345"/>
        <v>3199.5</v>
      </c>
      <c r="X1556" s="200">
        <f t="shared" ca="1" si="346"/>
        <v>3823.5</v>
      </c>
      <c r="Y1556" s="1"/>
      <c r="Z1556" s="31">
        <v>0.1</v>
      </c>
      <c r="AA1556" s="223">
        <v>0.09</v>
      </c>
      <c r="AB1556" s="302" t="s">
        <v>7222</v>
      </c>
      <c r="AC1556" s="302"/>
      <c r="AD1556" s="302"/>
      <c r="AE1556" s="302"/>
      <c r="AF1556">
        <f t="shared" si="338"/>
        <v>0</v>
      </c>
    </row>
    <row r="1557" spans="1:32" hidden="1" x14ac:dyDescent="0.25">
      <c r="A1557" s="322" t="s">
        <v>4323</v>
      </c>
      <c r="B1557" s="93" t="str">
        <f t="shared" si="342"/>
        <v>YES</v>
      </c>
      <c r="C1557" s="93" t="s">
        <v>5503</v>
      </c>
      <c r="D1557" s="4">
        <v>41074</v>
      </c>
      <c r="E1557" s="2">
        <v>41122</v>
      </c>
      <c r="F1557" s="2">
        <f t="shared" si="339"/>
        <v>44774</v>
      </c>
      <c r="G1557" s="10">
        <v>2532.17</v>
      </c>
      <c r="H1557" s="7" t="s">
        <v>287</v>
      </c>
      <c r="I1557" s="7" t="s">
        <v>86</v>
      </c>
      <c r="J1557" s="186"/>
      <c r="K1557" s="266">
        <f t="shared" si="343"/>
        <v>2022</v>
      </c>
      <c r="L1557" s="301" t="s">
        <v>5514</v>
      </c>
      <c r="M1557" s="301" t="s">
        <v>5562</v>
      </c>
      <c r="N1557" s="32" t="s">
        <v>7786</v>
      </c>
      <c r="O1557" s="32" t="s">
        <v>4304</v>
      </c>
      <c r="P1557" s="278"/>
      <c r="Q1557" s="233" t="s">
        <v>4324</v>
      </c>
      <c r="R1557" s="75">
        <v>9015.5</v>
      </c>
      <c r="S1557" s="75">
        <v>0</v>
      </c>
      <c r="T1557" s="75">
        <v>9015.5</v>
      </c>
      <c r="U1557" s="200">
        <v>3799.5</v>
      </c>
      <c r="V1557" s="287">
        <f t="shared" ca="1" si="344"/>
        <v>8</v>
      </c>
      <c r="W1557" s="75">
        <f t="shared" ca="1" si="345"/>
        <v>34195.5</v>
      </c>
      <c r="X1557" s="200">
        <f t="shared" ca="1" si="346"/>
        <v>39411.5</v>
      </c>
      <c r="Y1557" s="1"/>
      <c r="Z1557" s="31">
        <v>0.1</v>
      </c>
      <c r="AA1557" s="223">
        <v>0.09</v>
      </c>
      <c r="AB1557" s="302" t="s">
        <v>7223</v>
      </c>
      <c r="AC1557" s="302"/>
      <c r="AD1557" s="302"/>
      <c r="AE1557" s="302"/>
      <c r="AF1557">
        <f t="shared" si="338"/>
        <v>0</v>
      </c>
    </row>
    <row r="1558" spans="1:32" hidden="1" x14ac:dyDescent="0.25">
      <c r="A1558" s="322" t="s">
        <v>4325</v>
      </c>
      <c r="B1558" s="93" t="str">
        <f t="shared" si="342"/>
        <v>YES</v>
      </c>
      <c r="C1558" s="93" t="s">
        <v>5503</v>
      </c>
      <c r="D1558" s="4">
        <v>41074</v>
      </c>
      <c r="E1558" s="2">
        <v>41122</v>
      </c>
      <c r="F1558" s="2">
        <f t="shared" si="339"/>
        <v>44774</v>
      </c>
      <c r="G1558" s="10">
        <v>1245.75</v>
      </c>
      <c r="H1558" s="7" t="s">
        <v>287</v>
      </c>
      <c r="I1558" s="7" t="s">
        <v>86</v>
      </c>
      <c r="J1558" s="186"/>
      <c r="K1558" s="266">
        <f t="shared" si="343"/>
        <v>2022</v>
      </c>
      <c r="L1558" s="301" t="s">
        <v>5514</v>
      </c>
      <c r="M1558" s="301" t="s">
        <v>5562</v>
      </c>
      <c r="N1558" s="32" t="s">
        <v>7786</v>
      </c>
      <c r="O1558" s="32" t="s">
        <v>4304</v>
      </c>
      <c r="P1558" s="278"/>
      <c r="Q1558" s="233" t="s">
        <v>4326</v>
      </c>
      <c r="R1558" s="75">
        <v>4511</v>
      </c>
      <c r="S1558" s="75">
        <v>0</v>
      </c>
      <c r="T1558" s="75">
        <v>4511</v>
      </c>
      <c r="U1558" s="200">
        <v>1869</v>
      </c>
      <c r="V1558" s="287">
        <f t="shared" ca="1" si="344"/>
        <v>8</v>
      </c>
      <c r="W1558" s="75">
        <f t="shared" ca="1" si="345"/>
        <v>16821</v>
      </c>
      <c r="X1558" s="200">
        <f t="shared" ca="1" si="346"/>
        <v>19463</v>
      </c>
      <c r="Y1558" s="1"/>
      <c r="Z1558" s="31">
        <v>0.1</v>
      </c>
      <c r="AA1558" s="223">
        <v>0.09</v>
      </c>
      <c r="AB1558" s="302" t="s">
        <v>7224</v>
      </c>
      <c r="AC1558" s="302"/>
      <c r="AD1558" s="302"/>
      <c r="AE1558" s="302"/>
      <c r="AF1558">
        <f t="shared" si="338"/>
        <v>0</v>
      </c>
    </row>
    <row r="1559" spans="1:32" ht="15.75" hidden="1" thickBot="1" x14ac:dyDescent="0.3">
      <c r="A1559" s="322"/>
      <c r="D1559" s="7"/>
      <c r="E1559" s="8"/>
      <c r="F1559" s="2"/>
      <c r="G1559" s="6"/>
      <c r="H1559" s="7"/>
      <c r="I1559" s="7"/>
      <c r="J1559" s="186"/>
      <c r="K1559" s="186"/>
      <c r="L1559" s="386"/>
      <c r="M1559" s="386"/>
      <c r="N1559" s="32"/>
      <c r="O1559" s="32"/>
      <c r="P1559" s="278"/>
      <c r="Q1559" s="233"/>
      <c r="R1559" s="76">
        <v>136112.5</v>
      </c>
      <c r="S1559" s="76">
        <v>346358</v>
      </c>
      <c r="T1559" s="76">
        <v>482470.5</v>
      </c>
      <c r="U1559" s="200"/>
      <c r="V1559" s="75"/>
      <c r="W1559" s="75"/>
      <c r="X1559" s="200"/>
      <c r="Y1559" s="1"/>
      <c r="Z1559" s="1"/>
      <c r="AA1559" s="219"/>
      <c r="AB1559" s="302"/>
      <c r="AC1559" s="302"/>
      <c r="AD1559" s="302"/>
      <c r="AE1559" s="302"/>
      <c r="AF1559">
        <f t="shared" si="338"/>
        <v>0</v>
      </c>
    </row>
    <row r="1560" spans="1:32" hidden="1" x14ac:dyDescent="0.25">
      <c r="A1560" s="322"/>
      <c r="D1560" s="7"/>
      <c r="E1560" s="8"/>
      <c r="F1560" s="2"/>
      <c r="G1560" s="6"/>
      <c r="H1560" s="7"/>
      <c r="I1560" s="7"/>
      <c r="J1560" s="186"/>
      <c r="K1560" s="186"/>
      <c r="L1560" s="386"/>
      <c r="M1560" s="386"/>
      <c r="N1560" s="32"/>
      <c r="O1560" s="32"/>
      <c r="P1560" s="278"/>
      <c r="Q1560" s="233"/>
      <c r="R1560" s="75"/>
      <c r="S1560" s="75"/>
      <c r="T1560" s="75"/>
      <c r="U1560" s="200"/>
      <c r="V1560" s="75"/>
      <c r="W1560" s="75"/>
      <c r="X1560" s="200"/>
      <c r="Y1560" s="1"/>
      <c r="Z1560" s="1"/>
      <c r="AA1560" s="219"/>
      <c r="AB1560" s="302"/>
      <c r="AC1560" s="302"/>
      <c r="AD1560" s="302"/>
      <c r="AE1560" s="302"/>
      <c r="AF1560">
        <f t="shared" si="338"/>
        <v>0</v>
      </c>
    </row>
    <row r="1561" spans="1:32" ht="26.25" hidden="1" x14ac:dyDescent="0.25">
      <c r="A1561" s="322" t="s">
        <v>4327</v>
      </c>
      <c r="B1561" s="93" t="str">
        <f t="shared" ref="B1561:B1573" si="347">IF(COUNTIF(GIS,A1561),"YES","NO")</f>
        <v>YES</v>
      </c>
      <c r="C1561" s="93" t="s">
        <v>5503</v>
      </c>
      <c r="D1561" s="4">
        <v>41108</v>
      </c>
      <c r="E1561" s="2">
        <v>41214</v>
      </c>
      <c r="F1561" s="2">
        <f t="shared" si="339"/>
        <v>44866</v>
      </c>
      <c r="G1561" s="6">
        <v>2398.6</v>
      </c>
      <c r="H1561" s="7" t="s">
        <v>4328</v>
      </c>
      <c r="I1561" s="7" t="s">
        <v>512</v>
      </c>
      <c r="J1561" s="105" t="s">
        <v>8100</v>
      </c>
      <c r="K1561" s="266">
        <f t="shared" ref="K1561:K1573" si="348">YEAR(F1561)</f>
        <v>2022</v>
      </c>
      <c r="L1561" s="390" t="s">
        <v>7543</v>
      </c>
      <c r="M1561" s="390" t="s">
        <v>6026</v>
      </c>
      <c r="N1561" s="32" t="s">
        <v>7792</v>
      </c>
      <c r="O1561" s="32" t="s">
        <v>4329</v>
      </c>
      <c r="P1561" s="278"/>
      <c r="Q1561" s="233">
        <v>201207009</v>
      </c>
      <c r="R1561" s="75">
        <v>8546.5</v>
      </c>
      <c r="S1561" s="75">
        <v>0</v>
      </c>
      <c r="T1561" s="75">
        <v>8546.5</v>
      </c>
      <c r="U1561" s="200">
        <v>3598.5</v>
      </c>
      <c r="V1561" s="287">
        <f t="shared" ref="V1561:V1573" ca="1" si="349">IF(YEAR($W$3)-YEAR(E1561)&gt;9,10,IF(MONTH($W$3)&lt;MONTH(E1561),YEAR($W$3)-YEAR(E1561),YEAR($W$3)-YEAR(E1561)+1))</f>
        <v>8</v>
      </c>
      <c r="W1561" s="75">
        <f t="shared" ref="W1561:W1573" ca="1" si="350">IF(V1561&lt;6, ROUNDUP(G1561,0)*$W$6*V1561, ROUNDUP(G1561,0)*($W$6*5 + (V1561-5)*$W$7))</f>
        <v>32386.5</v>
      </c>
      <c r="X1561" s="200">
        <f t="shared" ref="X1561:X1573" ca="1" si="351">IF(V1561=0,T1561,((T1561-ROUNDUP(G1561,0)*1.5)+W1561))</f>
        <v>37334.5</v>
      </c>
      <c r="Y1561" s="1"/>
      <c r="Z1561" s="31">
        <v>0.1</v>
      </c>
      <c r="AA1561" s="223">
        <v>0.09</v>
      </c>
      <c r="AB1561" s="302" t="s">
        <v>7225</v>
      </c>
      <c r="AC1561" s="302"/>
      <c r="AD1561" s="302"/>
      <c r="AE1561" s="302"/>
      <c r="AF1561">
        <f t="shared" si="338"/>
        <v>0</v>
      </c>
    </row>
    <row r="1562" spans="1:32" ht="26.25" hidden="1" x14ac:dyDescent="0.25">
      <c r="A1562" s="322" t="s">
        <v>4330</v>
      </c>
      <c r="B1562" s="93" t="str">
        <f t="shared" si="347"/>
        <v>YES</v>
      </c>
      <c r="C1562" s="93" t="s">
        <v>5503</v>
      </c>
      <c r="D1562" s="4">
        <v>41108</v>
      </c>
      <c r="E1562" s="2">
        <v>41214</v>
      </c>
      <c r="F1562" s="2">
        <f t="shared" si="339"/>
        <v>44866</v>
      </c>
      <c r="G1562" s="6">
        <v>2560</v>
      </c>
      <c r="H1562" s="7" t="s">
        <v>4328</v>
      </c>
      <c r="I1562" s="7" t="s">
        <v>512</v>
      </c>
      <c r="J1562" s="105" t="s">
        <v>8100</v>
      </c>
      <c r="K1562" s="266">
        <f t="shared" si="348"/>
        <v>2022</v>
      </c>
      <c r="L1562" s="390" t="s">
        <v>7543</v>
      </c>
      <c r="M1562" s="390" t="s">
        <v>6026</v>
      </c>
      <c r="N1562" s="32" t="s">
        <v>7792</v>
      </c>
      <c r="O1562" s="32" t="s">
        <v>4331</v>
      </c>
      <c r="P1562" s="278"/>
      <c r="Q1562" s="233">
        <v>201207010</v>
      </c>
      <c r="R1562" s="75">
        <v>9110</v>
      </c>
      <c r="S1562" s="75">
        <v>0</v>
      </c>
      <c r="T1562" s="75">
        <v>9110</v>
      </c>
      <c r="U1562" s="200">
        <v>3840</v>
      </c>
      <c r="V1562" s="287">
        <f t="shared" ca="1" si="349"/>
        <v>8</v>
      </c>
      <c r="W1562" s="75">
        <f t="shared" ca="1" si="350"/>
        <v>34560</v>
      </c>
      <c r="X1562" s="200">
        <f t="shared" ca="1" si="351"/>
        <v>39830</v>
      </c>
      <c r="Y1562" s="1"/>
      <c r="Z1562" s="31">
        <v>0.1</v>
      </c>
      <c r="AA1562" s="223">
        <v>0.09</v>
      </c>
      <c r="AB1562" s="302" t="s">
        <v>7226</v>
      </c>
      <c r="AC1562" s="302"/>
      <c r="AD1562" s="302"/>
      <c r="AE1562" s="302"/>
      <c r="AF1562">
        <f t="shared" si="338"/>
        <v>0</v>
      </c>
    </row>
    <row r="1563" spans="1:32" ht="26.25" hidden="1" x14ac:dyDescent="0.25">
      <c r="A1563" s="322" t="s">
        <v>4332</v>
      </c>
      <c r="B1563" s="93" t="str">
        <f t="shared" si="347"/>
        <v>YES</v>
      </c>
      <c r="C1563" s="93" t="s">
        <v>5503</v>
      </c>
      <c r="D1563" s="4">
        <v>41108</v>
      </c>
      <c r="E1563" s="2">
        <v>41214</v>
      </c>
      <c r="F1563" s="2">
        <f t="shared" si="339"/>
        <v>44866</v>
      </c>
      <c r="G1563" s="6">
        <v>1384.56</v>
      </c>
      <c r="H1563" s="7" t="s">
        <v>4328</v>
      </c>
      <c r="I1563" s="7" t="s">
        <v>512</v>
      </c>
      <c r="J1563" s="105" t="s">
        <v>8100</v>
      </c>
      <c r="K1563" s="266">
        <f t="shared" si="348"/>
        <v>2022</v>
      </c>
      <c r="L1563" s="390" t="s">
        <v>6067</v>
      </c>
      <c r="M1563" s="390" t="s">
        <v>6026</v>
      </c>
      <c r="N1563" s="32" t="s">
        <v>7792</v>
      </c>
      <c r="O1563" s="32" t="s">
        <v>4333</v>
      </c>
      <c r="P1563" s="278"/>
      <c r="Q1563" s="233">
        <v>201207011</v>
      </c>
      <c r="R1563" s="75">
        <v>4997.5</v>
      </c>
      <c r="S1563" s="75">
        <v>0</v>
      </c>
      <c r="T1563" s="75">
        <v>4997.5</v>
      </c>
      <c r="U1563" s="200">
        <v>2077.5</v>
      </c>
      <c r="V1563" s="287">
        <f t="shared" ca="1" si="349"/>
        <v>8</v>
      </c>
      <c r="W1563" s="75">
        <f t="shared" ca="1" si="350"/>
        <v>18697.5</v>
      </c>
      <c r="X1563" s="200">
        <f t="shared" ca="1" si="351"/>
        <v>21617.5</v>
      </c>
      <c r="Y1563" s="1"/>
      <c r="Z1563" s="31">
        <v>0.1</v>
      </c>
      <c r="AA1563" s="223">
        <v>0.09</v>
      </c>
      <c r="AB1563" s="302" t="s">
        <v>7227</v>
      </c>
      <c r="AC1563" s="302"/>
      <c r="AD1563" s="302"/>
      <c r="AE1563" s="302"/>
      <c r="AF1563">
        <f t="shared" si="338"/>
        <v>0</v>
      </c>
    </row>
    <row r="1564" spans="1:32" ht="26.25" hidden="1" x14ac:dyDescent="0.25">
      <c r="A1564" s="322" t="s">
        <v>4334</v>
      </c>
      <c r="B1564" s="93" t="str">
        <f t="shared" si="347"/>
        <v>YES</v>
      </c>
      <c r="C1564" s="93" t="s">
        <v>5503</v>
      </c>
      <c r="D1564" s="4">
        <v>41108</v>
      </c>
      <c r="E1564" s="2">
        <v>41214</v>
      </c>
      <c r="F1564" s="2">
        <f t="shared" si="339"/>
        <v>44866</v>
      </c>
      <c r="G1564" s="6">
        <v>1394.36</v>
      </c>
      <c r="H1564" s="7" t="s">
        <v>4328</v>
      </c>
      <c r="I1564" s="7" t="s">
        <v>512</v>
      </c>
      <c r="J1564" s="105" t="s">
        <v>8100</v>
      </c>
      <c r="K1564" s="266">
        <f t="shared" si="348"/>
        <v>2022</v>
      </c>
      <c r="L1564" s="390" t="s">
        <v>6067</v>
      </c>
      <c r="M1564" s="390" t="s">
        <v>6026</v>
      </c>
      <c r="N1564" s="32" t="s">
        <v>7792</v>
      </c>
      <c r="O1564" s="32" t="s">
        <v>4335</v>
      </c>
      <c r="P1564" s="278"/>
      <c r="Q1564" s="233">
        <v>201207012</v>
      </c>
      <c r="R1564" s="75">
        <v>5032.5</v>
      </c>
      <c r="S1564" s="75">
        <v>0</v>
      </c>
      <c r="T1564" s="75">
        <v>5032.5</v>
      </c>
      <c r="U1564" s="200">
        <v>2092.5</v>
      </c>
      <c r="V1564" s="287">
        <f t="shared" ca="1" si="349"/>
        <v>8</v>
      </c>
      <c r="W1564" s="75">
        <f t="shared" ca="1" si="350"/>
        <v>18832.5</v>
      </c>
      <c r="X1564" s="200">
        <f t="shared" ca="1" si="351"/>
        <v>21772.5</v>
      </c>
      <c r="Y1564" s="1"/>
      <c r="Z1564" s="31">
        <v>0.1</v>
      </c>
      <c r="AA1564" s="223">
        <v>0.09</v>
      </c>
      <c r="AB1564" s="302" t="s">
        <v>7228</v>
      </c>
      <c r="AC1564" s="302"/>
      <c r="AD1564" s="302"/>
      <c r="AE1564" s="302"/>
      <c r="AF1564">
        <f t="shared" ref="AF1564:AF1627" si="352">COUNTIF(FilterList,A1564)</f>
        <v>0</v>
      </c>
    </row>
    <row r="1565" spans="1:32" ht="26.25" hidden="1" x14ac:dyDescent="0.25">
      <c r="A1565" s="322" t="s">
        <v>4336</v>
      </c>
      <c r="B1565" s="93" t="str">
        <f t="shared" si="347"/>
        <v>YES</v>
      </c>
      <c r="C1565" s="93" t="s">
        <v>5503</v>
      </c>
      <c r="D1565" s="4">
        <v>41108</v>
      </c>
      <c r="E1565" s="2">
        <v>41214</v>
      </c>
      <c r="F1565" s="2">
        <f t="shared" ref="F1565:F1628" si="353">DATE(YEAR(E1565)+10,MONTH(E1565),DAY(E1565))</f>
        <v>44866</v>
      </c>
      <c r="G1565" s="6">
        <v>1920</v>
      </c>
      <c r="H1565" s="7" t="s">
        <v>4328</v>
      </c>
      <c r="I1565" s="7" t="s">
        <v>512</v>
      </c>
      <c r="J1565" s="105" t="s">
        <v>8100</v>
      </c>
      <c r="K1565" s="266">
        <f t="shared" si="348"/>
        <v>2022</v>
      </c>
      <c r="L1565" s="390" t="s">
        <v>6067</v>
      </c>
      <c r="M1565" s="390" t="s">
        <v>6026</v>
      </c>
      <c r="N1565" s="32" t="s">
        <v>7792</v>
      </c>
      <c r="O1565" s="32" t="s">
        <v>4337</v>
      </c>
      <c r="P1565" s="278"/>
      <c r="Q1565" s="233">
        <v>201207013</v>
      </c>
      <c r="R1565" s="75">
        <v>6870</v>
      </c>
      <c r="S1565" s="75">
        <v>0</v>
      </c>
      <c r="T1565" s="75">
        <v>6870</v>
      </c>
      <c r="U1565" s="200">
        <v>2880</v>
      </c>
      <c r="V1565" s="287">
        <f t="shared" ca="1" si="349"/>
        <v>8</v>
      </c>
      <c r="W1565" s="75">
        <f t="shared" ca="1" si="350"/>
        <v>25920</v>
      </c>
      <c r="X1565" s="200">
        <f t="shared" ca="1" si="351"/>
        <v>29910</v>
      </c>
      <c r="Y1565" s="1"/>
      <c r="Z1565" s="31">
        <v>0.1</v>
      </c>
      <c r="AA1565" s="223">
        <v>0.09</v>
      </c>
      <c r="AB1565" s="302" t="s">
        <v>7229</v>
      </c>
      <c r="AC1565" s="302"/>
      <c r="AD1565" s="302"/>
      <c r="AE1565" s="302"/>
      <c r="AF1565">
        <f t="shared" si="352"/>
        <v>0</v>
      </c>
    </row>
    <row r="1566" spans="1:32" ht="26.25" hidden="1" x14ac:dyDescent="0.25">
      <c r="A1566" s="322" t="s">
        <v>4338</v>
      </c>
      <c r="B1566" s="93" t="str">
        <f t="shared" si="347"/>
        <v>YES</v>
      </c>
      <c r="C1566" s="93" t="s">
        <v>5503</v>
      </c>
      <c r="D1566" s="4">
        <v>41108</v>
      </c>
      <c r="E1566" s="2">
        <v>41214</v>
      </c>
      <c r="F1566" s="2">
        <f t="shared" si="353"/>
        <v>44866</v>
      </c>
      <c r="G1566" s="6">
        <v>160</v>
      </c>
      <c r="H1566" s="7" t="s">
        <v>4328</v>
      </c>
      <c r="I1566" s="7" t="s">
        <v>512</v>
      </c>
      <c r="J1566" s="105" t="s">
        <v>8100</v>
      </c>
      <c r="K1566" s="266">
        <f t="shared" si="348"/>
        <v>2022</v>
      </c>
      <c r="L1566" s="390" t="s">
        <v>6067</v>
      </c>
      <c r="M1566" s="390" t="s">
        <v>6026</v>
      </c>
      <c r="N1566" s="32" t="s">
        <v>7792</v>
      </c>
      <c r="O1566" s="32" t="s">
        <v>4339</v>
      </c>
      <c r="P1566" s="278"/>
      <c r="Q1566" s="233">
        <v>201207014</v>
      </c>
      <c r="R1566" s="75">
        <v>710</v>
      </c>
      <c r="S1566" s="75">
        <v>0</v>
      </c>
      <c r="T1566" s="75">
        <v>710</v>
      </c>
      <c r="U1566" s="200">
        <v>240</v>
      </c>
      <c r="V1566" s="287">
        <f t="shared" ca="1" si="349"/>
        <v>8</v>
      </c>
      <c r="W1566" s="75">
        <f t="shared" ca="1" si="350"/>
        <v>2160</v>
      </c>
      <c r="X1566" s="200">
        <f t="shared" ca="1" si="351"/>
        <v>2630</v>
      </c>
      <c r="Y1566" s="1"/>
      <c r="Z1566" s="31">
        <v>0.1</v>
      </c>
      <c r="AA1566" s="223">
        <v>0.09</v>
      </c>
      <c r="AB1566" s="302" t="s">
        <v>7230</v>
      </c>
      <c r="AC1566" s="302"/>
      <c r="AD1566" s="302"/>
      <c r="AE1566" s="302"/>
      <c r="AF1566">
        <f t="shared" si="352"/>
        <v>0</v>
      </c>
    </row>
    <row r="1567" spans="1:32" hidden="1" x14ac:dyDescent="0.25">
      <c r="A1567" s="322" t="s">
        <v>4340</v>
      </c>
      <c r="B1567" s="93" t="str">
        <f t="shared" si="347"/>
        <v>YES</v>
      </c>
      <c r="C1567" s="93" t="s">
        <v>5503</v>
      </c>
      <c r="D1567" s="4">
        <v>41108</v>
      </c>
      <c r="E1567" s="2">
        <v>41214</v>
      </c>
      <c r="F1567" s="2">
        <f t="shared" si="353"/>
        <v>44866</v>
      </c>
      <c r="G1567" s="6">
        <v>160</v>
      </c>
      <c r="H1567" s="7" t="s">
        <v>4341</v>
      </c>
      <c r="I1567" s="7" t="s">
        <v>198</v>
      </c>
      <c r="J1567" s="186"/>
      <c r="K1567" s="266">
        <f t="shared" si="348"/>
        <v>2022</v>
      </c>
      <c r="L1567" s="390" t="s">
        <v>5623</v>
      </c>
      <c r="M1567" s="390" t="s">
        <v>7593</v>
      </c>
      <c r="N1567" s="32" t="s">
        <v>7793</v>
      </c>
      <c r="O1567" s="32" t="s">
        <v>4342</v>
      </c>
      <c r="P1567" s="278"/>
      <c r="Q1567" s="233">
        <v>201207019</v>
      </c>
      <c r="R1567" s="75">
        <v>710</v>
      </c>
      <c r="S1567" s="75">
        <v>12480</v>
      </c>
      <c r="T1567" s="75">
        <v>13190</v>
      </c>
      <c r="U1567" s="200">
        <v>240</v>
      </c>
      <c r="V1567" s="287">
        <f t="shared" ca="1" si="349"/>
        <v>8</v>
      </c>
      <c r="W1567" s="75">
        <f t="shared" ca="1" si="350"/>
        <v>2160</v>
      </c>
      <c r="X1567" s="200">
        <f t="shared" ca="1" si="351"/>
        <v>15110</v>
      </c>
      <c r="Y1567" s="1"/>
      <c r="Z1567" s="31">
        <v>0.1</v>
      </c>
      <c r="AA1567" s="223">
        <v>0.09</v>
      </c>
      <c r="AB1567" s="302" t="s">
        <v>7231</v>
      </c>
      <c r="AC1567" s="302"/>
      <c r="AD1567" s="302"/>
      <c r="AE1567" s="302"/>
      <c r="AF1567">
        <f t="shared" si="352"/>
        <v>0</v>
      </c>
    </row>
    <row r="1568" spans="1:32" ht="26.25" hidden="1" x14ac:dyDescent="0.25">
      <c r="A1568" s="322" t="s">
        <v>4343</v>
      </c>
      <c r="B1568" s="93" t="str">
        <f t="shared" si="347"/>
        <v>YES</v>
      </c>
      <c r="C1568" s="93" t="s">
        <v>5503</v>
      </c>
      <c r="D1568" s="4">
        <v>41108</v>
      </c>
      <c r="E1568" s="2">
        <v>41214</v>
      </c>
      <c r="F1568" s="2">
        <f t="shared" si="353"/>
        <v>44866</v>
      </c>
      <c r="G1568" s="6">
        <v>276.12</v>
      </c>
      <c r="H1568" s="7" t="s">
        <v>4341</v>
      </c>
      <c r="I1568" s="7" t="s">
        <v>198</v>
      </c>
      <c r="J1568" s="186"/>
      <c r="K1568" s="266">
        <f t="shared" si="348"/>
        <v>2022</v>
      </c>
      <c r="L1568" s="390" t="s">
        <v>5623</v>
      </c>
      <c r="M1568" s="390" t="s">
        <v>7588</v>
      </c>
      <c r="N1568" s="32" t="s">
        <v>7793</v>
      </c>
      <c r="O1568" s="32" t="s">
        <v>4344</v>
      </c>
      <c r="P1568" s="278"/>
      <c r="Q1568" s="233">
        <v>201207020</v>
      </c>
      <c r="R1568" s="75">
        <v>1119.5</v>
      </c>
      <c r="S1568" s="75">
        <v>24376</v>
      </c>
      <c r="T1568" s="75">
        <v>25495.5</v>
      </c>
      <c r="U1568" s="200">
        <v>415.5</v>
      </c>
      <c r="V1568" s="287">
        <f t="shared" ca="1" si="349"/>
        <v>8</v>
      </c>
      <c r="W1568" s="75">
        <f t="shared" ca="1" si="350"/>
        <v>3739.5</v>
      </c>
      <c r="X1568" s="200">
        <f t="shared" ca="1" si="351"/>
        <v>28819.5</v>
      </c>
      <c r="Y1568" s="1"/>
      <c r="Z1568" s="31">
        <v>0.1</v>
      </c>
      <c r="AA1568" s="223">
        <v>0.09</v>
      </c>
      <c r="AB1568" s="302" t="s">
        <v>7232</v>
      </c>
      <c r="AC1568" s="302"/>
      <c r="AD1568" s="302"/>
      <c r="AE1568" s="302"/>
      <c r="AF1568">
        <f t="shared" si="352"/>
        <v>0</v>
      </c>
    </row>
    <row r="1569" spans="1:32" ht="39" hidden="1" x14ac:dyDescent="0.25">
      <c r="A1569" s="322" t="s">
        <v>4345</v>
      </c>
      <c r="B1569" s="93" t="str">
        <f t="shared" si="347"/>
        <v>YES</v>
      </c>
      <c r="C1569" s="93" t="s">
        <v>5503</v>
      </c>
      <c r="D1569" s="4">
        <v>41108</v>
      </c>
      <c r="E1569" s="2">
        <v>41214</v>
      </c>
      <c r="F1569" s="2">
        <f t="shared" si="353"/>
        <v>44866</v>
      </c>
      <c r="G1569" s="6">
        <v>2066.9899999999998</v>
      </c>
      <c r="H1569" s="7" t="s">
        <v>4346</v>
      </c>
      <c r="I1569" s="7" t="s">
        <v>15</v>
      </c>
      <c r="J1569" s="105" t="s">
        <v>8100</v>
      </c>
      <c r="K1569" s="266">
        <f t="shared" si="348"/>
        <v>2022</v>
      </c>
      <c r="L1569" s="390"/>
      <c r="M1569" s="390"/>
      <c r="N1569" s="32" t="s">
        <v>4347</v>
      </c>
      <c r="O1569" s="32" t="s">
        <v>4348</v>
      </c>
      <c r="P1569" s="278"/>
      <c r="Q1569" s="233">
        <v>201207021</v>
      </c>
      <c r="R1569" s="75">
        <v>7384.5</v>
      </c>
      <c r="S1569" s="75">
        <v>0</v>
      </c>
      <c r="T1569" s="75">
        <v>7384.5</v>
      </c>
      <c r="U1569" s="200">
        <v>3100.5</v>
      </c>
      <c r="V1569" s="287">
        <f t="shared" ca="1" si="349"/>
        <v>8</v>
      </c>
      <c r="W1569" s="75">
        <f t="shared" ca="1" si="350"/>
        <v>27904.5</v>
      </c>
      <c r="X1569" s="200">
        <f t="shared" ca="1" si="351"/>
        <v>32188.5</v>
      </c>
      <c r="Y1569" s="1"/>
      <c r="Z1569" s="31">
        <v>0.1</v>
      </c>
      <c r="AA1569" s="223">
        <v>0.09</v>
      </c>
      <c r="AB1569" s="302" t="s">
        <v>7233</v>
      </c>
      <c r="AC1569" s="302"/>
      <c r="AD1569" s="302"/>
      <c r="AE1569" s="302"/>
      <c r="AF1569">
        <f t="shared" si="352"/>
        <v>0</v>
      </c>
    </row>
    <row r="1570" spans="1:32" ht="39" hidden="1" x14ac:dyDescent="0.25">
      <c r="A1570" s="322" t="s">
        <v>4349</v>
      </c>
      <c r="B1570" s="93" t="str">
        <f t="shared" si="347"/>
        <v>YES</v>
      </c>
      <c r="C1570" s="93" t="s">
        <v>5503</v>
      </c>
      <c r="D1570" s="4">
        <v>41108</v>
      </c>
      <c r="E1570" s="2">
        <v>41214</v>
      </c>
      <c r="F1570" s="2">
        <f t="shared" si="353"/>
        <v>44866</v>
      </c>
      <c r="G1570" s="6">
        <v>1892.89</v>
      </c>
      <c r="H1570" s="7" t="s">
        <v>4346</v>
      </c>
      <c r="I1570" s="7" t="s">
        <v>15</v>
      </c>
      <c r="J1570" s="105" t="s">
        <v>8100</v>
      </c>
      <c r="K1570" s="266">
        <f t="shared" si="348"/>
        <v>2022</v>
      </c>
      <c r="L1570" s="390"/>
      <c r="M1570" s="390"/>
      <c r="N1570" s="32" t="s">
        <v>4347</v>
      </c>
      <c r="O1570" s="32" t="s">
        <v>4350</v>
      </c>
      <c r="P1570" s="278"/>
      <c r="Q1570" s="233">
        <v>201207022</v>
      </c>
      <c r="R1570" s="75">
        <v>6775.5</v>
      </c>
      <c r="S1570" s="75">
        <v>0</v>
      </c>
      <c r="T1570" s="75">
        <v>6775.5</v>
      </c>
      <c r="U1570" s="200">
        <v>2839.5</v>
      </c>
      <c r="V1570" s="287">
        <f t="shared" ca="1" si="349"/>
        <v>8</v>
      </c>
      <c r="W1570" s="75">
        <f t="shared" ca="1" si="350"/>
        <v>25555.5</v>
      </c>
      <c r="X1570" s="200">
        <f t="shared" ca="1" si="351"/>
        <v>29491.5</v>
      </c>
      <c r="Y1570" s="1"/>
      <c r="Z1570" s="31">
        <v>0.1</v>
      </c>
      <c r="AA1570" s="223">
        <v>0.09</v>
      </c>
      <c r="AB1570" s="302" t="s">
        <v>7234</v>
      </c>
      <c r="AC1570" s="302"/>
      <c r="AD1570" s="302"/>
      <c r="AE1570" s="302"/>
      <c r="AF1570">
        <f t="shared" si="352"/>
        <v>0</v>
      </c>
    </row>
    <row r="1571" spans="1:32" ht="39" hidden="1" x14ac:dyDescent="0.25">
      <c r="A1571" s="322" t="s">
        <v>4351</v>
      </c>
      <c r="B1571" s="93" t="str">
        <f t="shared" si="347"/>
        <v>YES</v>
      </c>
      <c r="C1571" s="93" t="s">
        <v>5503</v>
      </c>
      <c r="D1571" s="4">
        <v>41108</v>
      </c>
      <c r="E1571" s="2">
        <v>41214</v>
      </c>
      <c r="F1571" s="2">
        <f t="shared" si="353"/>
        <v>44866</v>
      </c>
      <c r="G1571" s="6">
        <v>2123.91</v>
      </c>
      <c r="H1571" s="7" t="s">
        <v>4346</v>
      </c>
      <c r="I1571" s="7" t="s">
        <v>15</v>
      </c>
      <c r="J1571" s="105" t="s">
        <v>8100</v>
      </c>
      <c r="K1571" s="266">
        <f t="shared" si="348"/>
        <v>2022</v>
      </c>
      <c r="L1571" s="390"/>
      <c r="M1571" s="390"/>
      <c r="N1571" s="32" t="s">
        <v>4347</v>
      </c>
      <c r="O1571" s="32" t="s">
        <v>4352</v>
      </c>
      <c r="P1571" s="278"/>
      <c r="Q1571" s="233">
        <v>201207023</v>
      </c>
      <c r="R1571" s="75">
        <v>7584</v>
      </c>
      <c r="S1571" s="75">
        <v>0</v>
      </c>
      <c r="T1571" s="75">
        <v>7584</v>
      </c>
      <c r="U1571" s="200">
        <v>3186</v>
      </c>
      <c r="V1571" s="287">
        <f t="shared" ca="1" si="349"/>
        <v>8</v>
      </c>
      <c r="W1571" s="75">
        <f t="shared" ca="1" si="350"/>
        <v>28674</v>
      </c>
      <c r="X1571" s="200">
        <f t="shared" ca="1" si="351"/>
        <v>33072</v>
      </c>
      <c r="Y1571" s="1"/>
      <c r="Z1571" s="31">
        <v>0.1</v>
      </c>
      <c r="AA1571" s="223">
        <v>0.09</v>
      </c>
      <c r="AB1571" s="302" t="s">
        <v>7235</v>
      </c>
      <c r="AC1571" s="302"/>
      <c r="AD1571" s="302"/>
      <c r="AE1571" s="302"/>
      <c r="AF1571">
        <f t="shared" si="352"/>
        <v>0</v>
      </c>
    </row>
    <row r="1572" spans="1:32" hidden="1" x14ac:dyDescent="0.25">
      <c r="A1572" s="322" t="s">
        <v>4353</v>
      </c>
      <c r="B1572" s="93" t="str">
        <f t="shared" si="347"/>
        <v>YES</v>
      </c>
      <c r="C1572" s="93" t="s">
        <v>5503</v>
      </c>
      <c r="D1572" s="4">
        <v>41108</v>
      </c>
      <c r="E1572" s="2">
        <v>41214</v>
      </c>
      <c r="F1572" s="2">
        <f t="shared" si="353"/>
        <v>44866</v>
      </c>
      <c r="G1572" s="6">
        <v>124</v>
      </c>
      <c r="H1572" s="7" t="s">
        <v>862</v>
      </c>
      <c r="I1572" s="7" t="s">
        <v>15</v>
      </c>
      <c r="J1572" s="186"/>
      <c r="K1572" s="266">
        <f t="shared" si="348"/>
        <v>2022</v>
      </c>
      <c r="L1572" s="390"/>
      <c r="M1572" s="390"/>
      <c r="N1572" s="32" t="s">
        <v>4354</v>
      </c>
      <c r="O1572" s="32" t="s">
        <v>4355</v>
      </c>
      <c r="P1572" s="278"/>
      <c r="Q1572" s="233">
        <v>201207027</v>
      </c>
      <c r="R1572" s="75">
        <v>584</v>
      </c>
      <c r="S1572" s="75">
        <v>7192</v>
      </c>
      <c r="T1572" s="75">
        <v>7776</v>
      </c>
      <c r="U1572" s="200">
        <v>186</v>
      </c>
      <c r="V1572" s="287">
        <f t="shared" ca="1" si="349"/>
        <v>8</v>
      </c>
      <c r="W1572" s="75">
        <f t="shared" ca="1" si="350"/>
        <v>1674</v>
      </c>
      <c r="X1572" s="200">
        <f t="shared" ca="1" si="351"/>
        <v>9264</v>
      </c>
      <c r="Y1572" s="1"/>
      <c r="Z1572" s="31">
        <v>0.1</v>
      </c>
      <c r="AA1572" s="223">
        <v>0.09</v>
      </c>
      <c r="AB1572" s="302" t="s">
        <v>7236</v>
      </c>
      <c r="AC1572" s="302"/>
      <c r="AD1572" s="302"/>
      <c r="AE1572" s="302"/>
      <c r="AF1572">
        <f t="shared" si="352"/>
        <v>0</v>
      </c>
    </row>
    <row r="1573" spans="1:32" ht="39" hidden="1" x14ac:dyDescent="0.25">
      <c r="A1573" s="322" t="s">
        <v>4356</v>
      </c>
      <c r="B1573" s="93" t="str">
        <f t="shared" si="347"/>
        <v>YES</v>
      </c>
      <c r="C1573" s="93" t="s">
        <v>5503</v>
      </c>
      <c r="D1573" s="4">
        <v>41108</v>
      </c>
      <c r="E1573" s="2">
        <v>41214</v>
      </c>
      <c r="F1573" s="2">
        <f t="shared" si="353"/>
        <v>44866</v>
      </c>
      <c r="G1573" s="6">
        <v>2100.9299999999998</v>
      </c>
      <c r="H1573" s="7" t="s">
        <v>4357</v>
      </c>
      <c r="I1573" s="7" t="s">
        <v>15</v>
      </c>
      <c r="J1573" s="186"/>
      <c r="K1573" s="266">
        <f t="shared" si="348"/>
        <v>2022</v>
      </c>
      <c r="L1573" s="390"/>
      <c r="M1573" s="390"/>
      <c r="N1573" s="32" t="s">
        <v>4354</v>
      </c>
      <c r="O1573" s="32" t="s">
        <v>4358</v>
      </c>
      <c r="P1573" s="278"/>
      <c r="Q1573" s="233">
        <v>201207028</v>
      </c>
      <c r="R1573" s="75">
        <v>7503.5</v>
      </c>
      <c r="S1573" s="75">
        <v>542058</v>
      </c>
      <c r="T1573" s="75">
        <v>549561.5</v>
      </c>
      <c r="U1573" s="200">
        <v>3151.5</v>
      </c>
      <c r="V1573" s="287">
        <f t="shared" ca="1" si="349"/>
        <v>8</v>
      </c>
      <c r="W1573" s="75">
        <f t="shared" ca="1" si="350"/>
        <v>28363.5</v>
      </c>
      <c r="X1573" s="200">
        <f t="shared" ca="1" si="351"/>
        <v>574773.5</v>
      </c>
      <c r="Y1573" s="1"/>
      <c r="Z1573" s="31">
        <v>0.1</v>
      </c>
      <c r="AA1573" s="223">
        <v>0.09</v>
      </c>
      <c r="AB1573" s="302" t="s">
        <v>7237</v>
      </c>
      <c r="AC1573" s="302"/>
      <c r="AD1573" s="302"/>
      <c r="AE1573" s="302"/>
      <c r="AF1573">
        <f t="shared" si="352"/>
        <v>0</v>
      </c>
    </row>
    <row r="1574" spans="1:32" ht="15.75" hidden="1" thickBot="1" x14ac:dyDescent="0.3">
      <c r="A1574" s="322"/>
      <c r="D1574" s="7"/>
      <c r="E1574" s="8"/>
      <c r="F1574" s="2"/>
      <c r="G1574" s="6"/>
      <c r="H1574" s="7"/>
      <c r="I1574" s="7"/>
      <c r="J1574" s="186"/>
      <c r="K1574" s="186"/>
      <c r="L1574" s="386"/>
      <c r="M1574" s="386"/>
      <c r="N1574" s="32"/>
      <c r="O1574" s="32"/>
      <c r="P1574" s="278"/>
      <c r="Q1574" s="233"/>
      <c r="R1574" s="76">
        <v>66927.5</v>
      </c>
      <c r="S1574" s="76">
        <v>586106</v>
      </c>
      <c r="T1574" s="76">
        <v>653033.5</v>
      </c>
      <c r="U1574" s="200"/>
      <c r="V1574" s="75"/>
      <c r="W1574" s="75"/>
      <c r="X1574" s="200"/>
      <c r="Y1574" s="1"/>
      <c r="Z1574" s="1"/>
      <c r="AA1574" s="219"/>
      <c r="AB1574" s="302"/>
      <c r="AC1574" s="302"/>
      <c r="AD1574" s="302"/>
      <c r="AE1574" s="302"/>
      <c r="AF1574">
        <f t="shared" si="352"/>
        <v>0</v>
      </c>
    </row>
    <row r="1575" spans="1:32" hidden="1" x14ac:dyDescent="0.25">
      <c r="A1575" s="322"/>
      <c r="D1575" s="7"/>
      <c r="E1575" s="8"/>
      <c r="F1575" s="2"/>
      <c r="G1575" s="6"/>
      <c r="H1575" s="7"/>
      <c r="I1575" s="7"/>
      <c r="J1575" s="186"/>
      <c r="K1575" s="186"/>
      <c r="L1575" s="386"/>
      <c r="M1575" s="386"/>
      <c r="N1575" s="32"/>
      <c r="O1575" s="32"/>
      <c r="P1575" s="278"/>
      <c r="Q1575" s="233"/>
      <c r="R1575" s="75"/>
      <c r="S1575" s="75"/>
      <c r="T1575" s="75"/>
      <c r="U1575" s="200"/>
      <c r="V1575" s="75"/>
      <c r="W1575" s="75"/>
      <c r="X1575" s="200"/>
      <c r="Y1575" s="1"/>
      <c r="Z1575" s="1"/>
      <c r="AA1575" s="219"/>
      <c r="AB1575" s="302"/>
      <c r="AC1575" s="302"/>
      <c r="AD1575" s="302"/>
      <c r="AE1575" s="302"/>
      <c r="AF1575">
        <f t="shared" si="352"/>
        <v>0</v>
      </c>
    </row>
    <row r="1576" spans="1:32" hidden="1" x14ac:dyDescent="0.25">
      <c r="A1576" s="322" t="s">
        <v>4359</v>
      </c>
      <c r="B1576" s="93" t="str">
        <f t="shared" ref="B1576:B1607" si="354">IF(COUNTIF(GIS,A1576),"YES","NO")</f>
        <v>YES</v>
      </c>
      <c r="C1576" s="93" t="s">
        <v>5503</v>
      </c>
      <c r="D1576" s="4">
        <v>41165</v>
      </c>
      <c r="E1576" s="2">
        <v>41518</v>
      </c>
      <c r="F1576" s="2">
        <f t="shared" si="353"/>
        <v>45170</v>
      </c>
      <c r="G1576" s="6">
        <v>40.049999999999997</v>
      </c>
      <c r="H1576" s="7" t="s">
        <v>287</v>
      </c>
      <c r="I1576" s="7" t="s">
        <v>86</v>
      </c>
      <c r="J1576" s="186"/>
      <c r="K1576" s="266">
        <f t="shared" ref="K1576:K1607" si="355">YEAR(F1576)</f>
        <v>2023</v>
      </c>
      <c r="L1576" s="301" t="s">
        <v>5514</v>
      </c>
      <c r="M1576" s="301" t="s">
        <v>5562</v>
      </c>
      <c r="N1576" s="32" t="s">
        <v>7791</v>
      </c>
      <c r="O1576" s="32" t="s">
        <v>4361</v>
      </c>
      <c r="P1576" s="278"/>
      <c r="Q1576" s="233" t="s">
        <v>4360</v>
      </c>
      <c r="R1576" s="75">
        <v>293.5</v>
      </c>
      <c r="S1576" s="75">
        <v>1312</v>
      </c>
      <c r="T1576" s="75">
        <v>1605.5</v>
      </c>
      <c r="U1576" s="200">
        <v>61.5</v>
      </c>
      <c r="V1576" s="287">
        <f t="shared" ref="V1576:V1607" ca="1" si="356">IF(YEAR($W$3)-YEAR(E1576)&gt;9,10,IF(MONTH($W$3)&lt;MONTH(E1576),YEAR($W$3)-YEAR(E1576),YEAR($W$3)-YEAR(E1576)+1))</f>
        <v>7</v>
      </c>
      <c r="W1576" s="75">
        <f t="shared" ref="W1576:W1607" ca="1" si="357">IF(V1576&lt;6, ROUNDUP(G1576,0)*$W$6*V1576, ROUNDUP(G1576,0)*($W$6*5 + (V1576-5)*$W$7))</f>
        <v>471.5</v>
      </c>
      <c r="X1576" s="200">
        <f t="shared" ref="X1576:X1639" ca="1" si="358">IF(V1576=0,T1576,((T1576-ROUNDUP(G1576,0)*1.5)+W1576))</f>
        <v>2015.5</v>
      </c>
      <c r="Y1576" s="1"/>
      <c r="Z1576" s="31">
        <v>0.1</v>
      </c>
      <c r="AA1576" s="223">
        <v>0.09</v>
      </c>
      <c r="AB1576" s="302" t="s">
        <v>7238</v>
      </c>
      <c r="AC1576" s="302"/>
      <c r="AD1576" s="302"/>
      <c r="AE1576" s="302"/>
      <c r="AF1576">
        <f t="shared" si="352"/>
        <v>0</v>
      </c>
    </row>
    <row r="1577" spans="1:32" hidden="1" x14ac:dyDescent="0.25">
      <c r="A1577" s="322" t="s">
        <v>4362</v>
      </c>
      <c r="B1577" s="93" t="str">
        <f t="shared" si="354"/>
        <v>YES</v>
      </c>
      <c r="C1577" s="93" t="s">
        <v>5503</v>
      </c>
      <c r="D1577" s="4">
        <v>41165</v>
      </c>
      <c r="E1577" s="2">
        <v>41518</v>
      </c>
      <c r="F1577" s="2">
        <f t="shared" si="353"/>
        <v>45170</v>
      </c>
      <c r="G1577" s="6">
        <v>4</v>
      </c>
      <c r="H1577" s="7" t="s">
        <v>287</v>
      </c>
      <c r="I1577" s="7" t="s">
        <v>86</v>
      </c>
      <c r="J1577" s="186"/>
      <c r="K1577" s="266">
        <f t="shared" si="355"/>
        <v>2023</v>
      </c>
      <c r="L1577" s="301" t="s">
        <v>5514</v>
      </c>
      <c r="M1577" s="301" t="s">
        <v>5562</v>
      </c>
      <c r="N1577" s="32" t="s">
        <v>7791</v>
      </c>
      <c r="O1577" s="32" t="s">
        <v>4364</v>
      </c>
      <c r="P1577" s="278"/>
      <c r="Q1577" s="233" t="s">
        <v>4363</v>
      </c>
      <c r="R1577" s="75">
        <v>164</v>
      </c>
      <c r="S1577" s="75">
        <v>128</v>
      </c>
      <c r="T1577" s="75">
        <v>292</v>
      </c>
      <c r="U1577" s="200">
        <v>6</v>
      </c>
      <c r="V1577" s="287">
        <f t="shared" ca="1" si="356"/>
        <v>7</v>
      </c>
      <c r="W1577" s="75">
        <f t="shared" ca="1" si="357"/>
        <v>46</v>
      </c>
      <c r="X1577" s="200">
        <f t="shared" ca="1" si="358"/>
        <v>332</v>
      </c>
      <c r="Y1577" s="1"/>
      <c r="Z1577" s="31">
        <v>0.1</v>
      </c>
      <c r="AA1577" s="223">
        <v>0.09</v>
      </c>
      <c r="AB1577" s="302" t="s">
        <v>7239</v>
      </c>
      <c r="AC1577" s="302"/>
      <c r="AD1577" s="302"/>
      <c r="AE1577" s="302"/>
      <c r="AF1577">
        <f t="shared" si="352"/>
        <v>0</v>
      </c>
    </row>
    <row r="1578" spans="1:32" hidden="1" x14ac:dyDescent="0.25">
      <c r="A1578" s="322" t="s">
        <v>4365</v>
      </c>
      <c r="B1578" s="93" t="str">
        <f t="shared" si="354"/>
        <v>YES</v>
      </c>
      <c r="C1578" s="93" t="s">
        <v>5503</v>
      </c>
      <c r="D1578" s="4">
        <v>41165</v>
      </c>
      <c r="E1578" s="2">
        <v>41518</v>
      </c>
      <c r="F1578" s="2">
        <f t="shared" si="353"/>
        <v>45170</v>
      </c>
      <c r="G1578" s="6">
        <v>659.34</v>
      </c>
      <c r="H1578" s="7" t="s">
        <v>287</v>
      </c>
      <c r="I1578" s="7" t="s">
        <v>86</v>
      </c>
      <c r="J1578" s="186"/>
      <c r="K1578" s="266">
        <f t="shared" si="355"/>
        <v>2023</v>
      </c>
      <c r="L1578" s="301" t="s">
        <v>5514</v>
      </c>
      <c r="M1578" s="301" t="s">
        <v>7589</v>
      </c>
      <c r="N1578" s="32" t="s">
        <v>7791</v>
      </c>
      <c r="O1578" s="32" t="s">
        <v>4304</v>
      </c>
      <c r="P1578" s="278"/>
      <c r="Q1578" s="233" t="s">
        <v>4366</v>
      </c>
      <c r="R1578" s="75">
        <v>2460</v>
      </c>
      <c r="S1578" s="75">
        <v>20460</v>
      </c>
      <c r="T1578" s="75">
        <v>22920</v>
      </c>
      <c r="U1578" s="200">
        <v>990</v>
      </c>
      <c r="V1578" s="287">
        <f t="shared" ca="1" si="356"/>
        <v>7</v>
      </c>
      <c r="W1578" s="75">
        <f t="shared" ca="1" si="357"/>
        <v>7590</v>
      </c>
      <c r="X1578" s="200">
        <f t="shared" ca="1" si="358"/>
        <v>29520</v>
      </c>
      <c r="Y1578" s="1"/>
      <c r="Z1578" s="31">
        <v>0.1</v>
      </c>
      <c r="AA1578" s="223">
        <v>0.09</v>
      </c>
      <c r="AB1578" s="302" t="s">
        <v>7240</v>
      </c>
      <c r="AC1578" s="302"/>
      <c r="AD1578" s="302"/>
      <c r="AE1578" s="302"/>
      <c r="AF1578">
        <f t="shared" si="352"/>
        <v>0</v>
      </c>
    </row>
    <row r="1579" spans="1:32" hidden="1" x14ac:dyDescent="0.25">
      <c r="A1579" s="322" t="s">
        <v>4367</v>
      </c>
      <c r="B1579" s="93" t="str">
        <f t="shared" si="354"/>
        <v>YES</v>
      </c>
      <c r="C1579" s="93" t="s">
        <v>5503</v>
      </c>
      <c r="D1579" s="4">
        <v>41165</v>
      </c>
      <c r="E1579" s="2">
        <v>41518</v>
      </c>
      <c r="F1579" s="2">
        <f t="shared" si="353"/>
        <v>45170</v>
      </c>
      <c r="G1579" s="6">
        <v>109.84</v>
      </c>
      <c r="H1579" s="7" t="s">
        <v>684</v>
      </c>
      <c r="I1579" s="7" t="s">
        <v>86</v>
      </c>
      <c r="J1579" s="186"/>
      <c r="K1579" s="266">
        <f t="shared" si="355"/>
        <v>2023</v>
      </c>
      <c r="L1579" s="301" t="s">
        <v>5519</v>
      </c>
      <c r="M1579" s="301" t="s">
        <v>5573</v>
      </c>
      <c r="N1579" s="32" t="s">
        <v>7791</v>
      </c>
      <c r="O1579" s="32" t="s">
        <v>4369</v>
      </c>
      <c r="P1579" s="278"/>
      <c r="Q1579" s="233" t="s">
        <v>4368</v>
      </c>
      <c r="R1579" s="75">
        <v>535</v>
      </c>
      <c r="S1579" s="75">
        <v>8580</v>
      </c>
      <c r="T1579" s="75">
        <v>9115</v>
      </c>
      <c r="U1579" s="200">
        <v>165</v>
      </c>
      <c r="V1579" s="287">
        <f t="shared" ca="1" si="356"/>
        <v>7</v>
      </c>
      <c r="W1579" s="75">
        <f t="shared" ca="1" si="357"/>
        <v>1265</v>
      </c>
      <c r="X1579" s="200">
        <f t="shared" ca="1" si="358"/>
        <v>10215</v>
      </c>
      <c r="Y1579" s="1"/>
      <c r="Z1579" s="31">
        <v>0.1</v>
      </c>
      <c r="AA1579" s="223">
        <v>0.09</v>
      </c>
      <c r="AB1579" s="302" t="s">
        <v>7241</v>
      </c>
      <c r="AC1579" s="302"/>
      <c r="AD1579" s="302"/>
      <c r="AE1579" s="302"/>
      <c r="AF1579">
        <f t="shared" si="352"/>
        <v>0</v>
      </c>
    </row>
    <row r="1580" spans="1:32" hidden="1" x14ac:dyDescent="0.25">
      <c r="A1580" s="322" t="s">
        <v>4370</v>
      </c>
      <c r="B1580" s="93" t="str">
        <f t="shared" si="354"/>
        <v>YES</v>
      </c>
      <c r="C1580" s="93" t="s">
        <v>5503</v>
      </c>
      <c r="D1580" s="4">
        <v>41165</v>
      </c>
      <c r="E1580" s="2">
        <v>41518</v>
      </c>
      <c r="F1580" s="2">
        <f t="shared" si="353"/>
        <v>45170</v>
      </c>
      <c r="G1580" s="6">
        <v>41.73</v>
      </c>
      <c r="H1580" s="7" t="s">
        <v>684</v>
      </c>
      <c r="I1580" s="7" t="s">
        <v>86</v>
      </c>
      <c r="J1580" s="186"/>
      <c r="K1580" s="266">
        <f t="shared" si="355"/>
        <v>2023</v>
      </c>
      <c r="L1580" s="301" t="s">
        <v>5519</v>
      </c>
      <c r="M1580" s="301" t="s">
        <v>5573</v>
      </c>
      <c r="N1580" s="32" t="s">
        <v>7791</v>
      </c>
      <c r="O1580" s="32" t="s">
        <v>4304</v>
      </c>
      <c r="P1580" s="278"/>
      <c r="Q1580" s="233" t="s">
        <v>4371</v>
      </c>
      <c r="R1580" s="75">
        <v>297</v>
      </c>
      <c r="S1580" s="75">
        <v>3486</v>
      </c>
      <c r="T1580" s="75">
        <v>3783</v>
      </c>
      <c r="U1580" s="200">
        <v>63</v>
      </c>
      <c r="V1580" s="287">
        <f t="shared" ca="1" si="356"/>
        <v>7</v>
      </c>
      <c r="W1580" s="75">
        <f t="shared" ca="1" si="357"/>
        <v>483</v>
      </c>
      <c r="X1580" s="200">
        <f t="shared" ca="1" si="358"/>
        <v>4203</v>
      </c>
      <c r="Y1580" s="1"/>
      <c r="Z1580" s="31">
        <v>0.1</v>
      </c>
      <c r="AA1580" s="223">
        <v>0.09</v>
      </c>
      <c r="AB1580" s="302" t="s">
        <v>7242</v>
      </c>
      <c r="AC1580" s="302"/>
      <c r="AD1580" s="302"/>
      <c r="AE1580" s="302"/>
      <c r="AF1580">
        <f t="shared" si="352"/>
        <v>0</v>
      </c>
    </row>
    <row r="1581" spans="1:32" ht="26.25" hidden="1" x14ac:dyDescent="0.25">
      <c r="A1581" s="322" t="s">
        <v>4372</v>
      </c>
      <c r="B1581" s="93" t="str">
        <f t="shared" si="354"/>
        <v>YES</v>
      </c>
      <c r="C1581" s="93" t="s">
        <v>5503</v>
      </c>
      <c r="D1581" s="4">
        <v>41165</v>
      </c>
      <c r="E1581" s="2">
        <v>41518</v>
      </c>
      <c r="F1581" s="2">
        <f t="shared" si="353"/>
        <v>45170</v>
      </c>
      <c r="G1581" s="6">
        <v>425.96</v>
      </c>
      <c r="H1581" s="7" t="s">
        <v>287</v>
      </c>
      <c r="I1581" s="7" t="s">
        <v>86</v>
      </c>
      <c r="J1581" s="186"/>
      <c r="K1581" s="266">
        <f t="shared" si="355"/>
        <v>2023</v>
      </c>
      <c r="L1581" s="301" t="s">
        <v>5514</v>
      </c>
      <c r="M1581" s="301" t="s">
        <v>5573</v>
      </c>
      <c r="N1581" s="32" t="s">
        <v>7791</v>
      </c>
      <c r="O1581" s="32" t="s">
        <v>4374</v>
      </c>
      <c r="P1581" s="278"/>
      <c r="Q1581" s="233" t="s">
        <v>4373</v>
      </c>
      <c r="R1581" s="75">
        <v>1641</v>
      </c>
      <c r="S1581" s="75">
        <v>53676</v>
      </c>
      <c r="T1581" s="75">
        <v>55317</v>
      </c>
      <c r="U1581" s="200">
        <v>639</v>
      </c>
      <c r="V1581" s="287">
        <f t="shared" ca="1" si="356"/>
        <v>7</v>
      </c>
      <c r="W1581" s="75">
        <f t="shared" ca="1" si="357"/>
        <v>4899</v>
      </c>
      <c r="X1581" s="200">
        <f t="shared" ca="1" si="358"/>
        <v>59577</v>
      </c>
      <c r="Y1581" s="1"/>
      <c r="Z1581" s="31">
        <v>0.1</v>
      </c>
      <c r="AA1581" s="223">
        <v>0.09</v>
      </c>
      <c r="AB1581" s="302" t="s">
        <v>7243</v>
      </c>
      <c r="AC1581" s="302"/>
      <c r="AD1581" s="302"/>
      <c r="AE1581" s="302"/>
      <c r="AF1581">
        <f t="shared" si="352"/>
        <v>0</v>
      </c>
    </row>
    <row r="1582" spans="1:32" ht="26.25" hidden="1" x14ac:dyDescent="0.25">
      <c r="A1582" s="322" t="s">
        <v>4375</v>
      </c>
      <c r="B1582" s="93" t="str">
        <f t="shared" si="354"/>
        <v>YES</v>
      </c>
      <c r="C1582" s="93" t="s">
        <v>5503</v>
      </c>
      <c r="D1582" s="4">
        <v>41165</v>
      </c>
      <c r="E1582" s="2">
        <v>41518</v>
      </c>
      <c r="F1582" s="2">
        <f t="shared" si="353"/>
        <v>45170</v>
      </c>
      <c r="G1582" s="6">
        <v>115</v>
      </c>
      <c r="H1582" s="7" t="s">
        <v>287</v>
      </c>
      <c r="I1582" s="7" t="s">
        <v>86</v>
      </c>
      <c r="J1582" s="186"/>
      <c r="K1582" s="266">
        <f t="shared" si="355"/>
        <v>2023</v>
      </c>
      <c r="L1582" s="301" t="s">
        <v>5514</v>
      </c>
      <c r="M1582" s="301" t="s">
        <v>5573</v>
      </c>
      <c r="N1582" s="32" t="s">
        <v>7791</v>
      </c>
      <c r="O1582" s="32" t="s">
        <v>4377</v>
      </c>
      <c r="P1582" s="278"/>
      <c r="Q1582" s="233" t="s">
        <v>4376</v>
      </c>
      <c r="R1582" s="75">
        <v>552.5</v>
      </c>
      <c r="S1582" s="75">
        <v>8970</v>
      </c>
      <c r="T1582" s="75">
        <v>9522.5</v>
      </c>
      <c r="U1582" s="200">
        <v>172.5</v>
      </c>
      <c r="V1582" s="287">
        <f t="shared" ca="1" si="356"/>
        <v>7</v>
      </c>
      <c r="W1582" s="75">
        <f t="shared" ca="1" si="357"/>
        <v>1322.5</v>
      </c>
      <c r="X1582" s="200">
        <f t="shared" ca="1" si="358"/>
        <v>10672.5</v>
      </c>
      <c r="Y1582" s="1"/>
      <c r="Z1582" s="31">
        <v>0.1</v>
      </c>
      <c r="AA1582" s="223">
        <v>0.09</v>
      </c>
      <c r="AB1582" s="302" t="s">
        <v>7244</v>
      </c>
      <c r="AC1582" s="302"/>
      <c r="AD1582" s="302"/>
      <c r="AE1582" s="302"/>
      <c r="AF1582">
        <f t="shared" si="352"/>
        <v>0</v>
      </c>
    </row>
    <row r="1583" spans="1:32" hidden="1" x14ac:dyDescent="0.25">
      <c r="A1583" s="322" t="s">
        <v>4378</v>
      </c>
      <c r="B1583" s="93" t="str">
        <f t="shared" si="354"/>
        <v>YES</v>
      </c>
      <c r="C1583" s="93" t="s">
        <v>5503</v>
      </c>
      <c r="D1583" s="4">
        <v>41165</v>
      </c>
      <c r="E1583" s="2">
        <v>41518</v>
      </c>
      <c r="F1583" s="2">
        <f t="shared" si="353"/>
        <v>45170</v>
      </c>
      <c r="G1583" s="6">
        <v>112.8</v>
      </c>
      <c r="H1583" s="7" t="s">
        <v>453</v>
      </c>
      <c r="I1583" s="7" t="s">
        <v>86</v>
      </c>
      <c r="J1583" s="186"/>
      <c r="K1583" s="266">
        <f t="shared" si="355"/>
        <v>2023</v>
      </c>
      <c r="L1583" s="301" t="s">
        <v>5514</v>
      </c>
      <c r="M1583" s="301" t="s">
        <v>7593</v>
      </c>
      <c r="N1583" s="32" t="s">
        <v>7790</v>
      </c>
      <c r="O1583" s="32" t="s">
        <v>4304</v>
      </c>
      <c r="P1583" s="278"/>
      <c r="Q1583" s="233" t="s">
        <v>4379</v>
      </c>
      <c r="R1583" s="75">
        <v>545.5</v>
      </c>
      <c r="S1583" s="75">
        <v>1808</v>
      </c>
      <c r="T1583" s="75">
        <v>2353.5</v>
      </c>
      <c r="U1583" s="200">
        <v>169.5</v>
      </c>
      <c r="V1583" s="287">
        <f t="shared" ca="1" si="356"/>
        <v>7</v>
      </c>
      <c r="W1583" s="75">
        <f t="shared" ca="1" si="357"/>
        <v>1299.5</v>
      </c>
      <c r="X1583" s="200">
        <f t="shared" ca="1" si="358"/>
        <v>3483.5</v>
      </c>
      <c r="Y1583" s="1"/>
      <c r="Z1583" s="31">
        <v>0.1</v>
      </c>
      <c r="AA1583" s="223">
        <v>0.09</v>
      </c>
      <c r="AB1583" s="302" t="s">
        <v>7245</v>
      </c>
      <c r="AC1583" s="302"/>
      <c r="AD1583" s="302"/>
      <c r="AE1583" s="302"/>
      <c r="AF1583">
        <f t="shared" si="352"/>
        <v>0</v>
      </c>
    </row>
    <row r="1584" spans="1:32" hidden="1" x14ac:dyDescent="0.25">
      <c r="A1584" s="322" t="s">
        <v>4380</v>
      </c>
      <c r="B1584" s="93" t="str">
        <f t="shared" si="354"/>
        <v>YES</v>
      </c>
      <c r="C1584" s="93" t="s">
        <v>5503</v>
      </c>
      <c r="D1584" s="4">
        <v>41165</v>
      </c>
      <c r="E1584" s="2">
        <v>41518</v>
      </c>
      <c r="F1584" s="2">
        <f t="shared" si="353"/>
        <v>45170</v>
      </c>
      <c r="G1584" s="6">
        <v>131.69999999999999</v>
      </c>
      <c r="H1584" s="7" t="s">
        <v>453</v>
      </c>
      <c r="I1584" s="7" t="s">
        <v>86</v>
      </c>
      <c r="J1584" s="186"/>
      <c r="K1584" s="266">
        <f t="shared" si="355"/>
        <v>2023</v>
      </c>
      <c r="L1584" s="301" t="s">
        <v>5514</v>
      </c>
      <c r="M1584" s="301" t="s">
        <v>7593</v>
      </c>
      <c r="N1584" s="32" t="s">
        <v>7790</v>
      </c>
      <c r="O1584" s="32" t="s">
        <v>4382</v>
      </c>
      <c r="P1584" s="278"/>
      <c r="Q1584" s="233" t="s">
        <v>4381</v>
      </c>
      <c r="R1584" s="75">
        <v>612</v>
      </c>
      <c r="S1584" s="75">
        <v>2376</v>
      </c>
      <c r="T1584" s="75">
        <v>2988</v>
      </c>
      <c r="U1584" s="200">
        <v>198</v>
      </c>
      <c r="V1584" s="287">
        <f t="shared" ca="1" si="356"/>
        <v>7</v>
      </c>
      <c r="W1584" s="75">
        <f t="shared" ca="1" si="357"/>
        <v>1518</v>
      </c>
      <c r="X1584" s="200">
        <f t="shared" ca="1" si="358"/>
        <v>4308</v>
      </c>
      <c r="Y1584" s="1"/>
      <c r="Z1584" s="31">
        <v>0.1</v>
      </c>
      <c r="AA1584" s="223">
        <v>0.09</v>
      </c>
      <c r="AB1584" s="302" t="s">
        <v>7246</v>
      </c>
      <c r="AC1584" s="302"/>
      <c r="AD1584" s="302"/>
      <c r="AE1584" s="302"/>
      <c r="AF1584">
        <f t="shared" si="352"/>
        <v>0</v>
      </c>
    </row>
    <row r="1585" spans="1:32" hidden="1" x14ac:dyDescent="0.25">
      <c r="A1585" s="322" t="s">
        <v>4383</v>
      </c>
      <c r="B1585" s="93" t="str">
        <f t="shared" si="354"/>
        <v>YES</v>
      </c>
      <c r="C1585" s="93" t="s">
        <v>5503</v>
      </c>
      <c r="D1585" s="4">
        <v>41165</v>
      </c>
      <c r="E1585" s="2">
        <v>41518</v>
      </c>
      <c r="F1585" s="2">
        <f t="shared" si="353"/>
        <v>45170</v>
      </c>
      <c r="G1585" s="6">
        <v>250.11</v>
      </c>
      <c r="H1585" s="7" t="s">
        <v>453</v>
      </c>
      <c r="I1585" s="7" t="s">
        <v>86</v>
      </c>
      <c r="J1585" s="186"/>
      <c r="K1585" s="266">
        <f t="shared" si="355"/>
        <v>2023</v>
      </c>
      <c r="L1585" s="301" t="s">
        <v>5514</v>
      </c>
      <c r="M1585" s="301" t="s">
        <v>7593</v>
      </c>
      <c r="N1585" s="32" t="s">
        <v>7790</v>
      </c>
      <c r="O1585" s="32" t="s">
        <v>4304</v>
      </c>
      <c r="P1585" s="278"/>
      <c r="Q1585" s="233" t="s">
        <v>4384</v>
      </c>
      <c r="R1585" s="75">
        <v>1028.5</v>
      </c>
      <c r="S1585" s="75">
        <v>4016</v>
      </c>
      <c r="T1585" s="75">
        <v>5044.5</v>
      </c>
      <c r="U1585" s="200">
        <v>376.5</v>
      </c>
      <c r="V1585" s="287">
        <f t="shared" ca="1" si="356"/>
        <v>7</v>
      </c>
      <c r="W1585" s="75">
        <f t="shared" ca="1" si="357"/>
        <v>2886.5</v>
      </c>
      <c r="X1585" s="200">
        <f t="shared" ca="1" si="358"/>
        <v>7554.5</v>
      </c>
      <c r="Y1585" s="1"/>
      <c r="Z1585" s="31">
        <v>0.1</v>
      </c>
      <c r="AA1585" s="223">
        <v>0.09</v>
      </c>
      <c r="AB1585" s="302" t="s">
        <v>7247</v>
      </c>
      <c r="AC1585" s="302"/>
      <c r="AD1585" s="302"/>
      <c r="AE1585" s="302"/>
      <c r="AF1585">
        <f t="shared" si="352"/>
        <v>0</v>
      </c>
    </row>
    <row r="1586" spans="1:32" hidden="1" x14ac:dyDescent="0.25">
      <c r="A1586" s="322" t="s">
        <v>4385</v>
      </c>
      <c r="B1586" s="93" t="str">
        <f t="shared" si="354"/>
        <v>YES</v>
      </c>
      <c r="C1586" s="93" t="s">
        <v>5503</v>
      </c>
      <c r="D1586" s="4">
        <v>41165</v>
      </c>
      <c r="E1586" s="2">
        <v>41518</v>
      </c>
      <c r="F1586" s="2">
        <f t="shared" si="353"/>
        <v>45170</v>
      </c>
      <c r="G1586" s="6">
        <v>300.08</v>
      </c>
      <c r="H1586" s="7" t="s">
        <v>453</v>
      </c>
      <c r="I1586" s="7" t="s">
        <v>86</v>
      </c>
      <c r="J1586" s="186"/>
      <c r="K1586" s="266">
        <f t="shared" si="355"/>
        <v>2023</v>
      </c>
      <c r="L1586" s="301" t="s">
        <v>5514</v>
      </c>
      <c r="M1586" s="301" t="s">
        <v>7593</v>
      </c>
      <c r="N1586" s="32" t="s">
        <v>7790</v>
      </c>
      <c r="O1586" s="32" t="s">
        <v>4304</v>
      </c>
      <c r="P1586" s="278"/>
      <c r="Q1586" s="233" t="s">
        <v>4386</v>
      </c>
      <c r="R1586" s="75">
        <v>1203.5</v>
      </c>
      <c r="S1586" s="75">
        <v>5117</v>
      </c>
      <c r="T1586" s="75">
        <v>6320.5</v>
      </c>
      <c r="U1586" s="200">
        <v>451.5</v>
      </c>
      <c r="V1586" s="287">
        <f t="shared" ca="1" si="356"/>
        <v>7</v>
      </c>
      <c r="W1586" s="75">
        <f t="shared" ca="1" si="357"/>
        <v>3461.5</v>
      </c>
      <c r="X1586" s="200">
        <f t="shared" ca="1" si="358"/>
        <v>9330.5</v>
      </c>
      <c r="Y1586" s="1"/>
      <c r="Z1586" s="31">
        <v>0.1</v>
      </c>
      <c r="AA1586" s="223">
        <v>0.09</v>
      </c>
      <c r="AB1586" s="302" t="s">
        <v>7248</v>
      </c>
      <c r="AC1586" s="302"/>
      <c r="AD1586" s="302"/>
      <c r="AE1586" s="302"/>
      <c r="AF1586">
        <f t="shared" si="352"/>
        <v>0</v>
      </c>
    </row>
    <row r="1587" spans="1:32" ht="26.25" hidden="1" x14ac:dyDescent="0.25">
      <c r="A1587" s="322" t="s">
        <v>4387</v>
      </c>
      <c r="B1587" s="93" t="str">
        <f t="shared" si="354"/>
        <v>YES</v>
      </c>
      <c r="C1587" s="93" t="s">
        <v>5503</v>
      </c>
      <c r="D1587" s="4">
        <v>41165</v>
      </c>
      <c r="E1587" s="2">
        <v>41518</v>
      </c>
      <c r="F1587" s="2">
        <f t="shared" si="353"/>
        <v>45170</v>
      </c>
      <c r="G1587" s="6">
        <v>3.32</v>
      </c>
      <c r="H1587" s="7" t="s">
        <v>453</v>
      </c>
      <c r="I1587" s="7" t="s">
        <v>86</v>
      </c>
      <c r="J1587" s="186"/>
      <c r="K1587" s="266">
        <f t="shared" si="355"/>
        <v>2023</v>
      </c>
      <c r="L1587" s="301" t="s">
        <v>5514</v>
      </c>
      <c r="M1587" s="301" t="s">
        <v>7593</v>
      </c>
      <c r="N1587" s="32" t="s">
        <v>7790</v>
      </c>
      <c r="O1587" s="32" t="s">
        <v>4389</v>
      </c>
      <c r="P1587" s="278"/>
      <c r="Q1587" s="233" t="s">
        <v>4388</v>
      </c>
      <c r="R1587" s="75">
        <v>164</v>
      </c>
      <c r="S1587" s="75">
        <v>56</v>
      </c>
      <c r="T1587" s="75">
        <v>220</v>
      </c>
      <c r="U1587" s="200">
        <v>6</v>
      </c>
      <c r="V1587" s="287">
        <f t="shared" ca="1" si="356"/>
        <v>7</v>
      </c>
      <c r="W1587" s="75">
        <f t="shared" ca="1" si="357"/>
        <v>46</v>
      </c>
      <c r="X1587" s="200">
        <f t="shared" ca="1" si="358"/>
        <v>260</v>
      </c>
      <c r="Y1587" s="1"/>
      <c r="Z1587" s="31">
        <v>0.1</v>
      </c>
      <c r="AA1587" s="223">
        <v>0.09</v>
      </c>
      <c r="AB1587" s="302" t="s">
        <v>7249</v>
      </c>
      <c r="AC1587" s="302"/>
      <c r="AD1587" s="302"/>
      <c r="AE1587" s="302"/>
      <c r="AF1587">
        <f t="shared" si="352"/>
        <v>0</v>
      </c>
    </row>
    <row r="1588" spans="1:32" ht="26.25" hidden="1" x14ac:dyDescent="0.25">
      <c r="A1588" s="322" t="s">
        <v>4390</v>
      </c>
      <c r="B1588" s="93" t="str">
        <f t="shared" si="354"/>
        <v>YES</v>
      </c>
      <c r="C1588" s="93" t="s">
        <v>5503</v>
      </c>
      <c r="D1588" s="4">
        <v>41165</v>
      </c>
      <c r="E1588" s="11">
        <v>42278</v>
      </c>
      <c r="F1588" s="2">
        <f t="shared" si="353"/>
        <v>45931</v>
      </c>
      <c r="G1588" s="6">
        <v>692.48</v>
      </c>
      <c r="H1588" s="7" t="s">
        <v>2827</v>
      </c>
      <c r="I1588" s="7" t="s">
        <v>79</v>
      </c>
      <c r="J1588" s="109"/>
      <c r="K1588" s="266">
        <f t="shared" si="355"/>
        <v>2025</v>
      </c>
      <c r="L1588" s="391" t="s">
        <v>5834</v>
      </c>
      <c r="M1588" s="390" t="s">
        <v>5683</v>
      </c>
      <c r="N1588" s="32" t="s">
        <v>7783</v>
      </c>
      <c r="O1588" s="32" t="s">
        <v>5051</v>
      </c>
      <c r="P1588" s="278" t="s">
        <v>5052</v>
      </c>
      <c r="Q1588" s="233" t="s">
        <v>5050</v>
      </c>
      <c r="R1588" s="75">
        <v>2575.5</v>
      </c>
      <c r="S1588" s="75">
        <v>19404</v>
      </c>
      <c r="T1588" s="75">
        <v>21979.5</v>
      </c>
      <c r="U1588" s="200">
        <v>1039.5</v>
      </c>
      <c r="V1588" s="287">
        <f t="shared" ca="1" si="356"/>
        <v>5</v>
      </c>
      <c r="W1588" s="75">
        <f t="shared" ca="1" si="357"/>
        <v>5197.5</v>
      </c>
      <c r="X1588" s="200">
        <f t="shared" ca="1" si="358"/>
        <v>26137.5</v>
      </c>
      <c r="Y1588" s="1"/>
      <c r="Z1588" s="31">
        <v>0.1</v>
      </c>
      <c r="AA1588" s="223">
        <v>0.09</v>
      </c>
      <c r="AB1588" s="302" t="s">
        <v>7250</v>
      </c>
      <c r="AC1588" s="308">
        <v>43536</v>
      </c>
      <c r="AD1588" s="309">
        <v>0.25</v>
      </c>
      <c r="AE1588" s="302" t="s">
        <v>7512</v>
      </c>
      <c r="AF1588">
        <f t="shared" si="352"/>
        <v>0</v>
      </c>
    </row>
    <row r="1589" spans="1:32" ht="26.25" hidden="1" x14ac:dyDescent="0.25">
      <c r="A1589" s="322" t="s">
        <v>4391</v>
      </c>
      <c r="B1589" s="93" t="str">
        <f t="shared" si="354"/>
        <v>YES</v>
      </c>
      <c r="C1589" s="93" t="s">
        <v>5503</v>
      </c>
      <c r="D1589" s="4">
        <v>41165</v>
      </c>
      <c r="E1589" s="11">
        <v>42644</v>
      </c>
      <c r="F1589" s="2">
        <f t="shared" si="353"/>
        <v>46296</v>
      </c>
      <c r="G1589" s="6">
        <v>362.86</v>
      </c>
      <c r="H1589" s="7" t="s">
        <v>2827</v>
      </c>
      <c r="I1589" s="7" t="s">
        <v>79</v>
      </c>
      <c r="J1589" s="109"/>
      <c r="K1589" s="266">
        <f t="shared" si="355"/>
        <v>2026</v>
      </c>
      <c r="L1589" s="391" t="s">
        <v>5834</v>
      </c>
      <c r="M1589" s="390" t="s">
        <v>5683</v>
      </c>
      <c r="N1589" s="32" t="s">
        <v>7788</v>
      </c>
      <c r="O1589" s="32" t="s">
        <v>5190</v>
      </c>
      <c r="P1589" s="278" t="s">
        <v>5191</v>
      </c>
      <c r="Q1589" s="233" t="s">
        <v>5189</v>
      </c>
      <c r="R1589" s="75">
        <v>1420.5</v>
      </c>
      <c r="S1589" s="75">
        <v>7623</v>
      </c>
      <c r="T1589" s="75">
        <v>9043.5</v>
      </c>
      <c r="U1589" s="200">
        <v>544.5</v>
      </c>
      <c r="V1589" s="287">
        <f t="shared" ca="1" si="356"/>
        <v>4</v>
      </c>
      <c r="W1589" s="75">
        <f t="shared" ca="1" si="357"/>
        <v>2178</v>
      </c>
      <c r="X1589" s="200">
        <f t="shared" ca="1" si="358"/>
        <v>10677</v>
      </c>
      <c r="Y1589" s="1"/>
      <c r="Z1589" s="31">
        <v>0.1</v>
      </c>
      <c r="AA1589" s="223">
        <v>0.09</v>
      </c>
      <c r="AB1589" s="302" t="s">
        <v>8111</v>
      </c>
      <c r="AC1589" s="302"/>
      <c r="AD1589" s="302"/>
      <c r="AE1589" s="302"/>
      <c r="AF1589">
        <f t="shared" si="352"/>
        <v>0</v>
      </c>
    </row>
    <row r="1590" spans="1:32" hidden="1" x14ac:dyDescent="0.25">
      <c r="A1590" s="322" t="s">
        <v>4392</v>
      </c>
      <c r="B1590" s="93" t="str">
        <f t="shared" si="354"/>
        <v>YES</v>
      </c>
      <c r="C1590" s="93" t="s">
        <v>5503</v>
      </c>
      <c r="D1590" s="4">
        <v>41165</v>
      </c>
      <c r="E1590" s="11">
        <v>42278</v>
      </c>
      <c r="F1590" s="2">
        <f t="shared" si="353"/>
        <v>45931</v>
      </c>
      <c r="G1590" s="6">
        <v>516.25</v>
      </c>
      <c r="H1590" s="7" t="s">
        <v>2827</v>
      </c>
      <c r="I1590" s="7" t="s">
        <v>79</v>
      </c>
      <c r="J1590" s="109"/>
      <c r="K1590" s="266">
        <f t="shared" si="355"/>
        <v>2025</v>
      </c>
      <c r="L1590" s="391" t="s">
        <v>5834</v>
      </c>
      <c r="M1590" s="390" t="s">
        <v>5683</v>
      </c>
      <c r="N1590" s="32" t="s">
        <v>7788</v>
      </c>
      <c r="O1590" s="32" t="s">
        <v>5054</v>
      </c>
      <c r="P1590" s="278"/>
      <c r="Q1590" s="233" t="s">
        <v>5053</v>
      </c>
      <c r="R1590" s="75">
        <v>1959.5</v>
      </c>
      <c r="S1590" s="75">
        <v>11891</v>
      </c>
      <c r="T1590" s="75">
        <v>13850.5</v>
      </c>
      <c r="U1590" s="200">
        <v>775.5</v>
      </c>
      <c r="V1590" s="287">
        <f t="shared" ca="1" si="356"/>
        <v>5</v>
      </c>
      <c r="W1590" s="75">
        <f t="shared" ca="1" si="357"/>
        <v>3877.5</v>
      </c>
      <c r="X1590" s="200">
        <f t="shared" ca="1" si="358"/>
        <v>16952.5</v>
      </c>
      <c r="Y1590" s="1"/>
      <c r="Z1590" s="31">
        <v>0.1</v>
      </c>
      <c r="AA1590" s="223">
        <v>0.09</v>
      </c>
      <c r="AB1590" s="302" t="s">
        <v>7251</v>
      </c>
      <c r="AC1590" s="308">
        <v>43536</v>
      </c>
      <c r="AD1590" s="309">
        <v>0.25</v>
      </c>
      <c r="AE1590" s="302" t="s">
        <v>7512</v>
      </c>
      <c r="AF1590">
        <f t="shared" si="352"/>
        <v>0</v>
      </c>
    </row>
    <row r="1591" spans="1:32" hidden="1" x14ac:dyDescent="0.25">
      <c r="A1591" s="322" t="s">
        <v>4393</v>
      </c>
      <c r="B1591" s="93" t="str">
        <f t="shared" si="354"/>
        <v>YES</v>
      </c>
      <c r="C1591" s="93" t="s">
        <v>5503</v>
      </c>
      <c r="D1591" s="4">
        <v>41165</v>
      </c>
      <c r="E1591" s="11">
        <v>42278</v>
      </c>
      <c r="F1591" s="2">
        <f t="shared" si="353"/>
        <v>45931</v>
      </c>
      <c r="G1591" s="6">
        <v>544.86</v>
      </c>
      <c r="H1591" s="7" t="s">
        <v>2827</v>
      </c>
      <c r="I1591" s="7" t="s">
        <v>79</v>
      </c>
      <c r="J1591" s="109"/>
      <c r="K1591" s="266">
        <f t="shared" si="355"/>
        <v>2025</v>
      </c>
      <c r="L1591" s="391" t="s">
        <v>5834</v>
      </c>
      <c r="M1591" s="390" t="s">
        <v>5683</v>
      </c>
      <c r="N1591" s="32" t="s">
        <v>7788</v>
      </c>
      <c r="O1591" s="32" t="s">
        <v>5056</v>
      </c>
      <c r="P1591" s="278"/>
      <c r="Q1591" s="233" t="s">
        <v>5055</v>
      </c>
      <c r="R1591" s="75">
        <v>2057.5</v>
      </c>
      <c r="S1591" s="75">
        <v>13080</v>
      </c>
      <c r="T1591" s="75">
        <v>15137.5</v>
      </c>
      <c r="U1591" s="200">
        <v>817.8</v>
      </c>
      <c r="V1591" s="287">
        <f t="shared" ca="1" si="356"/>
        <v>5</v>
      </c>
      <c r="W1591" s="75">
        <f t="shared" ca="1" si="357"/>
        <v>4087.5</v>
      </c>
      <c r="X1591" s="200">
        <f t="shared" ca="1" si="358"/>
        <v>18407.5</v>
      </c>
      <c r="Y1591" s="1"/>
      <c r="Z1591" s="31">
        <v>0.1</v>
      </c>
      <c r="AA1591" s="223">
        <v>0.09</v>
      </c>
      <c r="AB1591" s="302" t="s">
        <v>7252</v>
      </c>
      <c r="AC1591" s="308">
        <v>43536</v>
      </c>
      <c r="AD1591" s="309">
        <v>0.25</v>
      </c>
      <c r="AE1591" s="302" t="s">
        <v>7512</v>
      </c>
      <c r="AF1591">
        <f t="shared" si="352"/>
        <v>0</v>
      </c>
    </row>
    <row r="1592" spans="1:32" hidden="1" x14ac:dyDescent="0.25">
      <c r="A1592" s="322" t="s">
        <v>4394</v>
      </c>
      <c r="B1592" s="93" t="str">
        <f t="shared" si="354"/>
        <v>YES</v>
      </c>
      <c r="C1592" s="93" t="s">
        <v>5503</v>
      </c>
      <c r="D1592" s="4">
        <v>41165</v>
      </c>
      <c r="E1592" s="11">
        <v>42644</v>
      </c>
      <c r="F1592" s="2">
        <f t="shared" si="353"/>
        <v>46296</v>
      </c>
      <c r="G1592" s="6">
        <v>621.20000000000005</v>
      </c>
      <c r="H1592" s="7" t="s">
        <v>2827</v>
      </c>
      <c r="I1592" s="7" t="s">
        <v>79</v>
      </c>
      <c r="J1592" s="109"/>
      <c r="K1592" s="266">
        <f t="shared" si="355"/>
        <v>2026</v>
      </c>
      <c r="L1592" s="391" t="s">
        <v>5834</v>
      </c>
      <c r="M1592" s="390" t="s">
        <v>5683</v>
      </c>
      <c r="N1592" s="32" t="s">
        <v>7788</v>
      </c>
      <c r="O1592" s="32" t="s">
        <v>5193</v>
      </c>
      <c r="P1592" s="278"/>
      <c r="Q1592" s="233" t="s">
        <v>5192</v>
      </c>
      <c r="R1592" s="75">
        <v>2327</v>
      </c>
      <c r="S1592" s="75">
        <v>11196</v>
      </c>
      <c r="T1592" s="75">
        <v>13523</v>
      </c>
      <c r="U1592" s="200">
        <v>933</v>
      </c>
      <c r="V1592" s="287">
        <f t="shared" ca="1" si="356"/>
        <v>4</v>
      </c>
      <c r="W1592" s="75">
        <f t="shared" ca="1" si="357"/>
        <v>3732</v>
      </c>
      <c r="X1592" s="200">
        <f t="shared" ca="1" si="358"/>
        <v>16322</v>
      </c>
      <c r="Y1592" s="1"/>
      <c r="Z1592" s="31">
        <v>0.1</v>
      </c>
      <c r="AA1592" s="223">
        <v>0.09</v>
      </c>
      <c r="AB1592" s="302" t="s">
        <v>8111</v>
      </c>
      <c r="AC1592" s="302"/>
      <c r="AD1592" s="302"/>
      <c r="AE1592" s="302"/>
      <c r="AF1592">
        <f t="shared" si="352"/>
        <v>0</v>
      </c>
    </row>
    <row r="1593" spans="1:32" hidden="1" x14ac:dyDescent="0.25">
      <c r="A1593" s="322" t="s">
        <v>4395</v>
      </c>
      <c r="B1593" s="93" t="str">
        <f t="shared" si="354"/>
        <v>YES</v>
      </c>
      <c r="C1593" s="93" t="s">
        <v>5503</v>
      </c>
      <c r="D1593" s="4">
        <v>41165</v>
      </c>
      <c r="E1593" s="11">
        <v>42278</v>
      </c>
      <c r="F1593" s="2">
        <f t="shared" si="353"/>
        <v>45931</v>
      </c>
      <c r="G1593" s="6">
        <v>304.48</v>
      </c>
      <c r="H1593" s="7" t="s">
        <v>2827</v>
      </c>
      <c r="I1593" s="7" t="s">
        <v>79</v>
      </c>
      <c r="J1593" s="109"/>
      <c r="K1593" s="266">
        <f t="shared" si="355"/>
        <v>2025</v>
      </c>
      <c r="L1593" s="391" t="s">
        <v>5834</v>
      </c>
      <c r="M1593" s="390" t="s">
        <v>5683</v>
      </c>
      <c r="N1593" s="32" t="s">
        <v>7788</v>
      </c>
      <c r="O1593" s="32" t="s">
        <v>5058</v>
      </c>
      <c r="P1593" s="278"/>
      <c r="Q1593" s="233" t="s">
        <v>5057</v>
      </c>
      <c r="R1593" s="75">
        <v>1217.5</v>
      </c>
      <c r="S1593" s="75">
        <v>7320</v>
      </c>
      <c r="T1593" s="75">
        <v>8537.5</v>
      </c>
      <c r="U1593" s="200">
        <v>457.5</v>
      </c>
      <c r="V1593" s="287">
        <f t="shared" ca="1" si="356"/>
        <v>5</v>
      </c>
      <c r="W1593" s="75">
        <f t="shared" ca="1" si="357"/>
        <v>2287.5</v>
      </c>
      <c r="X1593" s="200">
        <f t="shared" ca="1" si="358"/>
        <v>10367.5</v>
      </c>
      <c r="Y1593" s="1"/>
      <c r="Z1593" s="31">
        <v>0.1</v>
      </c>
      <c r="AA1593" s="223">
        <v>0.09</v>
      </c>
      <c r="AB1593" s="302" t="s">
        <v>7253</v>
      </c>
      <c r="AC1593" s="308">
        <v>43536</v>
      </c>
      <c r="AD1593" s="309">
        <v>0.25</v>
      </c>
      <c r="AE1593" s="302" t="s">
        <v>7512</v>
      </c>
      <c r="AF1593">
        <f t="shared" si="352"/>
        <v>0</v>
      </c>
    </row>
    <row r="1594" spans="1:32" hidden="1" x14ac:dyDescent="0.25">
      <c r="A1594" s="322" t="s">
        <v>4396</v>
      </c>
      <c r="B1594" s="93" t="str">
        <f t="shared" si="354"/>
        <v>YES</v>
      </c>
      <c r="C1594" s="93" t="s">
        <v>5503</v>
      </c>
      <c r="D1594" s="4">
        <v>41165</v>
      </c>
      <c r="E1594" s="11">
        <v>42278</v>
      </c>
      <c r="F1594" s="2">
        <f t="shared" si="353"/>
        <v>45931</v>
      </c>
      <c r="G1594" s="6">
        <v>55.3</v>
      </c>
      <c r="H1594" s="7" t="s">
        <v>2827</v>
      </c>
      <c r="I1594" s="7" t="s">
        <v>79</v>
      </c>
      <c r="J1594" s="109"/>
      <c r="K1594" s="266">
        <f t="shared" si="355"/>
        <v>2025</v>
      </c>
      <c r="L1594" s="391" t="s">
        <v>5834</v>
      </c>
      <c r="M1594" s="390" t="s">
        <v>5683</v>
      </c>
      <c r="N1594" s="32" t="s">
        <v>7788</v>
      </c>
      <c r="O1594" s="32" t="s">
        <v>5060</v>
      </c>
      <c r="P1594" s="278"/>
      <c r="Q1594" s="233" t="s">
        <v>5059</v>
      </c>
      <c r="R1594" s="75">
        <v>346</v>
      </c>
      <c r="S1594" s="75">
        <v>448</v>
      </c>
      <c r="T1594" s="75">
        <v>794</v>
      </c>
      <c r="U1594" s="200">
        <v>84</v>
      </c>
      <c r="V1594" s="287">
        <f t="shared" ca="1" si="356"/>
        <v>5</v>
      </c>
      <c r="W1594" s="75">
        <f t="shared" ca="1" si="357"/>
        <v>420</v>
      </c>
      <c r="X1594" s="200">
        <f t="shared" ca="1" si="358"/>
        <v>1130</v>
      </c>
      <c r="Y1594" s="1"/>
      <c r="Z1594" s="31">
        <v>0.1</v>
      </c>
      <c r="AA1594" s="223">
        <v>0.09</v>
      </c>
      <c r="AB1594" s="302" t="s">
        <v>7254</v>
      </c>
      <c r="AC1594" s="308">
        <v>43536</v>
      </c>
      <c r="AD1594" s="309">
        <v>0.25</v>
      </c>
      <c r="AE1594" s="302" t="s">
        <v>7512</v>
      </c>
      <c r="AF1594">
        <f t="shared" si="352"/>
        <v>0</v>
      </c>
    </row>
    <row r="1595" spans="1:32" ht="26.25" hidden="1" x14ac:dyDescent="0.25">
      <c r="A1595" s="322" t="s">
        <v>4397</v>
      </c>
      <c r="B1595" s="93" t="str">
        <f t="shared" si="354"/>
        <v>YES</v>
      </c>
      <c r="C1595" s="93" t="s">
        <v>5503</v>
      </c>
      <c r="D1595" s="4">
        <v>41165</v>
      </c>
      <c r="E1595" s="11">
        <v>42278</v>
      </c>
      <c r="F1595" s="2">
        <f t="shared" si="353"/>
        <v>45931</v>
      </c>
      <c r="G1595" s="6">
        <v>120.12</v>
      </c>
      <c r="H1595" s="7" t="s">
        <v>2827</v>
      </c>
      <c r="I1595" s="7" t="s">
        <v>79</v>
      </c>
      <c r="J1595" s="109"/>
      <c r="K1595" s="266">
        <f t="shared" si="355"/>
        <v>2025</v>
      </c>
      <c r="L1595" s="391" t="s">
        <v>5834</v>
      </c>
      <c r="M1595" s="390" t="s">
        <v>5683</v>
      </c>
      <c r="N1595" s="32" t="s">
        <v>7788</v>
      </c>
      <c r="O1595" s="32" t="s">
        <v>5062</v>
      </c>
      <c r="P1595" s="278" t="s">
        <v>5063</v>
      </c>
      <c r="Q1595" s="233" t="s">
        <v>5061</v>
      </c>
      <c r="R1595" s="75">
        <v>573.5</v>
      </c>
      <c r="S1595" s="75">
        <v>2420</v>
      </c>
      <c r="T1595" s="75">
        <v>2993.5</v>
      </c>
      <c r="U1595" s="200">
        <v>181.5</v>
      </c>
      <c r="V1595" s="287">
        <f t="shared" ca="1" si="356"/>
        <v>5</v>
      </c>
      <c r="W1595" s="75">
        <f t="shared" ca="1" si="357"/>
        <v>907.5</v>
      </c>
      <c r="X1595" s="200">
        <f t="shared" ca="1" si="358"/>
        <v>3719.5</v>
      </c>
      <c r="Y1595" s="1"/>
      <c r="Z1595" s="31">
        <v>0.1</v>
      </c>
      <c r="AA1595" s="223">
        <v>0.09</v>
      </c>
      <c r="AB1595" s="302" t="s">
        <v>7255</v>
      </c>
      <c r="AC1595" s="308">
        <v>43536</v>
      </c>
      <c r="AD1595" s="309">
        <v>0.25</v>
      </c>
      <c r="AE1595" s="302" t="s">
        <v>7512</v>
      </c>
      <c r="AF1595">
        <f t="shared" si="352"/>
        <v>0</v>
      </c>
    </row>
    <row r="1596" spans="1:32" hidden="1" x14ac:dyDescent="0.25">
      <c r="A1596" s="322" t="s">
        <v>4398</v>
      </c>
      <c r="B1596" s="93" t="str">
        <f t="shared" si="354"/>
        <v>YES</v>
      </c>
      <c r="C1596" s="93" t="s">
        <v>5503</v>
      </c>
      <c r="D1596" s="4">
        <v>41165</v>
      </c>
      <c r="E1596" s="11">
        <v>42278</v>
      </c>
      <c r="F1596" s="2">
        <f t="shared" si="353"/>
        <v>45931</v>
      </c>
      <c r="G1596" s="6">
        <v>642.16</v>
      </c>
      <c r="H1596" s="7" t="s">
        <v>2827</v>
      </c>
      <c r="I1596" s="7" t="s">
        <v>79</v>
      </c>
      <c r="J1596" s="109"/>
      <c r="K1596" s="266">
        <f t="shared" si="355"/>
        <v>2025</v>
      </c>
      <c r="L1596" s="391" t="s">
        <v>5834</v>
      </c>
      <c r="M1596" s="390" t="s">
        <v>5683</v>
      </c>
      <c r="N1596" s="32" t="s">
        <v>7788</v>
      </c>
      <c r="O1596" s="32" t="s">
        <v>5065</v>
      </c>
      <c r="P1596" s="278"/>
      <c r="Q1596" s="233" t="s">
        <v>5064</v>
      </c>
      <c r="R1596" s="75">
        <v>2400.5</v>
      </c>
      <c r="S1596" s="75">
        <v>12860</v>
      </c>
      <c r="T1596" s="75">
        <v>15260.5</v>
      </c>
      <c r="U1596" s="200">
        <v>964.5</v>
      </c>
      <c r="V1596" s="287">
        <f t="shared" ca="1" si="356"/>
        <v>5</v>
      </c>
      <c r="W1596" s="75">
        <f t="shared" ca="1" si="357"/>
        <v>4822.5</v>
      </c>
      <c r="X1596" s="200">
        <f t="shared" ca="1" si="358"/>
        <v>19118.5</v>
      </c>
      <c r="Y1596" s="1"/>
      <c r="Z1596" s="31">
        <v>0.1</v>
      </c>
      <c r="AA1596" s="223">
        <v>0.09</v>
      </c>
      <c r="AB1596" s="302" t="s">
        <v>7256</v>
      </c>
      <c r="AC1596" s="308">
        <v>43536</v>
      </c>
      <c r="AD1596" s="309">
        <v>0.25</v>
      </c>
      <c r="AE1596" s="302" t="s">
        <v>7512</v>
      </c>
      <c r="AF1596">
        <f t="shared" si="352"/>
        <v>0</v>
      </c>
    </row>
    <row r="1597" spans="1:32" hidden="1" x14ac:dyDescent="0.25">
      <c r="A1597" s="322" t="s">
        <v>4399</v>
      </c>
      <c r="B1597" s="93" t="str">
        <f t="shared" si="354"/>
        <v>YES</v>
      </c>
      <c r="C1597" s="93" t="s">
        <v>5503</v>
      </c>
      <c r="D1597" s="4">
        <v>41165</v>
      </c>
      <c r="E1597" s="11">
        <v>42278</v>
      </c>
      <c r="F1597" s="2">
        <f t="shared" si="353"/>
        <v>45931</v>
      </c>
      <c r="G1597" s="6">
        <v>358.76</v>
      </c>
      <c r="H1597" s="7" t="s">
        <v>2827</v>
      </c>
      <c r="I1597" s="7" t="s">
        <v>79</v>
      </c>
      <c r="J1597" s="109"/>
      <c r="K1597" s="266">
        <f t="shared" si="355"/>
        <v>2025</v>
      </c>
      <c r="L1597" s="391" t="s">
        <v>5834</v>
      </c>
      <c r="M1597" s="390" t="s">
        <v>5683</v>
      </c>
      <c r="N1597" s="32" t="s">
        <v>7788</v>
      </c>
      <c r="O1597" s="32" t="s">
        <v>5067</v>
      </c>
      <c r="P1597" s="278"/>
      <c r="Q1597" s="233" t="s">
        <v>5066</v>
      </c>
      <c r="R1597" s="75">
        <v>1406.5</v>
      </c>
      <c r="S1597" s="75">
        <v>7180</v>
      </c>
      <c r="T1597" s="75">
        <v>8586.5</v>
      </c>
      <c r="U1597" s="200">
        <v>538.5</v>
      </c>
      <c r="V1597" s="287">
        <f t="shared" ca="1" si="356"/>
        <v>5</v>
      </c>
      <c r="W1597" s="75">
        <f t="shared" ca="1" si="357"/>
        <v>2692.5</v>
      </c>
      <c r="X1597" s="200">
        <f t="shared" ca="1" si="358"/>
        <v>10740.5</v>
      </c>
      <c r="Y1597" s="1"/>
      <c r="Z1597" s="31">
        <v>0.1</v>
      </c>
      <c r="AA1597" s="223">
        <v>0.09</v>
      </c>
      <c r="AB1597" s="302" t="s">
        <v>7257</v>
      </c>
      <c r="AC1597" s="308">
        <v>43536</v>
      </c>
      <c r="AD1597" s="309">
        <v>0.25</v>
      </c>
      <c r="AE1597" s="302" t="s">
        <v>7512</v>
      </c>
      <c r="AF1597">
        <f t="shared" si="352"/>
        <v>0</v>
      </c>
    </row>
    <row r="1598" spans="1:32" hidden="1" x14ac:dyDescent="0.25">
      <c r="A1598" s="322" t="s">
        <v>4400</v>
      </c>
      <c r="B1598" s="93" t="str">
        <f t="shared" si="354"/>
        <v>YES</v>
      </c>
      <c r="C1598" s="93" t="s">
        <v>5503</v>
      </c>
      <c r="D1598" s="4">
        <v>41165</v>
      </c>
      <c r="E1598" s="11">
        <v>42278</v>
      </c>
      <c r="F1598" s="2">
        <f t="shared" si="353"/>
        <v>45931</v>
      </c>
      <c r="G1598" s="6">
        <v>480.21</v>
      </c>
      <c r="H1598" s="7" t="s">
        <v>2827</v>
      </c>
      <c r="I1598" s="7" t="s">
        <v>79</v>
      </c>
      <c r="J1598" s="109"/>
      <c r="K1598" s="266">
        <f t="shared" si="355"/>
        <v>2025</v>
      </c>
      <c r="L1598" s="391" t="s">
        <v>5834</v>
      </c>
      <c r="M1598" s="390" t="s">
        <v>5683</v>
      </c>
      <c r="N1598" s="32" t="s">
        <v>7788</v>
      </c>
      <c r="O1598" s="32" t="s">
        <v>5069</v>
      </c>
      <c r="P1598" s="278"/>
      <c r="Q1598" s="233" t="s">
        <v>5068</v>
      </c>
      <c r="R1598" s="75">
        <v>1833.5</v>
      </c>
      <c r="S1598" s="75">
        <v>11544</v>
      </c>
      <c r="T1598" s="75">
        <v>13377.5</v>
      </c>
      <c r="U1598" s="200">
        <v>721.5</v>
      </c>
      <c r="V1598" s="287">
        <f t="shared" ca="1" si="356"/>
        <v>5</v>
      </c>
      <c r="W1598" s="75">
        <f t="shared" ca="1" si="357"/>
        <v>3607.5</v>
      </c>
      <c r="X1598" s="200">
        <f t="shared" ca="1" si="358"/>
        <v>16263.5</v>
      </c>
      <c r="Y1598" s="1"/>
      <c r="Z1598" s="31">
        <v>0.1</v>
      </c>
      <c r="AA1598" s="223">
        <v>0.09</v>
      </c>
      <c r="AB1598" s="302" t="s">
        <v>7258</v>
      </c>
      <c r="AC1598" s="308">
        <v>43536</v>
      </c>
      <c r="AD1598" s="309">
        <v>0.25</v>
      </c>
      <c r="AE1598" s="302" t="s">
        <v>7512</v>
      </c>
      <c r="AF1598">
        <f t="shared" si="352"/>
        <v>0</v>
      </c>
    </row>
    <row r="1599" spans="1:32" ht="26.25" hidden="1" x14ac:dyDescent="0.25">
      <c r="A1599" s="322" t="s">
        <v>4401</v>
      </c>
      <c r="B1599" s="93" t="str">
        <f t="shared" si="354"/>
        <v>YES</v>
      </c>
      <c r="C1599" s="93" t="s">
        <v>5503</v>
      </c>
      <c r="D1599" s="4">
        <v>41165</v>
      </c>
      <c r="E1599" s="11">
        <v>42278</v>
      </c>
      <c r="F1599" s="2">
        <f t="shared" si="353"/>
        <v>45931</v>
      </c>
      <c r="G1599" s="6">
        <v>685.78</v>
      </c>
      <c r="H1599" s="7" t="s">
        <v>2827</v>
      </c>
      <c r="I1599" s="7" t="s">
        <v>79</v>
      </c>
      <c r="J1599" s="109"/>
      <c r="K1599" s="266">
        <f t="shared" si="355"/>
        <v>2025</v>
      </c>
      <c r="L1599" s="391" t="s">
        <v>5834</v>
      </c>
      <c r="M1599" s="390" t="s">
        <v>5683</v>
      </c>
      <c r="N1599" s="32" t="s">
        <v>7788</v>
      </c>
      <c r="O1599" s="32" t="s">
        <v>5071</v>
      </c>
      <c r="P1599" s="278" t="s">
        <v>5072</v>
      </c>
      <c r="Q1599" s="233" t="s">
        <v>5070</v>
      </c>
      <c r="R1599" s="75">
        <v>2551</v>
      </c>
      <c r="S1599" s="75">
        <v>15092</v>
      </c>
      <c r="T1599" s="75">
        <v>17643</v>
      </c>
      <c r="U1599" s="200">
        <v>1029</v>
      </c>
      <c r="V1599" s="287">
        <f t="shared" ca="1" si="356"/>
        <v>5</v>
      </c>
      <c r="W1599" s="75">
        <f t="shared" ca="1" si="357"/>
        <v>5145</v>
      </c>
      <c r="X1599" s="200">
        <f t="shared" ca="1" si="358"/>
        <v>21759</v>
      </c>
      <c r="Y1599" s="1"/>
      <c r="Z1599" s="31">
        <v>0.1</v>
      </c>
      <c r="AA1599" s="223">
        <v>0.09</v>
      </c>
      <c r="AB1599" s="302" t="s">
        <v>7259</v>
      </c>
      <c r="AC1599" s="308">
        <v>43536</v>
      </c>
      <c r="AD1599" s="309">
        <v>0.25</v>
      </c>
      <c r="AE1599" s="302" t="s">
        <v>7512</v>
      </c>
      <c r="AF1599">
        <f t="shared" si="352"/>
        <v>0</v>
      </c>
    </row>
    <row r="1600" spans="1:32" hidden="1" x14ac:dyDescent="0.25">
      <c r="A1600" s="322" t="s">
        <v>4402</v>
      </c>
      <c r="B1600" s="93" t="str">
        <f t="shared" si="354"/>
        <v>YES</v>
      </c>
      <c r="C1600" s="93" t="s">
        <v>5503</v>
      </c>
      <c r="D1600" s="4">
        <v>41165</v>
      </c>
      <c r="E1600" s="11">
        <v>42278</v>
      </c>
      <c r="F1600" s="2">
        <f t="shared" si="353"/>
        <v>45931</v>
      </c>
      <c r="G1600" s="6">
        <v>632.55999999999995</v>
      </c>
      <c r="H1600" s="7" t="s">
        <v>2827</v>
      </c>
      <c r="I1600" s="7" t="s">
        <v>79</v>
      </c>
      <c r="J1600" s="109"/>
      <c r="K1600" s="266">
        <f t="shared" si="355"/>
        <v>2025</v>
      </c>
      <c r="L1600" s="391" t="s">
        <v>5834</v>
      </c>
      <c r="M1600" s="390" t="s">
        <v>5683</v>
      </c>
      <c r="N1600" s="32" t="s">
        <v>7788</v>
      </c>
      <c r="O1600" s="32" t="s">
        <v>5074</v>
      </c>
      <c r="P1600" s="278"/>
      <c r="Q1600" s="233" t="s">
        <v>5073</v>
      </c>
      <c r="R1600" s="75">
        <v>2365.5</v>
      </c>
      <c r="S1600" s="75">
        <v>13293</v>
      </c>
      <c r="T1600" s="75">
        <v>15658.5</v>
      </c>
      <c r="U1600" s="200">
        <v>949.5</v>
      </c>
      <c r="V1600" s="287">
        <f t="shared" ca="1" si="356"/>
        <v>5</v>
      </c>
      <c r="W1600" s="75">
        <f t="shared" ca="1" si="357"/>
        <v>4747.5</v>
      </c>
      <c r="X1600" s="200">
        <f t="shared" ca="1" si="358"/>
        <v>19456.5</v>
      </c>
      <c r="Y1600" s="1"/>
      <c r="Z1600" s="31">
        <v>0.1</v>
      </c>
      <c r="AA1600" s="223">
        <v>0.09</v>
      </c>
      <c r="AB1600" s="302" t="s">
        <v>7260</v>
      </c>
      <c r="AC1600" s="308">
        <v>43536</v>
      </c>
      <c r="AD1600" s="309">
        <v>0.25</v>
      </c>
      <c r="AE1600" s="302" t="s">
        <v>7512</v>
      </c>
      <c r="AF1600">
        <f t="shared" si="352"/>
        <v>0</v>
      </c>
    </row>
    <row r="1601" spans="1:32" hidden="1" x14ac:dyDescent="0.25">
      <c r="A1601" s="322" t="s">
        <v>4403</v>
      </c>
      <c r="B1601" s="93" t="str">
        <f t="shared" si="354"/>
        <v>YES</v>
      </c>
      <c r="C1601" s="93" t="s">
        <v>5503</v>
      </c>
      <c r="D1601" s="4">
        <v>41165</v>
      </c>
      <c r="E1601" s="11">
        <v>42278</v>
      </c>
      <c r="F1601" s="2">
        <f t="shared" si="353"/>
        <v>45931</v>
      </c>
      <c r="G1601" s="6">
        <v>641.36</v>
      </c>
      <c r="H1601" s="7" t="s">
        <v>2827</v>
      </c>
      <c r="I1601" s="7" t="s">
        <v>79</v>
      </c>
      <c r="J1601" s="109"/>
      <c r="K1601" s="266">
        <f t="shared" si="355"/>
        <v>2025</v>
      </c>
      <c r="L1601" s="391" t="s">
        <v>5834</v>
      </c>
      <c r="M1601" s="390" t="s">
        <v>5683</v>
      </c>
      <c r="N1601" s="32" t="s">
        <v>7788</v>
      </c>
      <c r="O1601" s="32" t="s">
        <v>5076</v>
      </c>
      <c r="P1601" s="278"/>
      <c r="Q1601" s="233" t="s">
        <v>5075</v>
      </c>
      <c r="R1601" s="75">
        <v>2397</v>
      </c>
      <c r="S1601" s="75">
        <v>15408</v>
      </c>
      <c r="T1601" s="75">
        <v>17805</v>
      </c>
      <c r="U1601" s="200">
        <v>963</v>
      </c>
      <c r="V1601" s="287">
        <f t="shared" ca="1" si="356"/>
        <v>5</v>
      </c>
      <c r="W1601" s="75">
        <f t="shared" ca="1" si="357"/>
        <v>4815</v>
      </c>
      <c r="X1601" s="200">
        <f t="shared" ca="1" si="358"/>
        <v>21657</v>
      </c>
      <c r="Y1601" s="1"/>
      <c r="Z1601" s="31">
        <v>0.1</v>
      </c>
      <c r="AA1601" s="223">
        <v>0.09</v>
      </c>
      <c r="AB1601" s="302" t="s">
        <v>7261</v>
      </c>
      <c r="AC1601" s="308">
        <v>43536</v>
      </c>
      <c r="AD1601" s="309">
        <v>0.25</v>
      </c>
      <c r="AE1601" s="302" t="s">
        <v>7512</v>
      </c>
      <c r="AF1601">
        <f t="shared" si="352"/>
        <v>0</v>
      </c>
    </row>
    <row r="1602" spans="1:32" hidden="1" x14ac:dyDescent="0.25">
      <c r="A1602" s="322" t="s">
        <v>4404</v>
      </c>
      <c r="B1602" s="93" t="str">
        <f t="shared" si="354"/>
        <v>YES</v>
      </c>
      <c r="C1602" s="93" t="s">
        <v>5503</v>
      </c>
      <c r="D1602" s="4">
        <v>41165</v>
      </c>
      <c r="E1602" s="11">
        <v>42278</v>
      </c>
      <c r="F1602" s="2">
        <f t="shared" si="353"/>
        <v>45931</v>
      </c>
      <c r="G1602" s="6">
        <v>521.5</v>
      </c>
      <c r="H1602" s="7" t="s">
        <v>2827</v>
      </c>
      <c r="I1602" s="7" t="s">
        <v>79</v>
      </c>
      <c r="J1602" s="109"/>
      <c r="K1602" s="266">
        <f t="shared" si="355"/>
        <v>2025</v>
      </c>
      <c r="L1602" s="391" t="s">
        <v>5834</v>
      </c>
      <c r="M1602" s="390" t="s">
        <v>5683</v>
      </c>
      <c r="N1602" s="32" t="s">
        <v>7788</v>
      </c>
      <c r="O1602" s="32" t="s">
        <v>5078</v>
      </c>
      <c r="P1602" s="278"/>
      <c r="Q1602" s="233" t="s">
        <v>5077</v>
      </c>
      <c r="R1602" s="75">
        <v>1977</v>
      </c>
      <c r="S1602" s="75">
        <v>12528</v>
      </c>
      <c r="T1602" s="75">
        <v>14505</v>
      </c>
      <c r="U1602" s="200">
        <v>783</v>
      </c>
      <c r="V1602" s="287">
        <f t="shared" ca="1" si="356"/>
        <v>5</v>
      </c>
      <c r="W1602" s="75">
        <f t="shared" ca="1" si="357"/>
        <v>3915</v>
      </c>
      <c r="X1602" s="200">
        <f t="shared" ca="1" si="358"/>
        <v>17637</v>
      </c>
      <c r="Y1602" s="1"/>
      <c r="Z1602" s="31">
        <v>0.1</v>
      </c>
      <c r="AA1602" s="223">
        <v>0.09</v>
      </c>
      <c r="AB1602" s="302" t="s">
        <v>7262</v>
      </c>
      <c r="AC1602" s="308">
        <v>43536</v>
      </c>
      <c r="AD1602" s="309">
        <v>0.25</v>
      </c>
      <c r="AE1602" s="302" t="s">
        <v>7512</v>
      </c>
      <c r="AF1602">
        <f t="shared" si="352"/>
        <v>0</v>
      </c>
    </row>
    <row r="1603" spans="1:32" hidden="1" x14ac:dyDescent="0.25">
      <c r="A1603" s="322" t="s">
        <v>4405</v>
      </c>
      <c r="B1603" s="93" t="str">
        <f t="shared" si="354"/>
        <v>YES</v>
      </c>
      <c r="C1603" s="93" t="s">
        <v>5503</v>
      </c>
      <c r="D1603" s="4">
        <v>41165</v>
      </c>
      <c r="E1603" s="11">
        <v>42278</v>
      </c>
      <c r="F1603" s="2">
        <f t="shared" si="353"/>
        <v>45931</v>
      </c>
      <c r="G1603" s="6">
        <v>369.4</v>
      </c>
      <c r="H1603" s="7" t="s">
        <v>2827</v>
      </c>
      <c r="I1603" s="7" t="s">
        <v>79</v>
      </c>
      <c r="J1603" s="109"/>
      <c r="K1603" s="266">
        <f t="shared" si="355"/>
        <v>2025</v>
      </c>
      <c r="L1603" s="391" t="s">
        <v>5834</v>
      </c>
      <c r="M1603" s="390" t="s">
        <v>5683</v>
      </c>
      <c r="N1603" s="32" t="s">
        <v>7788</v>
      </c>
      <c r="O1603" s="32" t="s">
        <v>5080</v>
      </c>
      <c r="P1603" s="278"/>
      <c r="Q1603" s="233" t="s">
        <v>5079</v>
      </c>
      <c r="R1603" s="75">
        <v>1445</v>
      </c>
      <c r="S1603" s="75">
        <v>8510</v>
      </c>
      <c r="T1603" s="75">
        <v>9955</v>
      </c>
      <c r="U1603" s="200">
        <v>555</v>
      </c>
      <c r="V1603" s="287">
        <f t="shared" ca="1" si="356"/>
        <v>5</v>
      </c>
      <c r="W1603" s="75">
        <f t="shared" ca="1" si="357"/>
        <v>2775</v>
      </c>
      <c r="X1603" s="200">
        <f t="shared" ca="1" si="358"/>
        <v>12175</v>
      </c>
      <c r="Y1603" s="1"/>
      <c r="Z1603" s="31">
        <v>0.1</v>
      </c>
      <c r="AA1603" s="223">
        <v>0.09</v>
      </c>
      <c r="AB1603" s="302" t="s">
        <v>7263</v>
      </c>
      <c r="AC1603" s="308">
        <v>43536</v>
      </c>
      <c r="AD1603" s="309">
        <v>0.25</v>
      </c>
      <c r="AE1603" s="302" t="s">
        <v>7512</v>
      </c>
      <c r="AF1603">
        <f t="shared" si="352"/>
        <v>0</v>
      </c>
    </row>
    <row r="1604" spans="1:32" hidden="1" x14ac:dyDescent="0.25">
      <c r="A1604" s="322" t="s">
        <v>4406</v>
      </c>
      <c r="B1604" s="93" t="str">
        <f t="shared" si="354"/>
        <v>YES</v>
      </c>
      <c r="C1604" s="93" t="s">
        <v>5503</v>
      </c>
      <c r="D1604" s="4">
        <v>41165</v>
      </c>
      <c r="E1604" s="11">
        <v>42278</v>
      </c>
      <c r="F1604" s="2">
        <f t="shared" si="353"/>
        <v>45931</v>
      </c>
      <c r="G1604" s="6">
        <v>399.77</v>
      </c>
      <c r="H1604" s="14" t="s">
        <v>2827</v>
      </c>
      <c r="I1604" s="7" t="s">
        <v>79</v>
      </c>
      <c r="J1604" s="109"/>
      <c r="K1604" s="266">
        <f t="shared" si="355"/>
        <v>2025</v>
      </c>
      <c r="L1604" s="391" t="s">
        <v>5834</v>
      </c>
      <c r="M1604" s="390" t="s">
        <v>5683</v>
      </c>
      <c r="N1604" s="32" t="s">
        <v>7788</v>
      </c>
      <c r="O1604" s="32" t="s">
        <v>5082</v>
      </c>
      <c r="P1604" s="278"/>
      <c r="Q1604" s="233" t="s">
        <v>5081</v>
      </c>
      <c r="R1604" s="75">
        <v>1550</v>
      </c>
      <c r="S1604" s="75">
        <v>9200</v>
      </c>
      <c r="T1604" s="75">
        <v>10750</v>
      </c>
      <c r="U1604" s="200">
        <v>600</v>
      </c>
      <c r="V1604" s="287">
        <f t="shared" ca="1" si="356"/>
        <v>5</v>
      </c>
      <c r="W1604" s="75">
        <f t="shared" ca="1" si="357"/>
        <v>3000</v>
      </c>
      <c r="X1604" s="200">
        <f t="shared" ca="1" si="358"/>
        <v>13150</v>
      </c>
      <c r="Y1604" s="1"/>
      <c r="Z1604" s="31">
        <v>0.1</v>
      </c>
      <c r="AA1604" s="223">
        <v>0.09</v>
      </c>
      <c r="AB1604" s="302" t="s">
        <v>7264</v>
      </c>
      <c r="AC1604" s="308">
        <v>43536</v>
      </c>
      <c r="AD1604" s="309">
        <v>0.25</v>
      </c>
      <c r="AE1604" s="302" t="s">
        <v>7512</v>
      </c>
      <c r="AF1604">
        <f t="shared" si="352"/>
        <v>0</v>
      </c>
    </row>
    <row r="1605" spans="1:32" hidden="1" x14ac:dyDescent="0.25">
      <c r="A1605" s="322" t="s">
        <v>4407</v>
      </c>
      <c r="B1605" s="93" t="str">
        <f t="shared" si="354"/>
        <v>YES</v>
      </c>
      <c r="C1605" s="93" t="s">
        <v>5503</v>
      </c>
      <c r="D1605" s="4">
        <v>41165</v>
      </c>
      <c r="E1605" s="11">
        <v>42278</v>
      </c>
      <c r="F1605" s="2">
        <f t="shared" si="353"/>
        <v>45931</v>
      </c>
      <c r="G1605" s="6">
        <v>641</v>
      </c>
      <c r="H1605" s="7" t="s">
        <v>2827</v>
      </c>
      <c r="I1605" s="4" t="s">
        <v>79</v>
      </c>
      <c r="J1605" s="109"/>
      <c r="K1605" s="266">
        <f t="shared" si="355"/>
        <v>2025</v>
      </c>
      <c r="L1605" s="391" t="s">
        <v>5834</v>
      </c>
      <c r="M1605" s="390" t="s">
        <v>5683</v>
      </c>
      <c r="N1605" s="32" t="s">
        <v>7788</v>
      </c>
      <c r="O1605" s="32" t="s">
        <v>5084</v>
      </c>
      <c r="P1605" s="278"/>
      <c r="Q1605" s="233" t="s">
        <v>5083</v>
      </c>
      <c r="R1605" s="75">
        <v>2393.5</v>
      </c>
      <c r="S1605" s="75">
        <v>14743</v>
      </c>
      <c r="T1605" s="75">
        <v>17136.5</v>
      </c>
      <c r="U1605" s="200">
        <v>961.5</v>
      </c>
      <c r="V1605" s="287">
        <f t="shared" ca="1" si="356"/>
        <v>5</v>
      </c>
      <c r="W1605" s="75">
        <f t="shared" ca="1" si="357"/>
        <v>4807.5</v>
      </c>
      <c r="X1605" s="200">
        <f t="shared" ca="1" si="358"/>
        <v>20982.5</v>
      </c>
      <c r="Y1605" s="1"/>
      <c r="Z1605" s="31">
        <v>0.1</v>
      </c>
      <c r="AA1605" s="223">
        <v>0.09</v>
      </c>
      <c r="AB1605" s="302" t="s">
        <v>7265</v>
      </c>
      <c r="AC1605" s="308">
        <v>43536</v>
      </c>
      <c r="AD1605" s="309">
        <v>0.25</v>
      </c>
      <c r="AE1605" s="302" t="s">
        <v>7512</v>
      </c>
      <c r="AF1605">
        <f t="shared" si="352"/>
        <v>0</v>
      </c>
    </row>
    <row r="1606" spans="1:32" ht="26.25" hidden="1" x14ac:dyDescent="0.25">
      <c r="A1606" s="322" t="s">
        <v>4408</v>
      </c>
      <c r="B1606" s="93" t="str">
        <f t="shared" si="354"/>
        <v>YES</v>
      </c>
      <c r="C1606" s="93" t="s">
        <v>5503</v>
      </c>
      <c r="D1606" s="4">
        <v>41165</v>
      </c>
      <c r="E1606" s="11">
        <v>42278</v>
      </c>
      <c r="F1606" s="2">
        <f t="shared" si="353"/>
        <v>45931</v>
      </c>
      <c r="G1606" s="6">
        <v>530.13</v>
      </c>
      <c r="H1606" s="7" t="s">
        <v>2827</v>
      </c>
      <c r="I1606" s="7" t="s">
        <v>79</v>
      </c>
      <c r="J1606" s="109"/>
      <c r="K1606" s="266">
        <f t="shared" si="355"/>
        <v>2025</v>
      </c>
      <c r="L1606" s="391" t="s">
        <v>5834</v>
      </c>
      <c r="M1606" s="390" t="s">
        <v>5683</v>
      </c>
      <c r="N1606" s="32" t="s">
        <v>7788</v>
      </c>
      <c r="O1606" s="32" t="s">
        <v>5086</v>
      </c>
      <c r="P1606" s="278"/>
      <c r="Q1606" s="233" t="s">
        <v>5085</v>
      </c>
      <c r="R1606" s="75">
        <v>2008.5</v>
      </c>
      <c r="S1606" s="75">
        <v>12213</v>
      </c>
      <c r="T1606" s="75">
        <v>14221.5</v>
      </c>
      <c r="U1606" s="200">
        <v>810</v>
      </c>
      <c r="V1606" s="287">
        <f t="shared" ca="1" si="356"/>
        <v>5</v>
      </c>
      <c r="W1606" s="75">
        <f t="shared" ca="1" si="357"/>
        <v>3982.5</v>
      </c>
      <c r="X1606" s="200">
        <f t="shared" ca="1" si="358"/>
        <v>17407.5</v>
      </c>
      <c r="Y1606" s="1"/>
      <c r="Z1606" s="31">
        <v>0.1</v>
      </c>
      <c r="AA1606" s="223">
        <v>0.09</v>
      </c>
      <c r="AB1606" s="302" t="s">
        <v>7266</v>
      </c>
      <c r="AC1606" s="308">
        <v>43536</v>
      </c>
      <c r="AD1606" s="309">
        <v>0.25</v>
      </c>
      <c r="AE1606" s="302" t="s">
        <v>7512</v>
      </c>
      <c r="AF1606">
        <f t="shared" si="352"/>
        <v>0</v>
      </c>
    </row>
    <row r="1607" spans="1:32" hidden="1" x14ac:dyDescent="0.25">
      <c r="A1607" s="322" t="s">
        <v>4409</v>
      </c>
      <c r="B1607" s="93" t="str">
        <f t="shared" si="354"/>
        <v>YES</v>
      </c>
      <c r="C1607" s="93" t="s">
        <v>5503</v>
      </c>
      <c r="D1607" s="4">
        <v>41165</v>
      </c>
      <c r="E1607" s="11">
        <v>42278</v>
      </c>
      <c r="F1607" s="2">
        <f t="shared" si="353"/>
        <v>45931</v>
      </c>
      <c r="G1607" s="6">
        <v>159</v>
      </c>
      <c r="H1607" s="7" t="s">
        <v>2827</v>
      </c>
      <c r="I1607" s="7" t="s">
        <v>79</v>
      </c>
      <c r="J1607" s="109"/>
      <c r="K1607" s="266">
        <f t="shared" si="355"/>
        <v>2025</v>
      </c>
      <c r="L1607" s="391" t="s">
        <v>5834</v>
      </c>
      <c r="M1607" s="390" t="s">
        <v>5683</v>
      </c>
      <c r="N1607" s="32" t="s">
        <v>7788</v>
      </c>
      <c r="O1607" s="32" t="s">
        <v>5088</v>
      </c>
      <c r="P1607" s="278"/>
      <c r="Q1607" s="233" t="s">
        <v>5087</v>
      </c>
      <c r="R1607" s="75">
        <v>706.5</v>
      </c>
      <c r="S1607" s="75">
        <v>5565</v>
      </c>
      <c r="T1607" s="75">
        <v>6271.5</v>
      </c>
      <c r="U1607" s="200">
        <v>238.5</v>
      </c>
      <c r="V1607" s="287">
        <f t="shared" ca="1" si="356"/>
        <v>5</v>
      </c>
      <c r="W1607" s="75">
        <f t="shared" ca="1" si="357"/>
        <v>1192.5</v>
      </c>
      <c r="X1607" s="200">
        <f t="shared" ca="1" si="358"/>
        <v>7225.5</v>
      </c>
      <c r="Y1607" s="1"/>
      <c r="Z1607" s="31">
        <v>0.1</v>
      </c>
      <c r="AA1607" s="223">
        <v>0.09</v>
      </c>
      <c r="AB1607" s="302" t="s">
        <v>7267</v>
      </c>
      <c r="AC1607" s="308">
        <v>43536</v>
      </c>
      <c r="AD1607" s="309">
        <v>0.25</v>
      </c>
      <c r="AE1607" s="302" t="s">
        <v>7512</v>
      </c>
      <c r="AF1607">
        <f t="shared" si="352"/>
        <v>0</v>
      </c>
    </row>
    <row r="1608" spans="1:32" ht="26.25" hidden="1" x14ac:dyDescent="0.25">
      <c r="A1608" s="322" t="s">
        <v>4410</v>
      </c>
      <c r="B1608" s="93" t="str">
        <f t="shared" ref="B1608:B1639" si="359">IF(COUNTIF(GIS,A1608),"YES","NO")</f>
        <v>YES</v>
      </c>
      <c r="C1608" s="93" t="s">
        <v>5503</v>
      </c>
      <c r="D1608" s="4">
        <v>41165</v>
      </c>
      <c r="E1608" s="11">
        <v>42278</v>
      </c>
      <c r="F1608" s="2">
        <f t="shared" si="353"/>
        <v>45931</v>
      </c>
      <c r="G1608" s="6">
        <v>539.16</v>
      </c>
      <c r="H1608" s="7" t="s">
        <v>2827</v>
      </c>
      <c r="I1608" s="7" t="s">
        <v>79</v>
      </c>
      <c r="J1608" s="109"/>
      <c r="K1608" s="266">
        <f t="shared" ref="K1608:K1640" si="360">YEAR(F1608)</f>
        <v>2025</v>
      </c>
      <c r="L1608" s="391" t="s">
        <v>5863</v>
      </c>
      <c r="M1608" s="390" t="s">
        <v>7574</v>
      </c>
      <c r="N1608" s="32" t="s">
        <v>7788</v>
      </c>
      <c r="O1608" s="32" t="s">
        <v>5090</v>
      </c>
      <c r="P1608" s="278" t="s">
        <v>5091</v>
      </c>
      <c r="Q1608" s="233" t="s">
        <v>5089</v>
      </c>
      <c r="R1608" s="75">
        <v>2040</v>
      </c>
      <c r="S1608" s="75">
        <v>4320</v>
      </c>
      <c r="T1608" s="75">
        <v>6360</v>
      </c>
      <c r="U1608" s="200">
        <v>810</v>
      </c>
      <c r="V1608" s="287">
        <f t="shared" ref="V1608:V1640" ca="1" si="361">IF(YEAR($W$3)-YEAR(E1608)&gt;9,10,IF(MONTH($W$3)&lt;MONTH(E1608),YEAR($W$3)-YEAR(E1608),YEAR($W$3)-YEAR(E1608)+1))</f>
        <v>5</v>
      </c>
      <c r="W1608" s="75">
        <f t="shared" ref="W1608:W1639" ca="1" si="362">IF(V1608&lt;6, ROUNDUP(G1608,0)*$W$6*V1608, ROUNDUP(G1608,0)*($W$6*5 + (V1608-5)*$W$7))</f>
        <v>4050</v>
      </c>
      <c r="X1608" s="200">
        <f t="shared" ca="1" si="358"/>
        <v>9600</v>
      </c>
      <c r="Y1608" s="1"/>
      <c r="Z1608" s="31">
        <v>0.1</v>
      </c>
      <c r="AA1608" s="223">
        <v>0.09</v>
      </c>
      <c r="AB1608" s="302" t="s">
        <v>7268</v>
      </c>
      <c r="AC1608" s="308">
        <v>43536</v>
      </c>
      <c r="AD1608" s="309">
        <v>0.25</v>
      </c>
      <c r="AE1608" s="302" t="s">
        <v>7512</v>
      </c>
      <c r="AF1608">
        <f t="shared" si="352"/>
        <v>0</v>
      </c>
    </row>
    <row r="1609" spans="1:32" hidden="1" x14ac:dyDescent="0.25">
      <c r="A1609" s="322" t="s">
        <v>4411</v>
      </c>
      <c r="B1609" s="93" t="str">
        <f t="shared" si="359"/>
        <v>YES</v>
      </c>
      <c r="C1609" s="93" t="s">
        <v>5503</v>
      </c>
      <c r="D1609" s="4">
        <v>41165</v>
      </c>
      <c r="E1609" s="11">
        <v>42278</v>
      </c>
      <c r="F1609" s="2">
        <f t="shared" si="353"/>
        <v>45931</v>
      </c>
      <c r="G1609" s="6">
        <v>263.41000000000003</v>
      </c>
      <c r="H1609" s="7" t="s">
        <v>2827</v>
      </c>
      <c r="I1609" s="7" t="s">
        <v>79</v>
      </c>
      <c r="J1609" s="109"/>
      <c r="K1609" s="266">
        <f t="shared" si="360"/>
        <v>2025</v>
      </c>
      <c r="L1609" s="391" t="s">
        <v>5863</v>
      </c>
      <c r="M1609" s="390" t="s">
        <v>7574</v>
      </c>
      <c r="N1609" s="32" t="s">
        <v>7788</v>
      </c>
      <c r="O1609" s="32" t="s">
        <v>5093</v>
      </c>
      <c r="P1609" s="278"/>
      <c r="Q1609" s="233" t="s">
        <v>5092</v>
      </c>
      <c r="R1609" s="75">
        <v>1074</v>
      </c>
      <c r="S1609" s="75">
        <v>2112</v>
      </c>
      <c r="T1609" s="75">
        <v>3186</v>
      </c>
      <c r="U1609" s="200">
        <v>396</v>
      </c>
      <c r="V1609" s="287">
        <f t="shared" ca="1" si="361"/>
        <v>5</v>
      </c>
      <c r="W1609" s="75">
        <f t="shared" ca="1" si="362"/>
        <v>1980</v>
      </c>
      <c r="X1609" s="200">
        <f t="shared" ca="1" si="358"/>
        <v>4770</v>
      </c>
      <c r="Y1609" s="1"/>
      <c r="Z1609" s="31">
        <v>0.1</v>
      </c>
      <c r="AA1609" s="223">
        <v>0.09</v>
      </c>
      <c r="AB1609" s="302" t="s">
        <v>7269</v>
      </c>
      <c r="AC1609" s="308">
        <v>43536</v>
      </c>
      <c r="AD1609" s="309">
        <v>0.25</v>
      </c>
      <c r="AE1609" s="302" t="s">
        <v>7512</v>
      </c>
      <c r="AF1609">
        <f t="shared" si="352"/>
        <v>0</v>
      </c>
    </row>
    <row r="1610" spans="1:32" ht="26.25" hidden="1" x14ac:dyDescent="0.25">
      <c r="A1610" s="322" t="s">
        <v>4412</v>
      </c>
      <c r="B1610" s="93" t="str">
        <f t="shared" si="359"/>
        <v>YES</v>
      </c>
      <c r="C1610" s="93" t="s">
        <v>5503</v>
      </c>
      <c r="D1610" s="4">
        <v>41165</v>
      </c>
      <c r="E1610" s="11">
        <v>42278</v>
      </c>
      <c r="F1610" s="2">
        <f t="shared" si="353"/>
        <v>45931</v>
      </c>
      <c r="G1610" s="6">
        <v>409.54</v>
      </c>
      <c r="H1610" s="7" t="s">
        <v>2827</v>
      </c>
      <c r="I1610" s="7" t="s">
        <v>79</v>
      </c>
      <c r="J1610" s="109"/>
      <c r="K1610" s="266">
        <f t="shared" si="360"/>
        <v>2025</v>
      </c>
      <c r="L1610" s="391" t="s">
        <v>5863</v>
      </c>
      <c r="M1610" s="390" t="s">
        <v>7574</v>
      </c>
      <c r="N1610" s="32" t="s">
        <v>7788</v>
      </c>
      <c r="O1610" s="32" t="s">
        <v>5095</v>
      </c>
      <c r="P1610" s="278" t="s">
        <v>5096</v>
      </c>
      <c r="Q1610" s="233" t="s">
        <v>5094</v>
      </c>
      <c r="R1610" s="75">
        <v>1585</v>
      </c>
      <c r="S1610" s="75">
        <v>0</v>
      </c>
      <c r="T1610" s="75">
        <v>1585</v>
      </c>
      <c r="U1610" s="200">
        <v>615</v>
      </c>
      <c r="V1610" s="287">
        <f t="shared" ca="1" si="361"/>
        <v>5</v>
      </c>
      <c r="W1610" s="75">
        <f t="shared" ca="1" si="362"/>
        <v>3075</v>
      </c>
      <c r="X1610" s="200">
        <f t="shared" ca="1" si="358"/>
        <v>4045</v>
      </c>
      <c r="Y1610" s="1"/>
      <c r="Z1610" s="31">
        <v>0.1</v>
      </c>
      <c r="AA1610" s="223">
        <v>0.09</v>
      </c>
      <c r="AB1610" s="302" t="s">
        <v>7270</v>
      </c>
      <c r="AC1610" s="308">
        <v>43536</v>
      </c>
      <c r="AD1610" s="309">
        <v>0.25</v>
      </c>
      <c r="AE1610" s="302" t="s">
        <v>7512</v>
      </c>
      <c r="AF1610">
        <f t="shared" si="352"/>
        <v>0</v>
      </c>
    </row>
    <row r="1611" spans="1:32" hidden="1" x14ac:dyDescent="0.25">
      <c r="A1611" s="322" t="s">
        <v>4413</v>
      </c>
      <c r="B1611" s="93" t="str">
        <f t="shared" si="359"/>
        <v>YES</v>
      </c>
      <c r="C1611" s="93" t="s">
        <v>5503</v>
      </c>
      <c r="D1611" s="4">
        <v>41165</v>
      </c>
      <c r="E1611" s="11">
        <v>42278</v>
      </c>
      <c r="F1611" s="2">
        <f t="shared" si="353"/>
        <v>45931</v>
      </c>
      <c r="G1611" s="6">
        <v>39.58</v>
      </c>
      <c r="H1611" s="7" t="s">
        <v>4141</v>
      </c>
      <c r="I1611" s="7" t="s">
        <v>79</v>
      </c>
      <c r="J1611" s="109"/>
      <c r="K1611" s="266">
        <f t="shared" si="360"/>
        <v>2025</v>
      </c>
      <c r="L1611" s="391" t="s">
        <v>5834</v>
      </c>
      <c r="M1611" s="390" t="s">
        <v>6016</v>
      </c>
      <c r="N1611" s="32" t="s">
        <v>7788</v>
      </c>
      <c r="O1611" s="32" t="s">
        <v>5098</v>
      </c>
      <c r="P1611" s="278"/>
      <c r="Q1611" s="233" t="s">
        <v>5097</v>
      </c>
      <c r="R1611" s="75">
        <v>290</v>
      </c>
      <c r="S1611" s="75">
        <v>640</v>
      </c>
      <c r="T1611" s="75">
        <v>930</v>
      </c>
      <c r="U1611" s="200">
        <v>60</v>
      </c>
      <c r="V1611" s="287">
        <f t="shared" ca="1" si="361"/>
        <v>5</v>
      </c>
      <c r="W1611" s="75">
        <f t="shared" ca="1" si="362"/>
        <v>300</v>
      </c>
      <c r="X1611" s="200">
        <f t="shared" ca="1" si="358"/>
        <v>1170</v>
      </c>
      <c r="Y1611" s="1"/>
      <c r="Z1611" s="31">
        <v>0.1</v>
      </c>
      <c r="AA1611" s="223">
        <v>0.09</v>
      </c>
      <c r="AB1611" s="302" t="s">
        <v>7271</v>
      </c>
      <c r="AC1611" s="302"/>
      <c r="AD1611" s="302"/>
      <c r="AE1611" s="302"/>
      <c r="AF1611">
        <f t="shared" si="352"/>
        <v>0</v>
      </c>
    </row>
    <row r="1612" spans="1:32" ht="26.25" hidden="1" x14ac:dyDescent="0.25">
      <c r="A1612" s="322" t="s">
        <v>4414</v>
      </c>
      <c r="B1612" s="93" t="str">
        <f t="shared" si="359"/>
        <v>YES</v>
      </c>
      <c r="C1612" s="93" t="s">
        <v>5503</v>
      </c>
      <c r="D1612" s="4">
        <v>41165</v>
      </c>
      <c r="E1612" s="11">
        <v>42278</v>
      </c>
      <c r="F1612" s="2">
        <f t="shared" si="353"/>
        <v>45931</v>
      </c>
      <c r="G1612" s="6">
        <v>441.11</v>
      </c>
      <c r="H1612" s="7" t="s">
        <v>4141</v>
      </c>
      <c r="I1612" s="7" t="s">
        <v>79</v>
      </c>
      <c r="J1612" s="109"/>
      <c r="K1612" s="266">
        <f t="shared" si="360"/>
        <v>2025</v>
      </c>
      <c r="L1612" s="391" t="s">
        <v>5834</v>
      </c>
      <c r="M1612" s="390" t="s">
        <v>6016</v>
      </c>
      <c r="N1612" s="32" t="s">
        <v>7788</v>
      </c>
      <c r="O1612" s="32" t="s">
        <v>5100</v>
      </c>
      <c r="P1612" s="278" t="s">
        <v>5101</v>
      </c>
      <c r="Q1612" s="233" t="s">
        <v>5099</v>
      </c>
      <c r="R1612" s="75">
        <v>1697</v>
      </c>
      <c r="S1612" s="75">
        <v>7956</v>
      </c>
      <c r="T1612" s="75">
        <v>9653</v>
      </c>
      <c r="U1612" s="200">
        <v>663</v>
      </c>
      <c r="V1612" s="287">
        <f t="shared" ca="1" si="361"/>
        <v>5</v>
      </c>
      <c r="W1612" s="75">
        <f t="shared" ca="1" si="362"/>
        <v>3315</v>
      </c>
      <c r="X1612" s="200">
        <f t="shared" ca="1" si="358"/>
        <v>12305</v>
      </c>
      <c r="Y1612" s="1"/>
      <c r="Z1612" s="31">
        <v>0.1</v>
      </c>
      <c r="AA1612" s="223">
        <v>0.09</v>
      </c>
      <c r="AB1612" s="302" t="s">
        <v>7272</v>
      </c>
      <c r="AC1612" s="302"/>
      <c r="AD1612" s="302"/>
      <c r="AE1612" s="302"/>
      <c r="AF1612">
        <f t="shared" si="352"/>
        <v>0</v>
      </c>
    </row>
    <row r="1613" spans="1:32" ht="26.25" hidden="1" x14ac:dyDescent="0.25">
      <c r="A1613" s="322" t="s">
        <v>4415</v>
      </c>
      <c r="B1613" s="93" t="str">
        <f t="shared" si="359"/>
        <v>YES</v>
      </c>
      <c r="C1613" s="93" t="s">
        <v>5503</v>
      </c>
      <c r="D1613" s="4">
        <v>41165</v>
      </c>
      <c r="E1613" s="11">
        <v>42278</v>
      </c>
      <c r="F1613" s="2">
        <f t="shared" si="353"/>
        <v>45931</v>
      </c>
      <c r="G1613" s="6">
        <v>638.47</v>
      </c>
      <c r="H1613" s="7" t="s">
        <v>4141</v>
      </c>
      <c r="I1613" s="7" t="s">
        <v>79</v>
      </c>
      <c r="J1613" s="109"/>
      <c r="K1613" s="266">
        <f t="shared" si="360"/>
        <v>2025</v>
      </c>
      <c r="L1613" s="391" t="s">
        <v>5834</v>
      </c>
      <c r="M1613" s="390" t="s">
        <v>6016</v>
      </c>
      <c r="N1613" s="32" t="s">
        <v>7788</v>
      </c>
      <c r="O1613" s="32" t="s">
        <v>5103</v>
      </c>
      <c r="P1613" s="278"/>
      <c r="Q1613" s="233" t="s">
        <v>5102</v>
      </c>
      <c r="R1613" s="75">
        <v>2386.5</v>
      </c>
      <c r="S1613" s="75">
        <v>7668</v>
      </c>
      <c r="T1613" s="75">
        <v>10054.5</v>
      </c>
      <c r="U1613" s="200">
        <v>958.5</v>
      </c>
      <c r="V1613" s="287">
        <f t="shared" ca="1" si="361"/>
        <v>5</v>
      </c>
      <c r="W1613" s="75">
        <f t="shared" ca="1" si="362"/>
        <v>4792.5</v>
      </c>
      <c r="X1613" s="200">
        <f t="shared" ca="1" si="358"/>
        <v>13888.5</v>
      </c>
      <c r="Y1613" s="1"/>
      <c r="Z1613" s="31">
        <v>0.1</v>
      </c>
      <c r="AA1613" s="223">
        <v>0.09</v>
      </c>
      <c r="AB1613" s="302" t="s">
        <v>7273</v>
      </c>
      <c r="AC1613" s="302"/>
      <c r="AD1613" s="302"/>
      <c r="AE1613" s="302"/>
      <c r="AF1613">
        <f t="shared" si="352"/>
        <v>0</v>
      </c>
    </row>
    <row r="1614" spans="1:32" ht="39" hidden="1" x14ac:dyDescent="0.25">
      <c r="A1614" s="322" t="s">
        <v>4416</v>
      </c>
      <c r="B1614" s="93" t="str">
        <f t="shared" si="359"/>
        <v>YES</v>
      </c>
      <c r="C1614" s="93" t="s">
        <v>5503</v>
      </c>
      <c r="D1614" s="4">
        <v>41165</v>
      </c>
      <c r="E1614" s="11">
        <v>42278</v>
      </c>
      <c r="F1614" s="2">
        <f t="shared" si="353"/>
        <v>45931</v>
      </c>
      <c r="G1614" s="6">
        <v>83</v>
      </c>
      <c r="H1614" s="7" t="s">
        <v>4141</v>
      </c>
      <c r="I1614" s="7" t="s">
        <v>79</v>
      </c>
      <c r="J1614" s="109"/>
      <c r="K1614" s="266">
        <f t="shared" si="360"/>
        <v>2025</v>
      </c>
      <c r="L1614" s="391" t="s">
        <v>5834</v>
      </c>
      <c r="M1614" s="390" t="s">
        <v>6016</v>
      </c>
      <c r="N1614" s="32" t="s">
        <v>7788</v>
      </c>
      <c r="O1614" s="32" t="s">
        <v>5105</v>
      </c>
      <c r="P1614" s="278" t="s">
        <v>5106</v>
      </c>
      <c r="Q1614" s="233" t="s">
        <v>5104</v>
      </c>
      <c r="R1614" s="75">
        <v>440.5</v>
      </c>
      <c r="S1614" s="75">
        <v>996</v>
      </c>
      <c r="T1614" s="75">
        <v>1436.5</v>
      </c>
      <c r="U1614" s="200">
        <v>124.5</v>
      </c>
      <c r="V1614" s="287">
        <f t="shared" ca="1" si="361"/>
        <v>5</v>
      </c>
      <c r="W1614" s="75">
        <f t="shared" ca="1" si="362"/>
        <v>622.5</v>
      </c>
      <c r="X1614" s="200">
        <f t="shared" ca="1" si="358"/>
        <v>1934.5</v>
      </c>
      <c r="Y1614" s="1"/>
      <c r="Z1614" s="31">
        <v>0.1</v>
      </c>
      <c r="AA1614" s="223">
        <v>0.09</v>
      </c>
      <c r="AB1614" s="302" t="s">
        <v>7274</v>
      </c>
      <c r="AC1614" s="302"/>
      <c r="AD1614" s="302"/>
      <c r="AE1614" s="302"/>
      <c r="AF1614">
        <f t="shared" si="352"/>
        <v>0</v>
      </c>
    </row>
    <row r="1615" spans="1:32" hidden="1" x14ac:dyDescent="0.25">
      <c r="A1615" s="322" t="s">
        <v>4417</v>
      </c>
      <c r="B1615" s="93" t="str">
        <f t="shared" si="359"/>
        <v>YES</v>
      </c>
      <c r="C1615" s="93" t="s">
        <v>5503</v>
      </c>
      <c r="D1615" s="4">
        <v>41165</v>
      </c>
      <c r="E1615" s="11">
        <v>42278</v>
      </c>
      <c r="F1615" s="2">
        <f t="shared" si="353"/>
        <v>45931</v>
      </c>
      <c r="G1615" s="6">
        <v>59.28</v>
      </c>
      <c r="H1615" s="7" t="s">
        <v>4141</v>
      </c>
      <c r="I1615" s="7" t="s">
        <v>79</v>
      </c>
      <c r="J1615" s="109"/>
      <c r="K1615" s="266">
        <f t="shared" si="360"/>
        <v>2025</v>
      </c>
      <c r="L1615" s="391" t="s">
        <v>5834</v>
      </c>
      <c r="M1615" s="390" t="s">
        <v>6016</v>
      </c>
      <c r="N1615" s="32" t="s">
        <v>7788</v>
      </c>
      <c r="O1615" s="32" t="s">
        <v>5108</v>
      </c>
      <c r="P1615" s="278"/>
      <c r="Q1615" s="233" t="s">
        <v>5107</v>
      </c>
      <c r="R1615" s="75">
        <v>360</v>
      </c>
      <c r="S1615" s="75">
        <v>720</v>
      </c>
      <c r="T1615" s="75">
        <v>1080</v>
      </c>
      <c r="U1615" s="200">
        <v>90</v>
      </c>
      <c r="V1615" s="287">
        <f t="shared" ca="1" si="361"/>
        <v>5</v>
      </c>
      <c r="W1615" s="75">
        <f t="shared" ca="1" si="362"/>
        <v>450</v>
      </c>
      <c r="X1615" s="200">
        <f t="shared" ca="1" si="358"/>
        <v>1440</v>
      </c>
      <c r="Y1615" s="1"/>
      <c r="Z1615" s="31">
        <v>0.1</v>
      </c>
      <c r="AA1615" s="223">
        <v>0.09</v>
      </c>
      <c r="AB1615" s="302" t="s">
        <v>7275</v>
      </c>
      <c r="AC1615" s="302"/>
      <c r="AD1615" s="302"/>
      <c r="AE1615" s="302"/>
      <c r="AF1615">
        <f t="shared" si="352"/>
        <v>0</v>
      </c>
    </row>
    <row r="1616" spans="1:32" ht="26.25" hidden="1" customHeight="1" x14ac:dyDescent="0.25">
      <c r="A1616" s="322" t="s">
        <v>4418</v>
      </c>
      <c r="B1616" s="93" t="str">
        <f t="shared" si="359"/>
        <v>YES</v>
      </c>
      <c r="C1616" s="93" t="s">
        <v>5503</v>
      </c>
      <c r="D1616" s="4">
        <v>41165</v>
      </c>
      <c r="E1616" s="11">
        <v>42278</v>
      </c>
      <c r="F1616" s="2">
        <f t="shared" si="353"/>
        <v>45931</v>
      </c>
      <c r="G1616" s="6">
        <v>533.76</v>
      </c>
      <c r="H1616" s="7" t="s">
        <v>4141</v>
      </c>
      <c r="I1616" s="7" t="s">
        <v>79</v>
      </c>
      <c r="J1616" s="109"/>
      <c r="K1616" s="266">
        <f t="shared" si="360"/>
        <v>2025</v>
      </c>
      <c r="L1616" s="391" t="s">
        <v>5834</v>
      </c>
      <c r="M1616" s="390" t="s">
        <v>6016</v>
      </c>
      <c r="N1616" s="32" t="s">
        <v>7788</v>
      </c>
      <c r="O1616" s="32" t="s">
        <v>5110</v>
      </c>
      <c r="P1616" s="278"/>
      <c r="Q1616" s="233" t="s">
        <v>5109</v>
      </c>
      <c r="R1616" s="75">
        <v>2019</v>
      </c>
      <c r="S1616" s="75">
        <v>6408</v>
      </c>
      <c r="T1616" s="75">
        <v>8427</v>
      </c>
      <c r="U1616" s="200">
        <v>801</v>
      </c>
      <c r="V1616" s="287">
        <f t="shared" ca="1" si="361"/>
        <v>5</v>
      </c>
      <c r="W1616" s="75">
        <f t="shared" ca="1" si="362"/>
        <v>4005</v>
      </c>
      <c r="X1616" s="200">
        <f t="shared" ca="1" si="358"/>
        <v>11631</v>
      </c>
      <c r="Y1616" s="1"/>
      <c r="Z1616" s="31">
        <v>0.1</v>
      </c>
      <c r="AA1616" s="223">
        <v>0.09</v>
      </c>
      <c r="AB1616" s="302" t="s">
        <v>7276</v>
      </c>
      <c r="AC1616" s="302"/>
      <c r="AD1616" s="302"/>
      <c r="AE1616" s="302"/>
      <c r="AF1616">
        <f t="shared" si="352"/>
        <v>0</v>
      </c>
    </row>
    <row r="1617" spans="1:32" ht="26.25" hidden="1" x14ac:dyDescent="0.25">
      <c r="A1617" s="322" t="s">
        <v>4419</v>
      </c>
      <c r="B1617" s="93" t="str">
        <f t="shared" si="359"/>
        <v>YES</v>
      </c>
      <c r="C1617" s="93" t="s">
        <v>5503</v>
      </c>
      <c r="D1617" s="4">
        <v>41165</v>
      </c>
      <c r="E1617" s="11">
        <v>42278</v>
      </c>
      <c r="F1617" s="2">
        <f t="shared" si="353"/>
        <v>45931</v>
      </c>
      <c r="G1617" s="6">
        <v>344.48</v>
      </c>
      <c r="H1617" s="7" t="s">
        <v>4141</v>
      </c>
      <c r="I1617" s="7" t="s">
        <v>79</v>
      </c>
      <c r="J1617" s="109"/>
      <c r="K1617" s="266">
        <f t="shared" si="360"/>
        <v>2025</v>
      </c>
      <c r="L1617" s="391" t="s">
        <v>5834</v>
      </c>
      <c r="M1617" s="390" t="s">
        <v>6016</v>
      </c>
      <c r="N1617" s="32" t="s">
        <v>7788</v>
      </c>
      <c r="O1617" s="32" t="s">
        <v>5112</v>
      </c>
      <c r="P1617" s="278"/>
      <c r="Q1617" s="233" t="s">
        <v>5111</v>
      </c>
      <c r="R1617" s="75">
        <v>1357.5</v>
      </c>
      <c r="S1617" s="75">
        <v>4140</v>
      </c>
      <c r="T1617" s="75">
        <v>5497.5</v>
      </c>
      <c r="U1617" s="200">
        <v>517.5</v>
      </c>
      <c r="V1617" s="287">
        <f t="shared" ca="1" si="361"/>
        <v>5</v>
      </c>
      <c r="W1617" s="75">
        <f t="shared" ca="1" si="362"/>
        <v>2587.5</v>
      </c>
      <c r="X1617" s="200">
        <f t="shared" ca="1" si="358"/>
        <v>7567.5</v>
      </c>
      <c r="Y1617" s="1"/>
      <c r="Z1617" s="31">
        <v>0.1</v>
      </c>
      <c r="AA1617" s="223">
        <v>0.09</v>
      </c>
      <c r="AB1617" s="302" t="s">
        <v>7277</v>
      </c>
      <c r="AC1617" s="302"/>
      <c r="AD1617" s="302"/>
      <c r="AE1617" s="302"/>
      <c r="AF1617">
        <f t="shared" si="352"/>
        <v>0</v>
      </c>
    </row>
    <row r="1618" spans="1:32" ht="26.25" hidden="1" x14ac:dyDescent="0.25">
      <c r="A1618" s="322" t="s">
        <v>4420</v>
      </c>
      <c r="B1618" s="93" t="str">
        <f t="shared" si="359"/>
        <v>YES</v>
      </c>
      <c r="C1618" s="93" t="s">
        <v>5503</v>
      </c>
      <c r="D1618" s="4">
        <v>41165</v>
      </c>
      <c r="E1618" s="11">
        <v>42278</v>
      </c>
      <c r="F1618" s="2">
        <f t="shared" si="353"/>
        <v>45931</v>
      </c>
      <c r="G1618" s="6">
        <v>51.1</v>
      </c>
      <c r="H1618" s="7" t="s">
        <v>4141</v>
      </c>
      <c r="I1618" s="7" t="s">
        <v>79</v>
      </c>
      <c r="J1618" s="109"/>
      <c r="K1618" s="266">
        <f t="shared" si="360"/>
        <v>2025</v>
      </c>
      <c r="L1618" s="391" t="s">
        <v>5834</v>
      </c>
      <c r="M1618" s="390" t="s">
        <v>6016</v>
      </c>
      <c r="N1618" s="32" t="s">
        <v>7788</v>
      </c>
      <c r="O1618" s="32" t="s">
        <v>5114</v>
      </c>
      <c r="P1618" s="278" t="s">
        <v>5115</v>
      </c>
      <c r="Q1618" s="233" t="s">
        <v>5113</v>
      </c>
      <c r="R1618" s="75">
        <v>332</v>
      </c>
      <c r="S1618" s="75">
        <v>624</v>
      </c>
      <c r="T1618" s="75">
        <v>956</v>
      </c>
      <c r="U1618" s="200">
        <v>78</v>
      </c>
      <c r="V1618" s="287">
        <f t="shared" ca="1" si="361"/>
        <v>5</v>
      </c>
      <c r="W1618" s="75">
        <f t="shared" ca="1" si="362"/>
        <v>390</v>
      </c>
      <c r="X1618" s="200">
        <f t="shared" ca="1" si="358"/>
        <v>1268</v>
      </c>
      <c r="Y1618" s="1"/>
      <c r="Z1618" s="31">
        <v>0.1</v>
      </c>
      <c r="AA1618" s="223">
        <v>0.09</v>
      </c>
      <c r="AB1618" s="302" t="s">
        <v>7278</v>
      </c>
      <c r="AC1618" s="302"/>
      <c r="AD1618" s="302"/>
      <c r="AE1618" s="302"/>
      <c r="AF1618">
        <f t="shared" si="352"/>
        <v>0</v>
      </c>
    </row>
    <row r="1619" spans="1:32" ht="26.25" hidden="1" x14ac:dyDescent="0.25">
      <c r="A1619" s="322" t="s">
        <v>4421</v>
      </c>
      <c r="B1619" s="93" t="str">
        <f t="shared" si="359"/>
        <v>YES</v>
      </c>
      <c r="C1619" s="93" t="s">
        <v>5503</v>
      </c>
      <c r="D1619" s="4">
        <v>41165</v>
      </c>
      <c r="E1619" s="11">
        <v>42278</v>
      </c>
      <c r="F1619" s="2">
        <f t="shared" si="353"/>
        <v>45931</v>
      </c>
      <c r="G1619" s="6">
        <v>12.5</v>
      </c>
      <c r="H1619" s="7" t="s">
        <v>4141</v>
      </c>
      <c r="I1619" s="7" t="s">
        <v>79</v>
      </c>
      <c r="J1619" s="109"/>
      <c r="K1619" s="266">
        <f t="shared" si="360"/>
        <v>2025</v>
      </c>
      <c r="L1619" s="391" t="s">
        <v>5834</v>
      </c>
      <c r="M1619" s="390" t="s">
        <v>6016</v>
      </c>
      <c r="N1619" s="32" t="s">
        <v>7788</v>
      </c>
      <c r="O1619" s="32" t="s">
        <v>5117</v>
      </c>
      <c r="P1619" s="278"/>
      <c r="Q1619" s="233" t="s">
        <v>5116</v>
      </c>
      <c r="R1619" s="75">
        <v>195.5</v>
      </c>
      <c r="S1619" s="75">
        <v>260</v>
      </c>
      <c r="T1619" s="75">
        <v>455.5</v>
      </c>
      <c r="U1619" s="200">
        <v>19.5</v>
      </c>
      <c r="V1619" s="287">
        <f t="shared" ca="1" si="361"/>
        <v>5</v>
      </c>
      <c r="W1619" s="75">
        <f t="shared" ca="1" si="362"/>
        <v>97.5</v>
      </c>
      <c r="X1619" s="200">
        <f t="shared" ca="1" si="358"/>
        <v>533.5</v>
      </c>
      <c r="Y1619" s="1"/>
      <c r="Z1619" s="31">
        <v>0.1</v>
      </c>
      <c r="AA1619" s="223">
        <v>0.09</v>
      </c>
      <c r="AB1619" s="302" t="s">
        <v>7279</v>
      </c>
      <c r="AC1619" s="302"/>
      <c r="AD1619" s="302"/>
      <c r="AE1619" s="302"/>
      <c r="AF1619">
        <f t="shared" si="352"/>
        <v>0</v>
      </c>
    </row>
    <row r="1620" spans="1:32" ht="26.25" hidden="1" x14ac:dyDescent="0.25">
      <c r="A1620" s="322" t="s">
        <v>4422</v>
      </c>
      <c r="B1620" s="93" t="str">
        <f t="shared" si="359"/>
        <v>YES</v>
      </c>
      <c r="C1620" s="93" t="s">
        <v>5503</v>
      </c>
      <c r="D1620" s="4">
        <v>41165</v>
      </c>
      <c r="E1620" s="11">
        <v>42278</v>
      </c>
      <c r="F1620" s="2">
        <f t="shared" si="353"/>
        <v>45931</v>
      </c>
      <c r="G1620" s="6">
        <v>429.13</v>
      </c>
      <c r="H1620" s="7" t="s">
        <v>4141</v>
      </c>
      <c r="I1620" s="7" t="s">
        <v>79</v>
      </c>
      <c r="J1620" s="109"/>
      <c r="K1620" s="266">
        <f t="shared" si="360"/>
        <v>2025</v>
      </c>
      <c r="L1620" s="391" t="s">
        <v>5834</v>
      </c>
      <c r="M1620" s="390" t="s">
        <v>6016</v>
      </c>
      <c r="N1620" s="32" t="s">
        <v>7788</v>
      </c>
      <c r="O1620" s="32" t="s">
        <v>5119</v>
      </c>
      <c r="P1620" s="278"/>
      <c r="Q1620" s="233" t="s">
        <v>5118</v>
      </c>
      <c r="R1620" s="75">
        <v>1655</v>
      </c>
      <c r="S1620" s="75">
        <v>7740</v>
      </c>
      <c r="T1620" s="75">
        <v>9395</v>
      </c>
      <c r="U1620" s="200">
        <v>645</v>
      </c>
      <c r="V1620" s="287">
        <f t="shared" ca="1" si="361"/>
        <v>5</v>
      </c>
      <c r="W1620" s="75">
        <f t="shared" ca="1" si="362"/>
        <v>3225</v>
      </c>
      <c r="X1620" s="200">
        <f t="shared" ca="1" si="358"/>
        <v>11975</v>
      </c>
      <c r="Y1620" s="1"/>
      <c r="Z1620" s="31">
        <v>0.1</v>
      </c>
      <c r="AA1620" s="223">
        <v>0.09</v>
      </c>
      <c r="AB1620" s="302" t="s">
        <v>7280</v>
      </c>
      <c r="AC1620" s="302"/>
      <c r="AD1620" s="302"/>
      <c r="AE1620" s="302"/>
      <c r="AF1620">
        <f t="shared" si="352"/>
        <v>0</v>
      </c>
    </row>
    <row r="1621" spans="1:32" ht="26.25" hidden="1" x14ac:dyDescent="0.25">
      <c r="A1621" s="322" t="s">
        <v>4423</v>
      </c>
      <c r="B1621" s="93" t="str">
        <f t="shared" si="359"/>
        <v>YES</v>
      </c>
      <c r="C1621" s="93" t="s">
        <v>5503</v>
      </c>
      <c r="D1621" s="4">
        <v>41165</v>
      </c>
      <c r="E1621" s="11">
        <v>42278</v>
      </c>
      <c r="F1621" s="2">
        <f t="shared" si="353"/>
        <v>45931</v>
      </c>
      <c r="G1621" s="6">
        <v>108.75</v>
      </c>
      <c r="H1621" s="7" t="s">
        <v>4141</v>
      </c>
      <c r="I1621" s="7" t="s">
        <v>79</v>
      </c>
      <c r="J1621" s="109"/>
      <c r="K1621" s="266">
        <f t="shared" si="360"/>
        <v>2025</v>
      </c>
      <c r="L1621" s="391" t="s">
        <v>5834</v>
      </c>
      <c r="M1621" s="390" t="s">
        <v>6016</v>
      </c>
      <c r="N1621" s="32" t="s">
        <v>7788</v>
      </c>
      <c r="O1621" s="32" t="s">
        <v>5121</v>
      </c>
      <c r="P1621" s="278" t="s">
        <v>5122</v>
      </c>
      <c r="Q1621" s="233" t="s">
        <v>5120</v>
      </c>
      <c r="R1621" s="75">
        <v>531.5</v>
      </c>
      <c r="S1621" s="75">
        <v>1744</v>
      </c>
      <c r="T1621" s="75">
        <v>2275.5</v>
      </c>
      <c r="U1621" s="200">
        <v>163.5</v>
      </c>
      <c r="V1621" s="287">
        <f t="shared" ca="1" si="361"/>
        <v>5</v>
      </c>
      <c r="W1621" s="75">
        <f t="shared" ca="1" si="362"/>
        <v>817.5</v>
      </c>
      <c r="X1621" s="200">
        <f t="shared" ca="1" si="358"/>
        <v>2929.5</v>
      </c>
      <c r="Y1621" s="1"/>
      <c r="Z1621" s="31">
        <v>0.1</v>
      </c>
      <c r="AA1621" s="223">
        <v>0.09</v>
      </c>
      <c r="AB1621" s="302" t="s">
        <v>7281</v>
      </c>
      <c r="AC1621" s="302"/>
      <c r="AD1621" s="302"/>
      <c r="AE1621" s="302"/>
      <c r="AF1621">
        <f t="shared" si="352"/>
        <v>0</v>
      </c>
    </row>
    <row r="1622" spans="1:32" hidden="1" x14ac:dyDescent="0.25">
      <c r="A1622" s="322" t="s">
        <v>4424</v>
      </c>
      <c r="B1622" s="93" t="str">
        <f t="shared" si="359"/>
        <v>YES</v>
      </c>
      <c r="C1622" s="93" t="s">
        <v>5503</v>
      </c>
      <c r="D1622" s="4">
        <v>41165</v>
      </c>
      <c r="E1622" s="11">
        <v>42278</v>
      </c>
      <c r="F1622" s="2">
        <f t="shared" si="353"/>
        <v>45931</v>
      </c>
      <c r="G1622" s="6">
        <v>642</v>
      </c>
      <c r="H1622" s="7" t="s">
        <v>4141</v>
      </c>
      <c r="I1622" s="7" t="s">
        <v>79</v>
      </c>
      <c r="J1622" s="109"/>
      <c r="K1622" s="266">
        <f t="shared" si="360"/>
        <v>2025</v>
      </c>
      <c r="L1622" s="391" t="s">
        <v>5834</v>
      </c>
      <c r="M1622" s="390" t="s">
        <v>6016</v>
      </c>
      <c r="N1622" s="32" t="s">
        <v>7788</v>
      </c>
      <c r="O1622" s="32" t="s">
        <v>643</v>
      </c>
      <c r="P1622" s="278"/>
      <c r="Q1622" s="233" t="s">
        <v>5123</v>
      </c>
      <c r="R1622" s="75">
        <v>2397</v>
      </c>
      <c r="S1622" s="75">
        <v>8988</v>
      </c>
      <c r="T1622" s="75">
        <v>11385</v>
      </c>
      <c r="U1622" s="200">
        <v>963</v>
      </c>
      <c r="V1622" s="287">
        <f t="shared" ca="1" si="361"/>
        <v>5</v>
      </c>
      <c r="W1622" s="75">
        <f t="shared" ca="1" si="362"/>
        <v>4815</v>
      </c>
      <c r="X1622" s="200">
        <f t="shared" ca="1" si="358"/>
        <v>15237</v>
      </c>
      <c r="Y1622" s="1"/>
      <c r="Z1622" s="31">
        <v>0.1</v>
      </c>
      <c r="AA1622" s="223">
        <v>0.09</v>
      </c>
      <c r="AB1622" s="302" t="s">
        <v>7282</v>
      </c>
      <c r="AC1622" s="302"/>
      <c r="AD1622" s="302"/>
      <c r="AE1622" s="302"/>
      <c r="AF1622">
        <f t="shared" si="352"/>
        <v>0</v>
      </c>
    </row>
    <row r="1623" spans="1:32" hidden="1" x14ac:dyDescent="0.25">
      <c r="A1623" s="322" t="s">
        <v>4425</v>
      </c>
      <c r="B1623" s="93" t="str">
        <f t="shared" si="359"/>
        <v>YES</v>
      </c>
      <c r="C1623" s="93" t="s">
        <v>5503</v>
      </c>
      <c r="D1623" s="4">
        <v>41165</v>
      </c>
      <c r="E1623" s="11">
        <v>42278</v>
      </c>
      <c r="F1623" s="2">
        <f t="shared" si="353"/>
        <v>45931</v>
      </c>
      <c r="G1623" s="6">
        <v>636.16</v>
      </c>
      <c r="H1623" s="7" t="s">
        <v>4141</v>
      </c>
      <c r="I1623" s="7" t="s">
        <v>79</v>
      </c>
      <c r="J1623" s="109"/>
      <c r="K1623" s="266">
        <f t="shared" si="360"/>
        <v>2025</v>
      </c>
      <c r="L1623" s="391" t="s">
        <v>5834</v>
      </c>
      <c r="M1623" s="390" t="s">
        <v>6016</v>
      </c>
      <c r="N1623" s="32" t="s">
        <v>7788</v>
      </c>
      <c r="O1623" s="32" t="s">
        <v>5125</v>
      </c>
      <c r="P1623" s="278"/>
      <c r="Q1623" s="233" t="s">
        <v>5124</v>
      </c>
      <c r="R1623" s="75">
        <v>2379.5</v>
      </c>
      <c r="S1623" s="75">
        <v>8918</v>
      </c>
      <c r="T1623" s="75">
        <v>11297.5</v>
      </c>
      <c r="U1623" s="200">
        <v>955.5</v>
      </c>
      <c r="V1623" s="287">
        <f t="shared" ca="1" si="361"/>
        <v>5</v>
      </c>
      <c r="W1623" s="75">
        <f t="shared" ca="1" si="362"/>
        <v>4777.5</v>
      </c>
      <c r="X1623" s="200">
        <f t="shared" ca="1" si="358"/>
        <v>15119.5</v>
      </c>
      <c r="Y1623" s="1"/>
      <c r="Z1623" s="31">
        <v>0.1</v>
      </c>
      <c r="AA1623" s="223">
        <v>0.09</v>
      </c>
      <c r="AB1623" s="302" t="s">
        <v>7283</v>
      </c>
      <c r="AC1623" s="302"/>
      <c r="AD1623" s="302"/>
      <c r="AE1623" s="302"/>
      <c r="AF1623">
        <f t="shared" si="352"/>
        <v>0</v>
      </c>
    </row>
    <row r="1624" spans="1:32" hidden="1" x14ac:dyDescent="0.25">
      <c r="A1624" s="322" t="s">
        <v>4426</v>
      </c>
      <c r="B1624" s="93" t="str">
        <f t="shared" si="359"/>
        <v>YES</v>
      </c>
      <c r="C1624" s="93" t="s">
        <v>5503</v>
      </c>
      <c r="D1624" s="4">
        <v>41165</v>
      </c>
      <c r="E1624" s="11">
        <v>42278</v>
      </c>
      <c r="F1624" s="2">
        <f t="shared" si="353"/>
        <v>45931</v>
      </c>
      <c r="G1624" s="6">
        <v>631.6</v>
      </c>
      <c r="H1624" s="7" t="s">
        <v>4141</v>
      </c>
      <c r="I1624" s="7" t="s">
        <v>79</v>
      </c>
      <c r="J1624" s="109"/>
      <c r="K1624" s="266">
        <f t="shared" si="360"/>
        <v>2025</v>
      </c>
      <c r="L1624" s="391" t="s">
        <v>5834</v>
      </c>
      <c r="M1624" s="390" t="s">
        <v>6016</v>
      </c>
      <c r="N1624" s="32" t="s">
        <v>7788</v>
      </c>
      <c r="O1624" s="32" t="s">
        <v>5127</v>
      </c>
      <c r="P1624" s="278"/>
      <c r="Q1624" s="233" t="s">
        <v>5126</v>
      </c>
      <c r="R1624" s="75">
        <v>2362</v>
      </c>
      <c r="S1624" s="75">
        <v>8848</v>
      </c>
      <c r="T1624" s="75">
        <v>11210</v>
      </c>
      <c r="U1624" s="200">
        <v>948</v>
      </c>
      <c r="V1624" s="287">
        <f t="shared" ca="1" si="361"/>
        <v>5</v>
      </c>
      <c r="W1624" s="75">
        <f t="shared" ca="1" si="362"/>
        <v>4740</v>
      </c>
      <c r="X1624" s="200">
        <f t="shared" ca="1" si="358"/>
        <v>15002</v>
      </c>
      <c r="Y1624" s="1"/>
      <c r="Z1624" s="31">
        <v>0.1</v>
      </c>
      <c r="AA1624" s="223">
        <v>0.09</v>
      </c>
      <c r="AB1624" s="302" t="s">
        <v>7284</v>
      </c>
      <c r="AC1624" s="302"/>
      <c r="AD1624" s="302"/>
      <c r="AE1624" s="302"/>
      <c r="AF1624">
        <f t="shared" si="352"/>
        <v>0</v>
      </c>
    </row>
    <row r="1625" spans="1:32" ht="26.25" hidden="1" customHeight="1" x14ac:dyDescent="0.25">
      <c r="A1625" s="322" t="s">
        <v>4427</v>
      </c>
      <c r="B1625" s="93" t="str">
        <f t="shared" si="359"/>
        <v>YES</v>
      </c>
      <c r="C1625" s="93" t="s">
        <v>5503</v>
      </c>
      <c r="D1625" s="4">
        <v>41165</v>
      </c>
      <c r="E1625" s="11">
        <v>42278</v>
      </c>
      <c r="F1625" s="2">
        <f t="shared" si="353"/>
        <v>45931</v>
      </c>
      <c r="G1625" s="6">
        <v>533.32000000000005</v>
      </c>
      <c r="H1625" s="7" t="s">
        <v>4141</v>
      </c>
      <c r="I1625" s="7" t="s">
        <v>79</v>
      </c>
      <c r="J1625" s="109"/>
      <c r="K1625" s="266">
        <f t="shared" si="360"/>
        <v>2025</v>
      </c>
      <c r="L1625" s="391" t="s">
        <v>5834</v>
      </c>
      <c r="M1625" s="390" t="s">
        <v>6016</v>
      </c>
      <c r="N1625" s="32" t="s">
        <v>7788</v>
      </c>
      <c r="O1625" s="32" t="s">
        <v>5129</v>
      </c>
      <c r="P1625" s="278"/>
      <c r="Q1625" s="233" t="s">
        <v>5128</v>
      </c>
      <c r="R1625" s="75">
        <v>2019</v>
      </c>
      <c r="S1625" s="75">
        <v>8010</v>
      </c>
      <c r="T1625" s="75">
        <v>10029</v>
      </c>
      <c r="U1625" s="200">
        <v>801</v>
      </c>
      <c r="V1625" s="287">
        <f t="shared" ca="1" si="361"/>
        <v>5</v>
      </c>
      <c r="W1625" s="75">
        <f t="shared" ca="1" si="362"/>
        <v>4005</v>
      </c>
      <c r="X1625" s="200">
        <f t="shared" ca="1" si="358"/>
        <v>13233</v>
      </c>
      <c r="Y1625" s="1"/>
      <c r="Z1625" s="31">
        <v>0.1</v>
      </c>
      <c r="AA1625" s="223">
        <v>0.09</v>
      </c>
      <c r="AB1625" s="302" t="s">
        <v>7285</v>
      </c>
      <c r="AC1625" s="302"/>
      <c r="AD1625" s="302"/>
      <c r="AE1625" s="302"/>
      <c r="AF1625">
        <f t="shared" si="352"/>
        <v>0</v>
      </c>
    </row>
    <row r="1626" spans="1:32" ht="26.25" hidden="1" x14ac:dyDescent="0.25">
      <c r="A1626" s="322" t="s">
        <v>4428</v>
      </c>
      <c r="B1626" s="93" t="str">
        <f t="shared" si="359"/>
        <v>YES</v>
      </c>
      <c r="C1626" s="93" t="s">
        <v>5503</v>
      </c>
      <c r="D1626" s="4">
        <v>41165</v>
      </c>
      <c r="E1626" s="11">
        <v>42278</v>
      </c>
      <c r="F1626" s="2">
        <f t="shared" si="353"/>
        <v>45931</v>
      </c>
      <c r="G1626" s="6">
        <v>397.16</v>
      </c>
      <c r="H1626" s="7" t="s">
        <v>4141</v>
      </c>
      <c r="I1626" s="7" t="s">
        <v>79</v>
      </c>
      <c r="J1626" s="109"/>
      <c r="K1626" s="266">
        <f t="shared" si="360"/>
        <v>2025</v>
      </c>
      <c r="L1626" s="391" t="s">
        <v>5834</v>
      </c>
      <c r="M1626" s="390" t="s">
        <v>6016</v>
      </c>
      <c r="N1626" s="32" t="s">
        <v>7788</v>
      </c>
      <c r="O1626" s="32" t="s">
        <v>5131</v>
      </c>
      <c r="P1626" s="278" t="s">
        <v>5132</v>
      </c>
      <c r="Q1626" s="233" t="s">
        <v>5130</v>
      </c>
      <c r="R1626" s="75">
        <v>1543</v>
      </c>
      <c r="S1626" s="75">
        <v>7164</v>
      </c>
      <c r="T1626" s="75">
        <v>8707</v>
      </c>
      <c r="U1626" s="200">
        <v>597</v>
      </c>
      <c r="V1626" s="287">
        <f t="shared" ca="1" si="361"/>
        <v>5</v>
      </c>
      <c r="W1626" s="75">
        <f t="shared" ca="1" si="362"/>
        <v>2985</v>
      </c>
      <c r="X1626" s="200">
        <f t="shared" ca="1" si="358"/>
        <v>11095</v>
      </c>
      <c r="Y1626" s="1"/>
      <c r="Z1626" s="31">
        <v>0.1</v>
      </c>
      <c r="AA1626" s="223">
        <v>0.09</v>
      </c>
      <c r="AB1626" s="302" t="s">
        <v>7286</v>
      </c>
      <c r="AC1626" s="302"/>
      <c r="AD1626" s="302"/>
      <c r="AE1626" s="302"/>
      <c r="AF1626">
        <f t="shared" si="352"/>
        <v>0</v>
      </c>
    </row>
    <row r="1627" spans="1:32" ht="26.25" hidden="1" x14ac:dyDescent="0.25">
      <c r="A1627" s="322" t="s">
        <v>4429</v>
      </c>
      <c r="B1627" s="93" t="str">
        <f t="shared" si="359"/>
        <v>YES</v>
      </c>
      <c r="C1627" s="93" t="s">
        <v>5503</v>
      </c>
      <c r="D1627" s="4">
        <v>41165</v>
      </c>
      <c r="E1627" s="11">
        <v>42278</v>
      </c>
      <c r="F1627" s="2">
        <f t="shared" si="353"/>
        <v>45931</v>
      </c>
      <c r="G1627" s="6">
        <v>420.9</v>
      </c>
      <c r="H1627" s="7" t="s">
        <v>4141</v>
      </c>
      <c r="I1627" s="7" t="s">
        <v>79</v>
      </c>
      <c r="J1627" s="109"/>
      <c r="K1627" s="266">
        <f t="shared" si="360"/>
        <v>2025</v>
      </c>
      <c r="L1627" s="391" t="s">
        <v>5834</v>
      </c>
      <c r="M1627" s="390" t="s">
        <v>6016</v>
      </c>
      <c r="N1627" s="32" t="s">
        <v>7788</v>
      </c>
      <c r="O1627" s="32" t="s">
        <v>5134</v>
      </c>
      <c r="P1627" s="278"/>
      <c r="Q1627" s="233" t="s">
        <v>5133</v>
      </c>
      <c r="R1627" s="75">
        <v>1623.5</v>
      </c>
      <c r="S1627" s="75">
        <v>15577</v>
      </c>
      <c r="T1627" s="75">
        <v>17200.5</v>
      </c>
      <c r="U1627" s="200">
        <v>631.5</v>
      </c>
      <c r="V1627" s="287">
        <f t="shared" ca="1" si="361"/>
        <v>5</v>
      </c>
      <c r="W1627" s="75">
        <f t="shared" ca="1" si="362"/>
        <v>3157.5</v>
      </c>
      <c r="X1627" s="200">
        <f t="shared" ca="1" si="358"/>
        <v>19726.5</v>
      </c>
      <c r="Y1627" s="1"/>
      <c r="Z1627" s="31">
        <v>0.1</v>
      </c>
      <c r="AA1627" s="223">
        <v>0.09</v>
      </c>
      <c r="AB1627" s="302" t="s">
        <v>7287</v>
      </c>
      <c r="AC1627" s="302"/>
      <c r="AD1627" s="302"/>
      <c r="AE1627" s="302"/>
      <c r="AF1627">
        <f t="shared" si="352"/>
        <v>0</v>
      </c>
    </row>
    <row r="1628" spans="1:32" ht="26.25" hidden="1" x14ac:dyDescent="0.25">
      <c r="A1628" s="322" t="s">
        <v>4430</v>
      </c>
      <c r="B1628" s="93" t="str">
        <f t="shared" si="359"/>
        <v>YES</v>
      </c>
      <c r="C1628" s="93" t="s">
        <v>5503</v>
      </c>
      <c r="D1628" s="4">
        <v>41165</v>
      </c>
      <c r="E1628" s="11">
        <v>42278</v>
      </c>
      <c r="F1628" s="2">
        <f t="shared" si="353"/>
        <v>45931</v>
      </c>
      <c r="G1628" s="6">
        <v>883.98</v>
      </c>
      <c r="H1628" s="7" t="s">
        <v>5136</v>
      </c>
      <c r="I1628" s="7" t="s">
        <v>79</v>
      </c>
      <c r="J1628" s="109"/>
      <c r="K1628" s="266">
        <f t="shared" si="360"/>
        <v>2025</v>
      </c>
      <c r="L1628" s="391" t="s">
        <v>5910</v>
      </c>
      <c r="M1628" s="390" t="s">
        <v>5809</v>
      </c>
      <c r="N1628" s="32" t="s">
        <v>7788</v>
      </c>
      <c r="O1628" s="32" t="s">
        <v>5137</v>
      </c>
      <c r="P1628" s="278"/>
      <c r="Q1628" s="233" t="s">
        <v>5135</v>
      </c>
      <c r="R1628" s="75">
        <v>3244</v>
      </c>
      <c r="S1628" s="75">
        <v>0</v>
      </c>
      <c r="T1628" s="75">
        <v>3244</v>
      </c>
      <c r="U1628" s="200">
        <v>1326</v>
      </c>
      <c r="V1628" s="287">
        <f t="shared" ca="1" si="361"/>
        <v>5</v>
      </c>
      <c r="W1628" s="75">
        <f t="shared" ca="1" si="362"/>
        <v>6630</v>
      </c>
      <c r="X1628" s="200">
        <f t="shared" ca="1" si="358"/>
        <v>8548</v>
      </c>
      <c r="Y1628" s="1"/>
      <c r="Z1628" s="31">
        <v>0.1</v>
      </c>
      <c r="AA1628" s="223">
        <v>0.09</v>
      </c>
      <c r="AB1628" s="302" t="s">
        <v>7288</v>
      </c>
      <c r="AC1628" s="302"/>
      <c r="AD1628" s="309">
        <v>0.25</v>
      </c>
      <c r="AE1628" s="302" t="s">
        <v>6210</v>
      </c>
      <c r="AF1628">
        <f t="shared" ref="AF1628:AF1691" si="363">COUNTIF(FilterList,A1628)</f>
        <v>0</v>
      </c>
    </row>
    <row r="1629" spans="1:32" hidden="1" x14ac:dyDescent="0.25">
      <c r="A1629" s="322" t="s">
        <v>4431</v>
      </c>
      <c r="B1629" s="93" t="str">
        <f t="shared" si="359"/>
        <v>YES</v>
      </c>
      <c r="C1629" s="93" t="s">
        <v>5503</v>
      </c>
      <c r="D1629" s="4">
        <v>41165</v>
      </c>
      <c r="E1629" s="11">
        <v>42278</v>
      </c>
      <c r="F1629" s="2">
        <f t="shared" ref="F1629:F1639" si="364">DATE(YEAR(E1629)+10,MONTH(E1629),DAY(E1629))</f>
        <v>45931</v>
      </c>
      <c r="G1629" s="6">
        <v>441.81</v>
      </c>
      <c r="H1629" s="7" t="s">
        <v>5136</v>
      </c>
      <c r="I1629" s="7" t="s">
        <v>79</v>
      </c>
      <c r="J1629" s="109"/>
      <c r="K1629" s="266">
        <f t="shared" si="360"/>
        <v>2025</v>
      </c>
      <c r="L1629" s="391" t="s">
        <v>5910</v>
      </c>
      <c r="M1629" s="390" t="s">
        <v>5809</v>
      </c>
      <c r="N1629" s="32" t="s">
        <v>7788</v>
      </c>
      <c r="O1629" s="32" t="s">
        <v>5139</v>
      </c>
      <c r="P1629" s="278"/>
      <c r="Q1629" s="233" t="s">
        <v>5138</v>
      </c>
      <c r="R1629" s="75">
        <v>1697</v>
      </c>
      <c r="S1629" s="75">
        <v>0</v>
      </c>
      <c r="T1629" s="75">
        <v>1697</v>
      </c>
      <c r="U1629" s="200">
        <v>663</v>
      </c>
      <c r="V1629" s="287">
        <f t="shared" ca="1" si="361"/>
        <v>5</v>
      </c>
      <c r="W1629" s="75">
        <f t="shared" ca="1" si="362"/>
        <v>3315</v>
      </c>
      <c r="X1629" s="200">
        <f t="shared" ca="1" si="358"/>
        <v>4349</v>
      </c>
      <c r="Y1629" s="1"/>
      <c r="Z1629" s="31">
        <v>0.1</v>
      </c>
      <c r="AA1629" s="223">
        <v>0.09</v>
      </c>
      <c r="AB1629" s="302" t="s">
        <v>7289</v>
      </c>
      <c r="AC1629" s="302"/>
      <c r="AD1629" s="309">
        <v>0.25</v>
      </c>
      <c r="AE1629" s="302" t="s">
        <v>6210</v>
      </c>
      <c r="AF1629">
        <f t="shared" si="363"/>
        <v>0</v>
      </c>
    </row>
    <row r="1630" spans="1:32" hidden="1" x14ac:dyDescent="0.25">
      <c r="A1630" s="322" t="s">
        <v>4432</v>
      </c>
      <c r="B1630" s="93" t="str">
        <f t="shared" si="359"/>
        <v>YES</v>
      </c>
      <c r="C1630" s="93" t="s">
        <v>5503</v>
      </c>
      <c r="D1630" s="4">
        <v>41165</v>
      </c>
      <c r="E1630" s="11">
        <v>42278</v>
      </c>
      <c r="F1630" s="2">
        <f t="shared" si="364"/>
        <v>45931</v>
      </c>
      <c r="G1630" s="6">
        <v>586.75</v>
      </c>
      <c r="H1630" s="7" t="s">
        <v>5136</v>
      </c>
      <c r="I1630" s="7" t="s">
        <v>79</v>
      </c>
      <c r="J1630" s="109"/>
      <c r="K1630" s="266">
        <f t="shared" si="360"/>
        <v>2025</v>
      </c>
      <c r="L1630" s="391" t="s">
        <v>5910</v>
      </c>
      <c r="M1630" s="390" t="s">
        <v>5809</v>
      </c>
      <c r="N1630" s="32" t="s">
        <v>7788</v>
      </c>
      <c r="O1630" s="32" t="s">
        <v>5141</v>
      </c>
      <c r="P1630" s="278"/>
      <c r="Q1630" s="233" t="s">
        <v>5140</v>
      </c>
      <c r="R1630" s="75">
        <v>2204.5</v>
      </c>
      <c r="S1630" s="75">
        <v>0</v>
      </c>
      <c r="T1630" s="75">
        <v>2204.5</v>
      </c>
      <c r="U1630" s="200">
        <v>880.5</v>
      </c>
      <c r="V1630" s="287">
        <f t="shared" ca="1" si="361"/>
        <v>5</v>
      </c>
      <c r="W1630" s="75">
        <f t="shared" ca="1" si="362"/>
        <v>4402.5</v>
      </c>
      <c r="X1630" s="200">
        <f t="shared" ca="1" si="358"/>
        <v>5726.5</v>
      </c>
      <c r="Y1630" s="1"/>
      <c r="Z1630" s="31">
        <v>0.1</v>
      </c>
      <c r="AA1630" s="223">
        <v>0.09</v>
      </c>
      <c r="AB1630" s="302" t="s">
        <v>7290</v>
      </c>
      <c r="AC1630" s="302"/>
      <c r="AD1630" s="309">
        <v>0.25</v>
      </c>
      <c r="AE1630" s="302" t="s">
        <v>6210</v>
      </c>
      <c r="AF1630">
        <f t="shared" si="363"/>
        <v>0</v>
      </c>
    </row>
    <row r="1631" spans="1:32" ht="26.25" hidden="1" x14ac:dyDescent="0.25">
      <c r="A1631" s="322" t="s">
        <v>4433</v>
      </c>
      <c r="B1631" s="93" t="str">
        <f t="shared" si="359"/>
        <v>YES</v>
      </c>
      <c r="C1631" s="93" t="s">
        <v>5503</v>
      </c>
      <c r="D1631" s="4">
        <v>41165</v>
      </c>
      <c r="E1631" s="11">
        <v>42278</v>
      </c>
      <c r="F1631" s="2">
        <f t="shared" si="364"/>
        <v>45931</v>
      </c>
      <c r="G1631" s="6">
        <v>755.37</v>
      </c>
      <c r="H1631" s="7" t="s">
        <v>5136</v>
      </c>
      <c r="I1631" s="7" t="s">
        <v>79</v>
      </c>
      <c r="J1631" s="109"/>
      <c r="K1631" s="266">
        <f t="shared" si="360"/>
        <v>2025</v>
      </c>
      <c r="L1631" s="391" t="s">
        <v>5910</v>
      </c>
      <c r="M1631" s="390" t="s">
        <v>5809</v>
      </c>
      <c r="N1631" s="32" t="s">
        <v>7788</v>
      </c>
      <c r="O1631" s="32" t="s">
        <v>5143</v>
      </c>
      <c r="P1631" s="278"/>
      <c r="Q1631" s="233" t="s">
        <v>5142</v>
      </c>
      <c r="R1631" s="75">
        <v>2796</v>
      </c>
      <c r="S1631" s="75">
        <v>0</v>
      </c>
      <c r="T1631" s="75">
        <v>2796</v>
      </c>
      <c r="U1631" s="200">
        <v>1134</v>
      </c>
      <c r="V1631" s="287">
        <f t="shared" ca="1" si="361"/>
        <v>5</v>
      </c>
      <c r="W1631" s="75">
        <f t="shared" ca="1" si="362"/>
        <v>5670</v>
      </c>
      <c r="X1631" s="200">
        <f t="shared" ca="1" si="358"/>
        <v>7332</v>
      </c>
      <c r="Y1631" s="1"/>
      <c r="Z1631" s="31">
        <v>0.1</v>
      </c>
      <c r="AA1631" s="223">
        <v>0.09</v>
      </c>
      <c r="AB1631" s="302" t="s">
        <v>7291</v>
      </c>
      <c r="AC1631" s="302"/>
      <c r="AD1631" s="309">
        <v>0.25</v>
      </c>
      <c r="AE1631" s="302" t="s">
        <v>6210</v>
      </c>
      <c r="AF1631">
        <f t="shared" si="363"/>
        <v>0</v>
      </c>
    </row>
    <row r="1632" spans="1:32" ht="26.25" hidden="1" x14ac:dyDescent="0.25">
      <c r="A1632" s="322" t="s">
        <v>4434</v>
      </c>
      <c r="B1632" s="93" t="str">
        <f t="shared" si="359"/>
        <v>YES</v>
      </c>
      <c r="C1632" s="93" t="s">
        <v>5503</v>
      </c>
      <c r="D1632" s="4">
        <v>41165</v>
      </c>
      <c r="E1632" s="11">
        <v>42278</v>
      </c>
      <c r="F1632" s="2">
        <f t="shared" si="364"/>
        <v>45931</v>
      </c>
      <c r="G1632" s="6">
        <v>1197.92</v>
      </c>
      <c r="H1632" s="7" t="s">
        <v>5136</v>
      </c>
      <c r="I1632" s="7" t="s">
        <v>79</v>
      </c>
      <c r="J1632" s="109"/>
      <c r="K1632" s="266">
        <f t="shared" si="360"/>
        <v>2025</v>
      </c>
      <c r="L1632" s="391" t="s">
        <v>5910</v>
      </c>
      <c r="M1632" s="390" t="s">
        <v>5809</v>
      </c>
      <c r="N1632" s="32" t="s">
        <v>7788</v>
      </c>
      <c r="O1632" s="32" t="s">
        <v>5145</v>
      </c>
      <c r="P1632" s="278"/>
      <c r="Q1632" s="233" t="s">
        <v>5144</v>
      </c>
      <c r="R1632" s="75">
        <v>4343</v>
      </c>
      <c r="S1632" s="75">
        <v>0</v>
      </c>
      <c r="T1632" s="75">
        <v>4343</v>
      </c>
      <c r="U1632" s="200">
        <v>1797</v>
      </c>
      <c r="V1632" s="287">
        <f t="shared" ca="1" si="361"/>
        <v>5</v>
      </c>
      <c r="W1632" s="75">
        <f t="shared" ca="1" si="362"/>
        <v>8985</v>
      </c>
      <c r="X1632" s="200">
        <f t="shared" ca="1" si="358"/>
        <v>11531</v>
      </c>
      <c r="Y1632" s="1"/>
      <c r="Z1632" s="31">
        <v>0.1</v>
      </c>
      <c r="AA1632" s="223">
        <v>0.09</v>
      </c>
      <c r="AB1632" s="302" t="s">
        <v>7292</v>
      </c>
      <c r="AC1632" s="302"/>
      <c r="AD1632" s="309">
        <v>0.25</v>
      </c>
      <c r="AE1632" s="302" t="s">
        <v>6210</v>
      </c>
      <c r="AF1632">
        <f t="shared" si="363"/>
        <v>0</v>
      </c>
    </row>
    <row r="1633" spans="1:32" ht="26.25" hidden="1" x14ac:dyDescent="0.25">
      <c r="A1633" s="322" t="s">
        <v>4435</v>
      </c>
      <c r="B1633" s="93" t="str">
        <f t="shared" si="359"/>
        <v>YES</v>
      </c>
      <c r="C1633" s="93" t="s">
        <v>5503</v>
      </c>
      <c r="D1633" s="4">
        <v>41165</v>
      </c>
      <c r="E1633" s="11">
        <v>42278</v>
      </c>
      <c r="F1633" s="2">
        <f t="shared" si="364"/>
        <v>45931</v>
      </c>
      <c r="G1633" s="6">
        <v>1073.29</v>
      </c>
      <c r="H1633" s="7" t="s">
        <v>5136</v>
      </c>
      <c r="I1633" s="7" t="s">
        <v>79</v>
      </c>
      <c r="J1633" s="109"/>
      <c r="K1633" s="266">
        <f t="shared" si="360"/>
        <v>2025</v>
      </c>
      <c r="L1633" s="391" t="s">
        <v>5910</v>
      </c>
      <c r="M1633" s="390" t="s">
        <v>5809</v>
      </c>
      <c r="N1633" s="32" t="s">
        <v>7788</v>
      </c>
      <c r="O1633" s="32" t="s">
        <v>5147</v>
      </c>
      <c r="P1633" s="278"/>
      <c r="Q1633" s="233" t="s">
        <v>5146</v>
      </c>
      <c r="R1633" s="75">
        <v>3909</v>
      </c>
      <c r="S1633" s="75">
        <v>0</v>
      </c>
      <c r="T1633" s="75">
        <v>3909</v>
      </c>
      <c r="U1633" s="200">
        <v>1611</v>
      </c>
      <c r="V1633" s="287">
        <f t="shared" ca="1" si="361"/>
        <v>5</v>
      </c>
      <c r="W1633" s="75">
        <f t="shared" ca="1" si="362"/>
        <v>8055</v>
      </c>
      <c r="X1633" s="200">
        <f t="shared" ca="1" si="358"/>
        <v>10353</v>
      </c>
      <c r="Y1633" s="1"/>
      <c r="Z1633" s="31">
        <v>0.1</v>
      </c>
      <c r="AA1633" s="223">
        <v>0.09</v>
      </c>
      <c r="AB1633" s="302" t="s">
        <v>7293</v>
      </c>
      <c r="AC1633" s="302"/>
      <c r="AD1633" s="309">
        <v>0.25</v>
      </c>
      <c r="AE1633" s="302" t="s">
        <v>6210</v>
      </c>
      <c r="AF1633">
        <f t="shared" si="363"/>
        <v>0</v>
      </c>
    </row>
    <row r="1634" spans="1:32" hidden="1" x14ac:dyDescent="0.25">
      <c r="A1634" s="322" t="s">
        <v>4436</v>
      </c>
      <c r="B1634" s="93" t="str">
        <f t="shared" si="359"/>
        <v>YES</v>
      </c>
      <c r="C1634" s="93" t="s">
        <v>5503</v>
      </c>
      <c r="D1634" s="4">
        <v>41165</v>
      </c>
      <c r="E1634" s="11">
        <v>42278</v>
      </c>
      <c r="F1634" s="2">
        <f t="shared" si="364"/>
        <v>45931</v>
      </c>
      <c r="G1634" s="6">
        <v>646.21</v>
      </c>
      <c r="H1634" s="7" t="s">
        <v>5136</v>
      </c>
      <c r="I1634" s="7" t="s">
        <v>79</v>
      </c>
      <c r="J1634" s="109"/>
      <c r="K1634" s="266">
        <f t="shared" si="360"/>
        <v>2025</v>
      </c>
      <c r="L1634" s="391" t="s">
        <v>5910</v>
      </c>
      <c r="M1634" s="390" t="s">
        <v>5809</v>
      </c>
      <c r="N1634" s="32" t="s">
        <v>7788</v>
      </c>
      <c r="O1634" s="32" t="s">
        <v>5149</v>
      </c>
      <c r="P1634" s="278"/>
      <c r="Q1634" s="233" t="s">
        <v>5148</v>
      </c>
      <c r="R1634" s="75">
        <v>2414.5</v>
      </c>
      <c r="S1634" s="75">
        <v>0</v>
      </c>
      <c r="T1634" s="75">
        <v>2414.5</v>
      </c>
      <c r="U1634" s="200">
        <v>970.5</v>
      </c>
      <c r="V1634" s="287">
        <f t="shared" ca="1" si="361"/>
        <v>5</v>
      </c>
      <c r="W1634" s="75">
        <f t="shared" ca="1" si="362"/>
        <v>4852.5</v>
      </c>
      <c r="X1634" s="200">
        <f t="shared" ca="1" si="358"/>
        <v>6296.5</v>
      </c>
      <c r="Y1634" s="1"/>
      <c r="Z1634" s="31">
        <v>0.1</v>
      </c>
      <c r="AA1634" s="223">
        <v>0.09</v>
      </c>
      <c r="AB1634" s="302" t="s">
        <v>7294</v>
      </c>
      <c r="AC1634" s="302"/>
      <c r="AD1634" s="309">
        <v>0.25</v>
      </c>
      <c r="AE1634" s="302" t="s">
        <v>6210</v>
      </c>
      <c r="AF1634">
        <f t="shared" si="363"/>
        <v>0</v>
      </c>
    </row>
    <row r="1635" spans="1:32" ht="26.25" hidden="1" customHeight="1" x14ac:dyDescent="0.25">
      <c r="A1635" s="322" t="s">
        <v>4437</v>
      </c>
      <c r="B1635" s="93" t="str">
        <f t="shared" si="359"/>
        <v>YES</v>
      </c>
      <c r="C1635" s="93" t="s">
        <v>5503</v>
      </c>
      <c r="D1635" s="4">
        <v>41165</v>
      </c>
      <c r="E1635" s="11">
        <v>42278</v>
      </c>
      <c r="F1635" s="2">
        <f t="shared" si="364"/>
        <v>45931</v>
      </c>
      <c r="G1635" s="6">
        <v>1206.6600000000001</v>
      </c>
      <c r="H1635" s="7" t="s">
        <v>5136</v>
      </c>
      <c r="I1635" s="7" t="s">
        <v>79</v>
      </c>
      <c r="J1635" s="109"/>
      <c r="K1635" s="266">
        <f t="shared" si="360"/>
        <v>2025</v>
      </c>
      <c r="L1635" s="391" t="s">
        <v>5910</v>
      </c>
      <c r="M1635" s="390" t="s">
        <v>5809</v>
      </c>
      <c r="N1635" s="32" t="s">
        <v>7788</v>
      </c>
      <c r="O1635" s="32" t="s">
        <v>5151</v>
      </c>
      <c r="P1635" s="278"/>
      <c r="Q1635" s="233" t="s">
        <v>5150</v>
      </c>
      <c r="R1635" s="75">
        <v>4374.5</v>
      </c>
      <c r="S1635" s="75">
        <v>0</v>
      </c>
      <c r="T1635" s="75">
        <v>4374.5</v>
      </c>
      <c r="U1635" s="200">
        <v>1810.5</v>
      </c>
      <c r="V1635" s="287">
        <f t="shared" ca="1" si="361"/>
        <v>5</v>
      </c>
      <c r="W1635" s="75">
        <f t="shared" ca="1" si="362"/>
        <v>9052.5</v>
      </c>
      <c r="X1635" s="200">
        <f t="shared" ca="1" si="358"/>
        <v>11616.5</v>
      </c>
      <c r="Y1635" s="1"/>
      <c r="Z1635" s="31">
        <v>0.1</v>
      </c>
      <c r="AA1635" s="223">
        <v>0.09</v>
      </c>
      <c r="AB1635" s="302" t="s">
        <v>7295</v>
      </c>
      <c r="AC1635" s="302"/>
      <c r="AD1635" s="309">
        <v>0.25</v>
      </c>
      <c r="AE1635" s="302" t="s">
        <v>6210</v>
      </c>
      <c r="AF1635">
        <f t="shared" si="363"/>
        <v>0</v>
      </c>
    </row>
    <row r="1636" spans="1:32" hidden="1" x14ac:dyDescent="0.25">
      <c r="A1636" s="322" t="s">
        <v>4438</v>
      </c>
      <c r="B1636" s="93" t="str">
        <f t="shared" si="359"/>
        <v>YES</v>
      </c>
      <c r="C1636" s="93" t="s">
        <v>5503</v>
      </c>
      <c r="D1636" s="4">
        <v>41165</v>
      </c>
      <c r="E1636" s="11">
        <v>42278</v>
      </c>
      <c r="F1636" s="2">
        <f t="shared" si="364"/>
        <v>45931</v>
      </c>
      <c r="G1636" s="6">
        <v>1297.72</v>
      </c>
      <c r="H1636" s="7" t="s">
        <v>5136</v>
      </c>
      <c r="I1636" s="7" t="s">
        <v>79</v>
      </c>
      <c r="J1636" s="109"/>
      <c r="K1636" s="266">
        <f t="shared" si="360"/>
        <v>2025</v>
      </c>
      <c r="L1636" s="391" t="s">
        <v>5910</v>
      </c>
      <c r="M1636" s="390" t="s">
        <v>5809</v>
      </c>
      <c r="N1636" s="32" t="s">
        <v>7788</v>
      </c>
      <c r="O1636" s="32" t="s">
        <v>5153</v>
      </c>
      <c r="P1636" s="278"/>
      <c r="Q1636" s="233" t="s">
        <v>5152</v>
      </c>
      <c r="R1636" s="75">
        <v>4693</v>
      </c>
      <c r="S1636" s="75">
        <v>0</v>
      </c>
      <c r="T1636" s="75">
        <v>4693</v>
      </c>
      <c r="U1636" s="200">
        <v>1947</v>
      </c>
      <c r="V1636" s="287">
        <f t="shared" ca="1" si="361"/>
        <v>5</v>
      </c>
      <c r="W1636" s="75">
        <f t="shared" ca="1" si="362"/>
        <v>9735</v>
      </c>
      <c r="X1636" s="200">
        <f t="shared" ca="1" si="358"/>
        <v>12481</v>
      </c>
      <c r="Y1636" s="1"/>
      <c r="Z1636" s="31">
        <v>0.1</v>
      </c>
      <c r="AA1636" s="223">
        <v>0.09</v>
      </c>
      <c r="AB1636" s="302" t="s">
        <v>7296</v>
      </c>
      <c r="AC1636" s="302"/>
      <c r="AD1636" s="309">
        <v>0.25</v>
      </c>
      <c r="AE1636" s="302" t="s">
        <v>6210</v>
      </c>
      <c r="AF1636">
        <f t="shared" si="363"/>
        <v>0</v>
      </c>
    </row>
    <row r="1637" spans="1:32" ht="26.25" hidden="1" x14ac:dyDescent="0.25">
      <c r="A1637" s="322" t="s">
        <v>4439</v>
      </c>
      <c r="B1637" s="93" t="str">
        <f t="shared" si="359"/>
        <v>YES</v>
      </c>
      <c r="C1637" s="93" t="s">
        <v>5503</v>
      </c>
      <c r="D1637" s="4">
        <v>41165</v>
      </c>
      <c r="E1637" s="11">
        <v>42278</v>
      </c>
      <c r="F1637" s="2">
        <f t="shared" si="364"/>
        <v>45931</v>
      </c>
      <c r="G1637" s="6">
        <v>957.39</v>
      </c>
      <c r="H1637" s="7" t="s">
        <v>5136</v>
      </c>
      <c r="I1637" s="7" t="s">
        <v>79</v>
      </c>
      <c r="J1637" s="109"/>
      <c r="K1637" s="266">
        <f t="shared" si="360"/>
        <v>2025</v>
      </c>
      <c r="L1637" s="391" t="s">
        <v>5910</v>
      </c>
      <c r="M1637" s="390" t="s">
        <v>5809</v>
      </c>
      <c r="N1637" s="32" t="s">
        <v>7788</v>
      </c>
      <c r="O1637" s="32" t="s">
        <v>5155</v>
      </c>
      <c r="P1637" s="278" t="s">
        <v>5156</v>
      </c>
      <c r="Q1637" s="233" t="s">
        <v>5154</v>
      </c>
      <c r="R1637" s="75">
        <v>3503</v>
      </c>
      <c r="S1637" s="75">
        <v>0</v>
      </c>
      <c r="T1637" s="75">
        <v>3503</v>
      </c>
      <c r="U1637" s="200">
        <v>1437</v>
      </c>
      <c r="V1637" s="287">
        <f t="shared" ca="1" si="361"/>
        <v>5</v>
      </c>
      <c r="W1637" s="75">
        <f t="shared" ca="1" si="362"/>
        <v>7185</v>
      </c>
      <c r="X1637" s="200">
        <f t="shared" ca="1" si="358"/>
        <v>9251</v>
      </c>
      <c r="Y1637" s="1"/>
      <c r="Z1637" s="31">
        <v>0.1</v>
      </c>
      <c r="AA1637" s="223">
        <v>0.09</v>
      </c>
      <c r="AB1637" s="302" t="s">
        <v>7297</v>
      </c>
      <c r="AC1637" s="302"/>
      <c r="AD1637" s="309">
        <v>0.25</v>
      </c>
      <c r="AE1637" s="302" t="s">
        <v>6210</v>
      </c>
      <c r="AF1637">
        <f t="shared" si="363"/>
        <v>0</v>
      </c>
    </row>
    <row r="1638" spans="1:32" hidden="1" x14ac:dyDescent="0.25">
      <c r="A1638" s="322" t="s">
        <v>4440</v>
      </c>
      <c r="B1638" s="93" t="str">
        <f t="shared" si="359"/>
        <v>YES</v>
      </c>
      <c r="C1638" s="93" t="s">
        <v>5503</v>
      </c>
      <c r="D1638" s="4">
        <v>41165</v>
      </c>
      <c r="E1638" s="11">
        <v>42278</v>
      </c>
      <c r="F1638" s="2">
        <f t="shared" si="364"/>
        <v>45931</v>
      </c>
      <c r="G1638" s="6">
        <v>1002.23</v>
      </c>
      <c r="H1638" s="7" t="s">
        <v>5136</v>
      </c>
      <c r="I1638" s="7" t="s">
        <v>79</v>
      </c>
      <c r="J1638" s="109"/>
      <c r="K1638" s="266">
        <f t="shared" si="360"/>
        <v>2025</v>
      </c>
      <c r="L1638" s="391" t="s">
        <v>5910</v>
      </c>
      <c r="M1638" s="390" t="s">
        <v>5809</v>
      </c>
      <c r="N1638" s="32" t="s">
        <v>7788</v>
      </c>
      <c r="O1638" s="32" t="s">
        <v>5158</v>
      </c>
      <c r="P1638" s="278"/>
      <c r="Q1638" s="233" t="s">
        <v>5157</v>
      </c>
      <c r="R1638" s="75">
        <v>3660.5</v>
      </c>
      <c r="S1638" s="75">
        <v>0</v>
      </c>
      <c r="T1638" s="75">
        <v>3660.5</v>
      </c>
      <c r="U1638" s="200">
        <v>1504.5</v>
      </c>
      <c r="V1638" s="287">
        <f t="shared" ca="1" si="361"/>
        <v>5</v>
      </c>
      <c r="W1638" s="75">
        <f t="shared" ca="1" si="362"/>
        <v>7522.5</v>
      </c>
      <c r="X1638" s="200">
        <f t="shared" ca="1" si="358"/>
        <v>9678.5</v>
      </c>
      <c r="Y1638" s="1"/>
      <c r="Z1638" s="31">
        <v>0.1</v>
      </c>
      <c r="AA1638" s="223">
        <v>0.09</v>
      </c>
      <c r="AB1638" s="302" t="s">
        <v>7298</v>
      </c>
      <c r="AC1638" s="302"/>
      <c r="AD1638" s="309">
        <v>0.25</v>
      </c>
      <c r="AE1638" s="302" t="s">
        <v>6210</v>
      </c>
      <c r="AF1638">
        <f t="shared" si="363"/>
        <v>0</v>
      </c>
    </row>
    <row r="1639" spans="1:32" hidden="1" x14ac:dyDescent="0.25">
      <c r="A1639" s="322" t="s">
        <v>4441</v>
      </c>
      <c r="B1639" s="93" t="str">
        <f t="shared" si="359"/>
        <v>YES</v>
      </c>
      <c r="C1639" s="93" t="s">
        <v>5503</v>
      </c>
      <c r="D1639" s="4">
        <v>41165</v>
      </c>
      <c r="E1639" s="11">
        <v>42278</v>
      </c>
      <c r="F1639" s="2">
        <f t="shared" si="364"/>
        <v>45931</v>
      </c>
      <c r="G1639" s="6">
        <v>1125.48</v>
      </c>
      <c r="H1639" s="7" t="s">
        <v>5136</v>
      </c>
      <c r="I1639" s="7" t="s">
        <v>79</v>
      </c>
      <c r="J1639" s="109"/>
      <c r="K1639" s="266">
        <f t="shared" si="360"/>
        <v>2025</v>
      </c>
      <c r="L1639" s="391" t="s">
        <v>5910</v>
      </c>
      <c r="M1639" s="390" t="s">
        <v>5809</v>
      </c>
      <c r="N1639" s="32" t="s">
        <v>7788</v>
      </c>
      <c r="O1639" s="32" t="s">
        <v>5160</v>
      </c>
      <c r="P1639" s="278"/>
      <c r="Q1639" s="233" t="s">
        <v>5159</v>
      </c>
      <c r="R1639" s="75">
        <v>4091</v>
      </c>
      <c r="S1639" s="75">
        <v>0</v>
      </c>
      <c r="T1639" s="75">
        <v>4091</v>
      </c>
      <c r="U1639" s="200">
        <v>1689</v>
      </c>
      <c r="V1639" s="287">
        <f t="shared" ca="1" si="361"/>
        <v>5</v>
      </c>
      <c r="W1639" s="75">
        <f t="shared" ca="1" si="362"/>
        <v>8445</v>
      </c>
      <c r="X1639" s="200">
        <f t="shared" ca="1" si="358"/>
        <v>10847</v>
      </c>
      <c r="Y1639" s="1"/>
      <c r="Z1639" s="31">
        <v>0.1</v>
      </c>
      <c r="AA1639" s="223">
        <v>0.09</v>
      </c>
      <c r="AB1639" s="302" t="s">
        <v>7299</v>
      </c>
      <c r="AC1639" s="302"/>
      <c r="AD1639" s="309">
        <v>0.25</v>
      </c>
      <c r="AE1639" s="302" t="s">
        <v>6210</v>
      </c>
      <c r="AF1639">
        <f t="shared" si="363"/>
        <v>0</v>
      </c>
    </row>
    <row r="1640" spans="1:32" hidden="1" x14ac:dyDescent="0.25">
      <c r="A1640" s="322" t="s">
        <v>4442</v>
      </c>
      <c r="B1640" s="93" t="str">
        <f t="shared" ref="B1640" si="365">IF(COUNTIF(GIS,A1640),"YES","NO")</f>
        <v>YES</v>
      </c>
      <c r="C1640" s="93" t="s">
        <v>5503</v>
      </c>
      <c r="D1640" s="4">
        <v>41165</v>
      </c>
      <c r="E1640" s="11">
        <v>42248</v>
      </c>
      <c r="F1640" s="2">
        <f>DATE(YEAR(E1640)+10,MONTH(E1640),DAY(E1640))</f>
        <v>45901</v>
      </c>
      <c r="G1640" s="6">
        <v>903.46</v>
      </c>
      <c r="H1640" s="7" t="s">
        <v>5136</v>
      </c>
      <c r="I1640" s="7" t="s">
        <v>79</v>
      </c>
      <c r="J1640" s="109"/>
      <c r="K1640" s="266">
        <f t="shared" si="360"/>
        <v>2025</v>
      </c>
      <c r="L1640" s="391" t="s">
        <v>5910</v>
      </c>
      <c r="M1640" s="390" t="s">
        <v>5809</v>
      </c>
      <c r="N1640" s="32" t="s">
        <v>7788</v>
      </c>
      <c r="O1640" s="32" t="s">
        <v>5162</v>
      </c>
      <c r="P1640" s="278"/>
      <c r="Q1640" s="233" t="s">
        <v>5161</v>
      </c>
      <c r="R1640" s="75">
        <v>3314</v>
      </c>
      <c r="S1640" s="75">
        <v>0</v>
      </c>
      <c r="T1640" s="75">
        <v>3314</v>
      </c>
      <c r="U1640" s="200">
        <v>1356</v>
      </c>
      <c r="V1640" s="287">
        <f t="shared" ca="1" si="361"/>
        <v>5</v>
      </c>
      <c r="W1640" s="75">
        <f t="shared" ref="W1640" ca="1" si="366">IF(V1640&lt;6, ROUNDUP(G1640,0)*$W$6*V1640, ROUNDUP(G1640,0)*($W$6*5 + (V1640-5)*$W$7))</f>
        <v>6780</v>
      </c>
      <c r="X1640" s="200">
        <f t="shared" ref="X1640" ca="1" si="367">IF(V1640=0,T1640,((T1640-ROUNDUP(G1640,0)*1.5)+W1640))</f>
        <v>8738</v>
      </c>
      <c r="Y1640" s="1"/>
      <c r="Z1640" s="31">
        <v>0.1</v>
      </c>
      <c r="AA1640" s="223">
        <v>0.09</v>
      </c>
      <c r="AB1640" s="302" t="s">
        <v>7300</v>
      </c>
      <c r="AC1640" s="302"/>
      <c r="AD1640" s="309">
        <v>0.25</v>
      </c>
      <c r="AE1640" s="302" t="s">
        <v>6210</v>
      </c>
      <c r="AF1640">
        <f t="shared" si="363"/>
        <v>0</v>
      </c>
    </row>
    <row r="1641" spans="1:32" ht="15.75" hidden="1" thickBot="1" x14ac:dyDescent="0.3">
      <c r="A1641" s="322"/>
      <c r="D1641" s="4"/>
      <c r="E1641" s="11"/>
      <c r="F1641" s="2"/>
      <c r="G1641" s="6"/>
      <c r="H1641" s="7"/>
      <c r="I1641" s="7"/>
      <c r="J1641" s="186"/>
      <c r="K1641" s="186"/>
      <c r="L1641" s="386"/>
      <c r="M1641" s="386"/>
      <c r="N1641" s="32"/>
      <c r="O1641" s="32"/>
      <c r="P1641" s="278"/>
      <c r="Q1641" s="233"/>
      <c r="R1641" s="76">
        <v>117539.5</v>
      </c>
      <c r="S1641" s="76">
        <v>424336</v>
      </c>
      <c r="T1641" s="76">
        <v>541875.5</v>
      </c>
      <c r="U1641" s="200"/>
      <c r="V1641" s="75"/>
      <c r="W1641" s="75"/>
      <c r="X1641" s="200"/>
      <c r="Y1641" s="1"/>
      <c r="Z1641" s="77"/>
      <c r="AA1641" s="225"/>
      <c r="AB1641" s="302"/>
      <c r="AC1641" s="302"/>
      <c r="AD1641" s="302"/>
      <c r="AE1641" s="302"/>
      <c r="AF1641">
        <f t="shared" si="363"/>
        <v>0</v>
      </c>
    </row>
    <row r="1642" spans="1:32" hidden="1" x14ac:dyDescent="0.25">
      <c r="A1642" s="322"/>
      <c r="D1642" s="7"/>
      <c r="E1642" s="8"/>
      <c r="F1642" s="2"/>
      <c r="G1642" s="6"/>
      <c r="H1642" s="7"/>
      <c r="I1642" s="7"/>
      <c r="J1642" s="186"/>
      <c r="K1642" s="186"/>
      <c r="L1642" s="386"/>
      <c r="M1642" s="386"/>
      <c r="N1642" s="32"/>
      <c r="O1642" s="32"/>
      <c r="P1642" s="278"/>
      <c r="Q1642" s="233"/>
      <c r="R1642" s="75"/>
      <c r="S1642" s="75"/>
      <c r="T1642" s="75"/>
      <c r="U1642" s="200"/>
      <c r="V1642" s="75"/>
      <c r="W1642" s="75"/>
      <c r="X1642" s="200"/>
      <c r="Y1642" s="1"/>
      <c r="Z1642" s="77"/>
      <c r="AA1642" s="225"/>
      <c r="AB1642" s="302"/>
      <c r="AC1642" s="302"/>
      <c r="AD1642" s="302"/>
      <c r="AE1642" s="302"/>
      <c r="AF1642">
        <f t="shared" si="363"/>
        <v>0</v>
      </c>
    </row>
    <row r="1643" spans="1:32" hidden="1" x14ac:dyDescent="0.25">
      <c r="A1643" s="322" t="s">
        <v>4443</v>
      </c>
      <c r="B1643" s="93" t="str">
        <f t="shared" ref="B1643:B1674" si="368">IF(COUNTIF(GIS,A1643),"YES","NO")</f>
        <v>YES</v>
      </c>
      <c r="C1643" s="93" t="s">
        <v>5503</v>
      </c>
      <c r="D1643" s="4">
        <v>41256</v>
      </c>
      <c r="E1643" s="11">
        <v>41306</v>
      </c>
      <c r="F1643" s="2">
        <f t="shared" ref="F1643:F1698" si="369">DATE(YEAR(E1643)+10,MONTH(E1643),DAY(E1643))</f>
        <v>44958</v>
      </c>
      <c r="G1643" s="6">
        <v>75.48</v>
      </c>
      <c r="H1643" s="7" t="s">
        <v>4445</v>
      </c>
      <c r="I1643" s="7" t="s">
        <v>79</v>
      </c>
      <c r="J1643" s="189"/>
      <c r="K1643" s="266">
        <f>YEAR(F1643)</f>
        <v>2023</v>
      </c>
      <c r="L1643" s="391" t="s">
        <v>7522</v>
      </c>
      <c r="M1643" s="390" t="s">
        <v>7607</v>
      </c>
      <c r="N1643" s="32" t="s">
        <v>7783</v>
      </c>
      <c r="O1643" s="32" t="s">
        <v>4446</v>
      </c>
      <c r="P1643" s="278"/>
      <c r="Q1643" s="233" t="s">
        <v>4444</v>
      </c>
      <c r="R1643" s="75">
        <v>416</v>
      </c>
      <c r="S1643" s="75">
        <v>0</v>
      </c>
      <c r="T1643" s="75">
        <v>416</v>
      </c>
      <c r="U1643" s="200">
        <v>114</v>
      </c>
      <c r="V1643" s="287">
        <f ca="1">IF(YEAR($W$3)-YEAR(E1643)&gt;9,10,IF(MONTH($W$3)&lt;MONTH(E1643),YEAR($W$3)-YEAR(E1643),YEAR($W$3)-YEAR(E1643)+1))</f>
        <v>7</v>
      </c>
      <c r="W1643" s="75">
        <f ca="1">IF(V1643&lt;6, ROUNDUP(G1643,0)*$W$6*V1643, ROUNDUP(G1643,0)*($W$6*5 + (V1643-5)*$W$7))</f>
        <v>874</v>
      </c>
      <c r="X1643" s="200">
        <f ca="1">IF(V1643=0,T1643,((T1643-ROUNDUP(G1643,0)*1.5)+W1643))</f>
        <v>1176</v>
      </c>
      <c r="Y1643" s="1"/>
      <c r="Z1643" s="31">
        <v>0.1</v>
      </c>
      <c r="AA1643" s="223">
        <v>0.09</v>
      </c>
      <c r="AB1643" s="302" t="s">
        <v>7845</v>
      </c>
      <c r="AC1643" s="302"/>
      <c r="AD1643" s="302"/>
      <c r="AE1643" s="302"/>
      <c r="AF1643">
        <f t="shared" si="363"/>
        <v>0</v>
      </c>
    </row>
    <row r="1644" spans="1:32" hidden="1" x14ac:dyDescent="0.25">
      <c r="A1644" s="322" t="s">
        <v>4447</v>
      </c>
      <c r="B1644" s="93" t="str">
        <f t="shared" si="368"/>
        <v>NO</v>
      </c>
      <c r="C1644" s="93" t="s">
        <v>5503</v>
      </c>
      <c r="D1644" s="4">
        <v>41256</v>
      </c>
      <c r="E1644" s="2">
        <v>43831</v>
      </c>
      <c r="F1644" s="2">
        <f t="shared" si="369"/>
        <v>47484</v>
      </c>
      <c r="G1644" s="6">
        <v>40</v>
      </c>
      <c r="H1644" s="7" t="s">
        <v>324</v>
      </c>
      <c r="I1644" s="7" t="s">
        <v>79</v>
      </c>
      <c r="J1644" s="109"/>
      <c r="K1644" s="266">
        <f t="shared" ref="K1644:K1698" si="370">YEAR(F1644)</f>
        <v>2030</v>
      </c>
      <c r="L1644" s="391" t="s">
        <v>5910</v>
      </c>
      <c r="M1644" s="391" t="s">
        <v>7574</v>
      </c>
      <c r="N1644" s="32" t="s">
        <v>7783</v>
      </c>
      <c r="O1644" s="32" t="s">
        <v>8202</v>
      </c>
      <c r="P1644" s="278"/>
      <c r="Q1644" s="233" t="s">
        <v>8208</v>
      </c>
      <c r="R1644" s="75">
        <v>290</v>
      </c>
      <c r="S1644" s="75">
        <v>360</v>
      </c>
      <c r="T1644" s="75">
        <v>650</v>
      </c>
      <c r="U1644" s="200">
        <v>60</v>
      </c>
      <c r="V1644" s="75"/>
      <c r="W1644" s="75"/>
      <c r="X1644" s="200"/>
      <c r="Y1644" s="1"/>
      <c r="Z1644" s="31">
        <v>0.1</v>
      </c>
      <c r="AA1644" s="223">
        <v>0.09</v>
      </c>
      <c r="AB1644" s="302"/>
      <c r="AC1644" s="302"/>
      <c r="AD1644" s="302"/>
      <c r="AE1644" s="302"/>
      <c r="AF1644">
        <f t="shared" si="363"/>
        <v>0</v>
      </c>
    </row>
    <row r="1645" spans="1:32" ht="26.25" hidden="1" x14ac:dyDescent="0.25">
      <c r="A1645" s="322" t="s">
        <v>4448</v>
      </c>
      <c r="B1645" s="93" t="str">
        <f t="shared" si="368"/>
        <v>NO</v>
      </c>
      <c r="C1645" s="93" t="s">
        <v>5503</v>
      </c>
      <c r="D1645" s="4">
        <v>41256</v>
      </c>
      <c r="E1645" s="2"/>
      <c r="F1645" s="2"/>
      <c r="G1645" s="6">
        <v>207.96</v>
      </c>
      <c r="H1645" s="7" t="s">
        <v>324</v>
      </c>
      <c r="I1645" s="7" t="s">
        <v>79</v>
      </c>
      <c r="J1645" s="109" t="s">
        <v>8200</v>
      </c>
      <c r="K1645" s="266"/>
      <c r="L1645" s="391"/>
      <c r="M1645" s="391"/>
      <c r="N1645" s="32"/>
      <c r="O1645" s="32"/>
      <c r="P1645" s="278"/>
      <c r="Q1645" s="233"/>
      <c r="R1645" s="75">
        <v>878</v>
      </c>
      <c r="S1645" s="75">
        <v>1872</v>
      </c>
      <c r="T1645" s="75">
        <v>2750</v>
      </c>
      <c r="U1645" s="200"/>
      <c r="V1645" s="75"/>
      <c r="W1645" s="75"/>
      <c r="X1645" s="200"/>
      <c r="Y1645" s="1"/>
      <c r="Z1645" s="31">
        <v>0.1</v>
      </c>
      <c r="AA1645" s="223">
        <v>0.09</v>
      </c>
      <c r="AB1645" s="302"/>
      <c r="AC1645" s="302"/>
      <c r="AD1645" s="302"/>
      <c r="AE1645" s="302"/>
      <c r="AF1645">
        <f t="shared" si="363"/>
        <v>0</v>
      </c>
    </row>
    <row r="1646" spans="1:32" hidden="1" x14ac:dyDescent="0.25">
      <c r="A1646" s="322" t="s">
        <v>4449</v>
      </c>
      <c r="B1646" s="93" t="str">
        <f t="shared" si="368"/>
        <v>NO</v>
      </c>
      <c r="C1646" s="93" t="s">
        <v>5503</v>
      </c>
      <c r="D1646" s="4">
        <v>41256</v>
      </c>
      <c r="E1646" s="2">
        <v>43831</v>
      </c>
      <c r="F1646" s="2">
        <f t="shared" si="369"/>
        <v>47484</v>
      </c>
      <c r="G1646" s="6">
        <v>351.97</v>
      </c>
      <c r="H1646" s="7" t="s">
        <v>324</v>
      </c>
      <c r="I1646" s="7" t="s">
        <v>79</v>
      </c>
      <c r="J1646" s="109"/>
      <c r="K1646" s="266">
        <f t="shared" si="370"/>
        <v>2030</v>
      </c>
      <c r="L1646" s="391" t="s">
        <v>5910</v>
      </c>
      <c r="M1646" s="391" t="s">
        <v>7574</v>
      </c>
      <c r="N1646" s="32" t="s">
        <v>7783</v>
      </c>
      <c r="O1646" s="32" t="s">
        <v>8204</v>
      </c>
      <c r="P1646" s="278"/>
      <c r="Q1646" s="233" t="s">
        <v>8207</v>
      </c>
      <c r="R1646" s="75">
        <v>1382</v>
      </c>
      <c r="S1646" s="75">
        <v>2816</v>
      </c>
      <c r="T1646" s="75">
        <v>4198</v>
      </c>
      <c r="U1646" s="200">
        <v>528</v>
      </c>
      <c r="V1646" s="75"/>
      <c r="W1646" s="75"/>
      <c r="X1646" s="200"/>
      <c r="Y1646" s="1"/>
      <c r="Z1646" s="31">
        <v>0.1</v>
      </c>
      <c r="AA1646" s="223">
        <v>0.09</v>
      </c>
      <c r="AB1646" s="302"/>
      <c r="AC1646" s="302"/>
      <c r="AD1646" s="302"/>
      <c r="AE1646" s="302"/>
      <c r="AF1646">
        <f t="shared" si="363"/>
        <v>0</v>
      </c>
    </row>
    <row r="1647" spans="1:32" ht="26.25" hidden="1" x14ac:dyDescent="0.25">
      <c r="A1647" s="322" t="s">
        <v>4450</v>
      </c>
      <c r="B1647" s="93" t="str">
        <f t="shared" si="368"/>
        <v>NO</v>
      </c>
      <c r="C1647" s="93" t="s">
        <v>5503</v>
      </c>
      <c r="D1647" s="4">
        <v>41256</v>
      </c>
      <c r="E1647" s="2"/>
      <c r="F1647" s="2"/>
      <c r="G1647" s="6">
        <v>205.7</v>
      </c>
      <c r="H1647" s="7" t="s">
        <v>324</v>
      </c>
      <c r="I1647" s="7" t="s">
        <v>79</v>
      </c>
      <c r="J1647" s="109" t="s">
        <v>8200</v>
      </c>
      <c r="K1647" s="266"/>
      <c r="L1647" s="391"/>
      <c r="M1647" s="391"/>
      <c r="N1647" s="32"/>
      <c r="O1647" s="32"/>
      <c r="P1647" s="278"/>
      <c r="Q1647" s="233"/>
      <c r="R1647" s="75">
        <v>871</v>
      </c>
      <c r="S1647" s="75">
        <v>1854</v>
      </c>
      <c r="T1647" s="75">
        <v>2725</v>
      </c>
      <c r="U1647" s="200"/>
      <c r="V1647" s="75"/>
      <c r="W1647" s="75"/>
      <c r="X1647" s="200"/>
      <c r="Y1647" s="1"/>
      <c r="Z1647" s="31">
        <v>0.1</v>
      </c>
      <c r="AA1647" s="223">
        <v>0.09</v>
      </c>
      <c r="AB1647" s="302"/>
      <c r="AC1647" s="302"/>
      <c r="AD1647" s="302"/>
      <c r="AE1647" s="302"/>
      <c r="AF1647">
        <f t="shared" si="363"/>
        <v>0</v>
      </c>
    </row>
    <row r="1648" spans="1:32" hidden="1" x14ac:dyDescent="0.25">
      <c r="A1648" s="322" t="s">
        <v>4451</v>
      </c>
      <c r="B1648" s="93" t="str">
        <f t="shared" si="368"/>
        <v>NO</v>
      </c>
      <c r="C1648" s="93" t="s">
        <v>5503</v>
      </c>
      <c r="D1648" s="4">
        <v>41256</v>
      </c>
      <c r="E1648" s="2">
        <v>43831</v>
      </c>
      <c r="F1648" s="2">
        <f t="shared" si="369"/>
        <v>47484</v>
      </c>
      <c r="G1648" s="6">
        <v>119.5</v>
      </c>
      <c r="H1648" s="7" t="s">
        <v>324</v>
      </c>
      <c r="I1648" s="7" t="s">
        <v>79</v>
      </c>
      <c r="J1648" s="109"/>
      <c r="K1648" s="266">
        <f t="shared" si="370"/>
        <v>2030</v>
      </c>
      <c r="L1648" s="391" t="s">
        <v>5793</v>
      </c>
      <c r="M1648" s="391" t="s">
        <v>5508</v>
      </c>
      <c r="N1648" s="32" t="s">
        <v>7783</v>
      </c>
      <c r="O1648" s="32" t="s">
        <v>8205</v>
      </c>
      <c r="P1648" s="278"/>
      <c r="Q1648" s="233" t="s">
        <v>8206</v>
      </c>
      <c r="R1648" s="75">
        <v>570</v>
      </c>
      <c r="S1648" s="75">
        <v>1080</v>
      </c>
      <c r="T1648" s="75">
        <v>1650</v>
      </c>
      <c r="U1648" s="200">
        <v>180</v>
      </c>
      <c r="V1648" s="75"/>
      <c r="W1648" s="75"/>
      <c r="X1648" s="200"/>
      <c r="Y1648" s="1"/>
      <c r="Z1648" s="31">
        <v>0.1</v>
      </c>
      <c r="AA1648" s="223">
        <v>0.09</v>
      </c>
      <c r="AB1648" s="302"/>
      <c r="AC1648" s="302"/>
      <c r="AD1648" s="302"/>
      <c r="AE1648" s="302"/>
      <c r="AF1648">
        <f t="shared" si="363"/>
        <v>0</v>
      </c>
    </row>
    <row r="1649" spans="1:32" ht="26.25" hidden="1" x14ac:dyDescent="0.25">
      <c r="A1649" s="322" t="s">
        <v>4452</v>
      </c>
      <c r="B1649" s="93" t="str">
        <f t="shared" si="368"/>
        <v>NO</v>
      </c>
      <c r="C1649" s="93" t="s">
        <v>5503</v>
      </c>
      <c r="D1649" s="4">
        <v>41256</v>
      </c>
      <c r="E1649" s="2">
        <v>43831</v>
      </c>
      <c r="F1649" s="2">
        <f t="shared" si="369"/>
        <v>47484</v>
      </c>
      <c r="G1649" s="6">
        <v>145.27000000000001</v>
      </c>
      <c r="H1649" s="7" t="s">
        <v>324</v>
      </c>
      <c r="I1649" s="7" t="s">
        <v>79</v>
      </c>
      <c r="J1649" s="109"/>
      <c r="K1649" s="266">
        <f t="shared" si="370"/>
        <v>2030</v>
      </c>
      <c r="L1649" s="391" t="s">
        <v>5793</v>
      </c>
      <c r="M1649" s="391" t="s">
        <v>5508</v>
      </c>
      <c r="N1649" s="32" t="s">
        <v>7783</v>
      </c>
      <c r="O1649" s="32" t="s">
        <v>8209</v>
      </c>
      <c r="P1649" s="278"/>
      <c r="Q1649" s="233" t="s">
        <v>8210</v>
      </c>
      <c r="R1649" s="75">
        <v>661</v>
      </c>
      <c r="S1649" s="75">
        <v>1314</v>
      </c>
      <c r="T1649" s="75">
        <v>1975</v>
      </c>
      <c r="U1649" s="200">
        <v>219</v>
      </c>
      <c r="V1649" s="75"/>
      <c r="W1649" s="75"/>
      <c r="X1649" s="200"/>
      <c r="Y1649" s="1"/>
      <c r="Z1649" s="31">
        <v>0.1</v>
      </c>
      <c r="AA1649" s="223">
        <v>0.09</v>
      </c>
      <c r="AB1649" s="302"/>
      <c r="AC1649" s="302"/>
      <c r="AD1649" s="302"/>
      <c r="AE1649" s="302"/>
      <c r="AF1649">
        <f t="shared" si="363"/>
        <v>0</v>
      </c>
    </row>
    <row r="1650" spans="1:32" hidden="1" x14ac:dyDescent="0.25">
      <c r="A1650" s="322" t="s">
        <v>4453</v>
      </c>
      <c r="B1650" s="93" t="str">
        <f t="shared" si="368"/>
        <v>NO</v>
      </c>
      <c r="C1650" s="93" t="s">
        <v>5503</v>
      </c>
      <c r="D1650" s="4">
        <v>41256</v>
      </c>
      <c r="E1650" s="2">
        <v>43831</v>
      </c>
      <c r="F1650" s="2">
        <f t="shared" si="369"/>
        <v>47484</v>
      </c>
      <c r="G1650" s="6">
        <v>647.55999999999995</v>
      </c>
      <c r="H1650" s="7" t="s">
        <v>324</v>
      </c>
      <c r="I1650" s="7" t="s">
        <v>79</v>
      </c>
      <c r="J1650" s="109"/>
      <c r="K1650" s="266">
        <f t="shared" si="370"/>
        <v>2030</v>
      </c>
      <c r="L1650" s="391" t="s">
        <v>5793</v>
      </c>
      <c r="M1650" s="391" t="s">
        <v>5508</v>
      </c>
      <c r="N1650" s="32" t="s">
        <v>7783</v>
      </c>
      <c r="O1650" s="32" t="s">
        <v>8211</v>
      </c>
      <c r="P1650" s="278"/>
      <c r="Q1650" s="233" t="s">
        <v>8212</v>
      </c>
      <c r="R1650" s="75">
        <v>2418</v>
      </c>
      <c r="S1650" s="75">
        <v>5184</v>
      </c>
      <c r="T1650" s="75">
        <v>7602</v>
      </c>
      <c r="U1650" s="200">
        <v>972</v>
      </c>
      <c r="V1650" s="75"/>
      <c r="W1650" s="75"/>
      <c r="X1650" s="200"/>
      <c r="Y1650" s="1"/>
      <c r="Z1650" s="31">
        <v>0.1</v>
      </c>
      <c r="AA1650" s="223">
        <v>0.09</v>
      </c>
      <c r="AB1650" s="302"/>
      <c r="AC1650" s="302"/>
      <c r="AD1650" s="302"/>
      <c r="AE1650" s="302"/>
      <c r="AF1650">
        <f t="shared" si="363"/>
        <v>0</v>
      </c>
    </row>
    <row r="1651" spans="1:32" hidden="1" x14ac:dyDescent="0.25">
      <c r="A1651" s="322" t="s">
        <v>4454</v>
      </c>
      <c r="B1651" s="93" t="str">
        <f t="shared" si="368"/>
        <v>NO</v>
      </c>
      <c r="C1651" s="93" t="s">
        <v>5503</v>
      </c>
      <c r="D1651" s="4">
        <v>41256</v>
      </c>
      <c r="E1651" s="2">
        <v>43831</v>
      </c>
      <c r="F1651" s="2">
        <f t="shared" si="369"/>
        <v>47484</v>
      </c>
      <c r="G1651" s="6">
        <v>245.2</v>
      </c>
      <c r="H1651" s="7" t="s">
        <v>324</v>
      </c>
      <c r="I1651" s="7" t="s">
        <v>79</v>
      </c>
      <c r="J1651" s="109"/>
      <c r="K1651" s="266">
        <f t="shared" si="370"/>
        <v>2030</v>
      </c>
      <c r="L1651" s="391" t="s">
        <v>5793</v>
      </c>
      <c r="M1651" s="391" t="s">
        <v>5508</v>
      </c>
      <c r="N1651" s="32" t="s">
        <v>7783</v>
      </c>
      <c r="O1651" s="32" t="s">
        <v>8213</v>
      </c>
      <c r="P1651" s="278"/>
      <c r="Q1651" s="233" t="s">
        <v>8214</v>
      </c>
      <c r="R1651" s="75">
        <v>1011</v>
      </c>
      <c r="S1651" s="75">
        <v>2214</v>
      </c>
      <c r="T1651" s="75">
        <v>3225</v>
      </c>
      <c r="U1651" s="200">
        <v>369</v>
      </c>
      <c r="V1651" s="75"/>
      <c r="W1651" s="75"/>
      <c r="X1651" s="200"/>
      <c r="Y1651" s="1"/>
      <c r="Z1651" s="31">
        <v>0.1</v>
      </c>
      <c r="AA1651" s="223">
        <v>0.09</v>
      </c>
      <c r="AB1651" s="302"/>
      <c r="AC1651" s="302"/>
      <c r="AD1651" s="302"/>
      <c r="AE1651" s="302"/>
      <c r="AF1651">
        <f t="shared" si="363"/>
        <v>0</v>
      </c>
    </row>
    <row r="1652" spans="1:32" hidden="1" x14ac:dyDescent="0.25">
      <c r="A1652" s="322" t="s">
        <v>4455</v>
      </c>
      <c r="B1652" s="93" t="str">
        <f t="shared" si="368"/>
        <v>NO</v>
      </c>
      <c r="C1652" s="93" t="s">
        <v>5503</v>
      </c>
      <c r="D1652" s="4">
        <v>41256</v>
      </c>
      <c r="E1652" s="2">
        <v>43831</v>
      </c>
      <c r="F1652" s="2">
        <f t="shared" si="369"/>
        <v>47484</v>
      </c>
      <c r="G1652" s="6">
        <v>424.78</v>
      </c>
      <c r="H1652" s="7" t="s">
        <v>324</v>
      </c>
      <c r="I1652" s="7" t="s">
        <v>79</v>
      </c>
      <c r="J1652" s="109"/>
      <c r="K1652" s="266">
        <f t="shared" si="370"/>
        <v>2030</v>
      </c>
      <c r="L1652" s="391" t="s">
        <v>5793</v>
      </c>
      <c r="M1652" s="391" t="s">
        <v>5508</v>
      </c>
      <c r="N1652" s="32" t="s">
        <v>7783</v>
      </c>
      <c r="O1652" s="32" t="s">
        <v>8215</v>
      </c>
      <c r="P1652" s="278"/>
      <c r="Q1652" s="233" t="s">
        <v>8216</v>
      </c>
      <c r="R1652" s="75">
        <v>1637.5</v>
      </c>
      <c r="S1652" s="75">
        <v>3825</v>
      </c>
      <c r="T1652" s="75">
        <v>5462.5</v>
      </c>
      <c r="U1652" s="200">
        <v>637.5</v>
      </c>
      <c r="V1652" s="75"/>
      <c r="W1652" s="75"/>
      <c r="X1652" s="200"/>
      <c r="Y1652" s="1"/>
      <c r="Z1652" s="31">
        <v>0.1</v>
      </c>
      <c r="AA1652" s="223">
        <v>0.09</v>
      </c>
      <c r="AB1652" s="302"/>
      <c r="AC1652" s="302"/>
      <c r="AD1652" s="302"/>
      <c r="AE1652" s="302"/>
      <c r="AF1652">
        <f t="shared" si="363"/>
        <v>0</v>
      </c>
    </row>
    <row r="1653" spans="1:32" hidden="1" x14ac:dyDescent="0.25">
      <c r="A1653" s="322" t="s">
        <v>4456</v>
      </c>
      <c r="B1653" s="93" t="str">
        <f t="shared" si="368"/>
        <v>NO</v>
      </c>
      <c r="C1653" s="93" t="s">
        <v>5503</v>
      </c>
      <c r="D1653" s="4">
        <v>41256</v>
      </c>
      <c r="E1653" s="2">
        <v>43831</v>
      </c>
      <c r="F1653" s="2">
        <f t="shared" si="369"/>
        <v>47484</v>
      </c>
      <c r="G1653" s="6">
        <v>648.4</v>
      </c>
      <c r="H1653" s="7" t="s">
        <v>324</v>
      </c>
      <c r="I1653" s="7" t="s">
        <v>79</v>
      </c>
      <c r="J1653" s="109"/>
      <c r="K1653" s="266">
        <f t="shared" si="370"/>
        <v>2030</v>
      </c>
      <c r="L1653" s="391" t="s">
        <v>5793</v>
      </c>
      <c r="M1653" s="391" t="s">
        <v>5508</v>
      </c>
      <c r="N1653" s="32" t="s">
        <v>7783</v>
      </c>
      <c r="O1653" s="32" t="s">
        <v>8217</v>
      </c>
      <c r="P1653" s="278"/>
      <c r="Q1653" s="233" t="s">
        <v>8218</v>
      </c>
      <c r="R1653" s="75">
        <v>2421.5</v>
      </c>
      <c r="S1653" s="75">
        <v>5841</v>
      </c>
      <c r="T1653" s="75">
        <v>8262.5</v>
      </c>
      <c r="U1653" s="200">
        <v>973.5</v>
      </c>
      <c r="V1653" s="75"/>
      <c r="W1653" s="75"/>
      <c r="X1653" s="200"/>
      <c r="Y1653" s="1"/>
      <c r="Z1653" s="31">
        <v>0.1</v>
      </c>
      <c r="AA1653" s="223">
        <v>0.09</v>
      </c>
      <c r="AB1653" s="302"/>
      <c r="AC1653" s="302"/>
      <c r="AD1653" s="302"/>
      <c r="AE1653" s="302"/>
      <c r="AF1653">
        <f t="shared" si="363"/>
        <v>0</v>
      </c>
    </row>
    <row r="1654" spans="1:32" hidden="1" x14ac:dyDescent="0.25">
      <c r="A1654" s="322" t="s">
        <v>4457</v>
      </c>
      <c r="B1654" s="93" t="str">
        <f t="shared" si="368"/>
        <v>NO</v>
      </c>
      <c r="C1654" s="93" t="s">
        <v>5503</v>
      </c>
      <c r="D1654" s="4">
        <v>41256</v>
      </c>
      <c r="E1654" s="2">
        <v>43831</v>
      </c>
      <c r="F1654" s="2">
        <f t="shared" si="369"/>
        <v>47484</v>
      </c>
      <c r="G1654" s="6">
        <v>26</v>
      </c>
      <c r="H1654" s="7" t="s">
        <v>324</v>
      </c>
      <c r="I1654" s="7" t="s">
        <v>79</v>
      </c>
      <c r="J1654" s="109"/>
      <c r="K1654" s="266">
        <f t="shared" si="370"/>
        <v>2030</v>
      </c>
      <c r="L1654" s="391" t="s">
        <v>5793</v>
      </c>
      <c r="M1654" s="391" t="s">
        <v>5508</v>
      </c>
      <c r="N1654" s="32" t="s">
        <v>7783</v>
      </c>
      <c r="O1654" s="32" t="s">
        <v>8219</v>
      </c>
      <c r="P1654" s="278"/>
      <c r="Q1654" s="233" t="s">
        <v>8220</v>
      </c>
      <c r="R1654" s="75">
        <v>241</v>
      </c>
      <c r="S1654" s="75">
        <v>234</v>
      </c>
      <c r="T1654" s="75">
        <v>475</v>
      </c>
      <c r="U1654" s="200">
        <v>39</v>
      </c>
      <c r="V1654" s="75"/>
      <c r="W1654" s="75"/>
      <c r="X1654" s="200"/>
      <c r="Y1654" s="1"/>
      <c r="Z1654" s="31">
        <v>0.1</v>
      </c>
      <c r="AA1654" s="223">
        <v>0.09</v>
      </c>
      <c r="AB1654" s="302"/>
      <c r="AC1654" s="302"/>
      <c r="AD1654" s="302"/>
      <c r="AE1654" s="302"/>
      <c r="AF1654">
        <f t="shared" si="363"/>
        <v>0</v>
      </c>
    </row>
    <row r="1655" spans="1:32" hidden="1" x14ac:dyDescent="0.25">
      <c r="A1655" s="322" t="s">
        <v>4458</v>
      </c>
      <c r="B1655" s="93" t="str">
        <f t="shared" si="368"/>
        <v>NO</v>
      </c>
      <c r="C1655" s="93" t="s">
        <v>5503</v>
      </c>
      <c r="D1655" s="4">
        <v>41256</v>
      </c>
      <c r="E1655" s="2">
        <v>43831</v>
      </c>
      <c r="F1655" s="2">
        <f t="shared" si="369"/>
        <v>47484</v>
      </c>
      <c r="G1655" s="6">
        <v>322.63</v>
      </c>
      <c r="H1655" s="7" t="s">
        <v>324</v>
      </c>
      <c r="I1655" s="7" t="s">
        <v>79</v>
      </c>
      <c r="J1655" s="109"/>
      <c r="K1655" s="266">
        <f t="shared" si="370"/>
        <v>2030</v>
      </c>
      <c r="L1655" s="391" t="s">
        <v>5793</v>
      </c>
      <c r="M1655" s="391" t="s">
        <v>5508</v>
      </c>
      <c r="N1655" s="32" t="s">
        <v>7783</v>
      </c>
      <c r="O1655" s="32" t="s">
        <v>8221</v>
      </c>
      <c r="P1655" s="278"/>
      <c r="Q1655" s="233" t="s">
        <v>8222</v>
      </c>
      <c r="R1655" s="75">
        <v>1280.5</v>
      </c>
      <c r="S1655" s="75">
        <v>2584</v>
      </c>
      <c r="T1655" s="75">
        <v>3864.5</v>
      </c>
      <c r="U1655" s="200">
        <v>484.5</v>
      </c>
      <c r="V1655" s="75"/>
      <c r="W1655" s="75"/>
      <c r="X1655" s="200"/>
      <c r="Y1655" s="1"/>
      <c r="Z1655" s="31">
        <v>0.1</v>
      </c>
      <c r="AA1655" s="223">
        <v>0.09</v>
      </c>
      <c r="AB1655" s="302"/>
      <c r="AC1655" s="302"/>
      <c r="AD1655" s="302"/>
      <c r="AE1655" s="302"/>
      <c r="AF1655">
        <f t="shared" si="363"/>
        <v>0</v>
      </c>
    </row>
    <row r="1656" spans="1:32" ht="26.25" hidden="1" x14ac:dyDescent="0.25">
      <c r="A1656" s="322" t="s">
        <v>4459</v>
      </c>
      <c r="B1656" s="93" t="str">
        <f t="shared" si="368"/>
        <v>NO</v>
      </c>
      <c r="C1656" s="93" t="s">
        <v>5503</v>
      </c>
      <c r="D1656" s="4">
        <v>41256</v>
      </c>
      <c r="E1656" s="2">
        <v>43831</v>
      </c>
      <c r="F1656" s="2">
        <f t="shared" si="369"/>
        <v>47484</v>
      </c>
      <c r="G1656" s="6">
        <v>238.91</v>
      </c>
      <c r="H1656" s="7" t="s">
        <v>324</v>
      </c>
      <c r="I1656" s="7" t="s">
        <v>79</v>
      </c>
      <c r="J1656" s="109"/>
      <c r="K1656" s="266">
        <f t="shared" si="370"/>
        <v>2030</v>
      </c>
      <c r="L1656" s="391" t="s">
        <v>5793</v>
      </c>
      <c r="M1656" s="391" t="s">
        <v>5508</v>
      </c>
      <c r="N1656" s="32" t="s">
        <v>7783</v>
      </c>
      <c r="O1656" s="32" t="s">
        <v>8223</v>
      </c>
      <c r="P1656" s="278"/>
      <c r="Q1656" s="233" t="s">
        <v>8224</v>
      </c>
      <c r="R1656" s="75">
        <v>986.5</v>
      </c>
      <c r="S1656" s="75">
        <v>2151</v>
      </c>
      <c r="T1656" s="75">
        <v>3137.5</v>
      </c>
      <c r="U1656" s="200">
        <v>358.5</v>
      </c>
      <c r="V1656" s="75"/>
      <c r="W1656" s="75"/>
      <c r="X1656" s="200"/>
      <c r="Y1656" s="1"/>
      <c r="Z1656" s="31">
        <v>0.1</v>
      </c>
      <c r="AA1656" s="223">
        <v>0.09</v>
      </c>
      <c r="AB1656" s="302"/>
      <c r="AC1656" s="302"/>
      <c r="AD1656" s="302"/>
      <c r="AE1656" s="302"/>
      <c r="AF1656">
        <f t="shared" si="363"/>
        <v>0</v>
      </c>
    </row>
    <row r="1657" spans="1:32" hidden="1" x14ac:dyDescent="0.25">
      <c r="A1657" s="322" t="s">
        <v>4460</v>
      </c>
      <c r="B1657" s="93" t="str">
        <f t="shared" si="368"/>
        <v>NO</v>
      </c>
      <c r="C1657" s="93" t="s">
        <v>5503</v>
      </c>
      <c r="D1657" s="4">
        <v>41256</v>
      </c>
      <c r="E1657" s="2">
        <v>43831</v>
      </c>
      <c r="F1657" s="2">
        <f t="shared" si="369"/>
        <v>47484</v>
      </c>
      <c r="G1657" s="6">
        <v>97.04</v>
      </c>
      <c r="H1657" s="7" t="s">
        <v>324</v>
      </c>
      <c r="I1657" s="7" t="s">
        <v>79</v>
      </c>
      <c r="J1657" s="109"/>
      <c r="K1657" s="266">
        <f t="shared" si="370"/>
        <v>2030</v>
      </c>
      <c r="L1657" s="391" t="s">
        <v>5793</v>
      </c>
      <c r="M1657" s="391" t="s">
        <v>5508</v>
      </c>
      <c r="N1657" s="32" t="s">
        <v>7783</v>
      </c>
      <c r="O1657" s="32" t="s">
        <v>8225</v>
      </c>
      <c r="P1657" s="278"/>
      <c r="Q1657" s="233" t="s">
        <v>8226</v>
      </c>
      <c r="R1657" s="75">
        <v>493</v>
      </c>
      <c r="S1657" s="75">
        <v>882</v>
      </c>
      <c r="T1657" s="75">
        <v>1375</v>
      </c>
      <c r="U1657" s="200">
        <v>147</v>
      </c>
      <c r="V1657" s="75"/>
      <c r="W1657" s="75"/>
      <c r="X1657" s="200"/>
      <c r="Y1657" s="1"/>
      <c r="Z1657" s="31">
        <v>0.1</v>
      </c>
      <c r="AA1657" s="223">
        <v>0.09</v>
      </c>
      <c r="AB1657" s="302"/>
      <c r="AC1657" s="302"/>
      <c r="AD1657" s="302"/>
      <c r="AE1657" s="302"/>
      <c r="AF1657">
        <f t="shared" si="363"/>
        <v>0</v>
      </c>
    </row>
    <row r="1658" spans="1:32" ht="26.25" hidden="1" x14ac:dyDescent="0.25">
      <c r="A1658" s="322" t="s">
        <v>4461</v>
      </c>
      <c r="B1658" s="93" t="str">
        <f t="shared" si="368"/>
        <v>NO</v>
      </c>
      <c r="C1658" s="93" t="s">
        <v>5503</v>
      </c>
      <c r="D1658" s="4">
        <v>41256</v>
      </c>
      <c r="E1658" s="2">
        <v>43831</v>
      </c>
      <c r="F1658" s="2">
        <f t="shared" si="369"/>
        <v>47484</v>
      </c>
      <c r="G1658" s="6">
        <v>237.64</v>
      </c>
      <c r="H1658" s="7" t="s">
        <v>324</v>
      </c>
      <c r="I1658" s="7" t="s">
        <v>79</v>
      </c>
      <c r="J1658" s="109" t="s">
        <v>8201</v>
      </c>
      <c r="K1658" s="266">
        <f t="shared" si="370"/>
        <v>2030</v>
      </c>
      <c r="L1658" s="391" t="s">
        <v>5793</v>
      </c>
      <c r="M1658" s="391" t="s">
        <v>5508</v>
      </c>
      <c r="N1658" s="32" t="s">
        <v>7783</v>
      </c>
      <c r="O1658" s="32" t="s">
        <v>8203</v>
      </c>
      <c r="P1658" s="278"/>
      <c r="Q1658" s="233" t="s">
        <v>8227</v>
      </c>
      <c r="R1658" s="75">
        <v>983</v>
      </c>
      <c r="S1658" s="75">
        <v>1904</v>
      </c>
      <c r="T1658" s="75">
        <v>2887</v>
      </c>
      <c r="U1658" s="200">
        <v>357</v>
      </c>
      <c r="V1658" s="75"/>
      <c r="W1658" s="75"/>
      <c r="X1658" s="200"/>
      <c r="Y1658" s="1"/>
      <c r="Z1658" s="31">
        <v>0.1</v>
      </c>
      <c r="AA1658" s="223">
        <v>0.09</v>
      </c>
      <c r="AB1658" s="302"/>
      <c r="AC1658" s="302"/>
      <c r="AD1658" s="302"/>
      <c r="AE1658" s="302"/>
      <c r="AF1658">
        <f t="shared" si="363"/>
        <v>0</v>
      </c>
    </row>
    <row r="1659" spans="1:32" ht="26.25" hidden="1" x14ac:dyDescent="0.25">
      <c r="A1659" s="322" t="s">
        <v>4462</v>
      </c>
      <c r="B1659" s="93" t="str">
        <f t="shared" si="368"/>
        <v>NO</v>
      </c>
      <c r="C1659" s="93" t="s">
        <v>5503</v>
      </c>
      <c r="D1659" s="4">
        <v>41256</v>
      </c>
      <c r="E1659" s="2"/>
      <c r="F1659" s="2"/>
      <c r="G1659" s="6">
        <v>152.85</v>
      </c>
      <c r="H1659" s="7" t="s">
        <v>324</v>
      </c>
      <c r="I1659" s="7" t="s">
        <v>79</v>
      </c>
      <c r="J1659" s="109" t="s">
        <v>8200</v>
      </c>
      <c r="K1659" s="266"/>
      <c r="L1659" s="391"/>
      <c r="M1659" s="391"/>
      <c r="N1659" s="32"/>
      <c r="O1659" s="32"/>
      <c r="P1659" s="278"/>
      <c r="Q1659" s="233"/>
      <c r="R1659" s="75">
        <v>685.5</v>
      </c>
      <c r="S1659" s="75">
        <v>1377</v>
      </c>
      <c r="T1659" s="75">
        <v>2062.5</v>
      </c>
      <c r="U1659" s="200"/>
      <c r="V1659" s="75"/>
      <c r="W1659" s="75"/>
      <c r="X1659" s="200"/>
      <c r="Y1659" s="1"/>
      <c r="Z1659" s="31">
        <v>0.1</v>
      </c>
      <c r="AA1659" s="223">
        <v>0.09</v>
      </c>
      <c r="AB1659" s="302"/>
      <c r="AC1659" s="302"/>
      <c r="AD1659" s="302"/>
      <c r="AE1659" s="302"/>
      <c r="AF1659">
        <f t="shared" si="363"/>
        <v>0</v>
      </c>
    </row>
    <row r="1660" spans="1:32" hidden="1" x14ac:dyDescent="0.25">
      <c r="A1660" s="322" t="s">
        <v>4463</v>
      </c>
      <c r="B1660" s="93" t="str">
        <f t="shared" si="368"/>
        <v>NO</v>
      </c>
      <c r="C1660" s="93" t="s">
        <v>5503</v>
      </c>
      <c r="D1660" s="4">
        <v>41256</v>
      </c>
      <c r="E1660" s="2">
        <v>43831</v>
      </c>
      <c r="F1660" s="2">
        <f t="shared" si="369"/>
        <v>47484</v>
      </c>
      <c r="G1660" s="6">
        <v>597.26</v>
      </c>
      <c r="H1660" s="7" t="s">
        <v>324</v>
      </c>
      <c r="I1660" s="7" t="s">
        <v>79</v>
      </c>
      <c r="J1660" s="109"/>
      <c r="K1660" s="266">
        <f t="shared" si="370"/>
        <v>2030</v>
      </c>
      <c r="L1660" s="391" t="s">
        <v>5519</v>
      </c>
      <c r="M1660" s="391" t="s">
        <v>5508</v>
      </c>
      <c r="N1660" s="32" t="s">
        <v>7783</v>
      </c>
      <c r="O1660" s="32" t="s">
        <v>8228</v>
      </c>
      <c r="P1660" s="278"/>
      <c r="Q1660" s="233" t="s">
        <v>8229</v>
      </c>
      <c r="R1660" s="75">
        <v>2243</v>
      </c>
      <c r="S1660" s="75">
        <v>5382</v>
      </c>
      <c r="T1660" s="75">
        <v>7625</v>
      </c>
      <c r="U1660" s="200">
        <v>897</v>
      </c>
      <c r="V1660" s="75"/>
      <c r="W1660" s="75"/>
      <c r="X1660" s="200"/>
      <c r="Y1660" s="1"/>
      <c r="Z1660" s="31">
        <v>0.1</v>
      </c>
      <c r="AA1660" s="223">
        <v>0.09</v>
      </c>
      <c r="AB1660" s="302"/>
      <c r="AC1660" s="302"/>
      <c r="AD1660" s="302"/>
      <c r="AE1660" s="302"/>
      <c r="AF1660">
        <f t="shared" si="363"/>
        <v>0</v>
      </c>
    </row>
    <row r="1661" spans="1:32" hidden="1" x14ac:dyDescent="0.25">
      <c r="A1661" s="322" t="s">
        <v>4464</v>
      </c>
      <c r="B1661" s="93" t="str">
        <f t="shared" si="368"/>
        <v>NO</v>
      </c>
      <c r="C1661" s="93" t="s">
        <v>5503</v>
      </c>
      <c r="D1661" s="4">
        <v>41256</v>
      </c>
      <c r="E1661" s="2">
        <v>43831</v>
      </c>
      <c r="F1661" s="2">
        <f t="shared" si="369"/>
        <v>47484</v>
      </c>
      <c r="G1661" s="6">
        <v>80.75</v>
      </c>
      <c r="H1661" s="7" t="s">
        <v>324</v>
      </c>
      <c r="I1661" s="7" t="s">
        <v>79</v>
      </c>
      <c r="J1661" s="109"/>
      <c r="K1661" s="266">
        <f t="shared" si="370"/>
        <v>2030</v>
      </c>
      <c r="L1661" s="391" t="s">
        <v>5519</v>
      </c>
      <c r="M1661" s="391" t="s">
        <v>5508</v>
      </c>
      <c r="N1661" s="32" t="s">
        <v>7783</v>
      </c>
      <c r="O1661" s="32" t="s">
        <v>8230</v>
      </c>
      <c r="P1661" s="278"/>
      <c r="Q1661" s="233" t="s">
        <v>8231</v>
      </c>
      <c r="R1661" s="75">
        <v>433.5</v>
      </c>
      <c r="S1661" s="75">
        <v>648</v>
      </c>
      <c r="T1661" s="75">
        <v>1081.5</v>
      </c>
      <c r="U1661" s="200">
        <v>121.5</v>
      </c>
      <c r="V1661" s="75"/>
      <c r="W1661" s="75"/>
      <c r="X1661" s="200"/>
      <c r="Y1661" s="1"/>
      <c r="Z1661" s="31">
        <v>0.1</v>
      </c>
      <c r="AA1661" s="223">
        <v>0.09</v>
      </c>
      <c r="AB1661" s="302"/>
      <c r="AC1661" s="302"/>
      <c r="AD1661" s="302"/>
      <c r="AE1661" s="302"/>
      <c r="AF1661">
        <f t="shared" si="363"/>
        <v>0</v>
      </c>
    </row>
    <row r="1662" spans="1:32" ht="26.25" hidden="1" x14ac:dyDescent="0.25">
      <c r="A1662" s="322" t="s">
        <v>4465</v>
      </c>
      <c r="B1662" s="93" t="str">
        <f t="shared" si="368"/>
        <v>NO</v>
      </c>
      <c r="C1662" s="93" t="s">
        <v>5503</v>
      </c>
      <c r="D1662" s="4">
        <v>41256</v>
      </c>
      <c r="E1662" s="2">
        <v>43831</v>
      </c>
      <c r="F1662" s="2">
        <f t="shared" si="369"/>
        <v>47484</v>
      </c>
      <c r="G1662" s="6">
        <v>263.35000000000002</v>
      </c>
      <c r="H1662" s="7" t="s">
        <v>324</v>
      </c>
      <c r="I1662" s="7" t="s">
        <v>79</v>
      </c>
      <c r="J1662" s="109"/>
      <c r="K1662" s="266">
        <f t="shared" si="370"/>
        <v>2030</v>
      </c>
      <c r="L1662" s="391" t="s">
        <v>5519</v>
      </c>
      <c r="M1662" s="391" t="s">
        <v>5508</v>
      </c>
      <c r="N1662" s="32" t="s">
        <v>7783</v>
      </c>
      <c r="O1662" s="32" t="s">
        <v>8232</v>
      </c>
      <c r="P1662" s="278"/>
      <c r="Q1662" s="233" t="s">
        <v>8233</v>
      </c>
      <c r="R1662" s="75">
        <v>1074</v>
      </c>
      <c r="S1662" s="75">
        <v>2376</v>
      </c>
      <c r="T1662" s="75">
        <v>3450</v>
      </c>
      <c r="U1662" s="200">
        <v>396</v>
      </c>
      <c r="V1662" s="75"/>
      <c r="W1662" s="75"/>
      <c r="X1662" s="200"/>
      <c r="Y1662" s="1"/>
      <c r="Z1662" s="31">
        <v>0.1</v>
      </c>
      <c r="AA1662" s="223">
        <v>0.09</v>
      </c>
      <c r="AB1662" s="302"/>
      <c r="AC1662" s="302"/>
      <c r="AD1662" s="302"/>
      <c r="AE1662" s="302"/>
      <c r="AF1662">
        <f t="shared" si="363"/>
        <v>0</v>
      </c>
    </row>
    <row r="1663" spans="1:32" hidden="1" x14ac:dyDescent="0.25">
      <c r="A1663" s="322" t="s">
        <v>4466</v>
      </c>
      <c r="B1663" s="93" t="str">
        <f t="shared" si="368"/>
        <v>NO</v>
      </c>
      <c r="C1663" s="93" t="s">
        <v>5503</v>
      </c>
      <c r="D1663" s="4">
        <v>41256</v>
      </c>
      <c r="E1663" s="2">
        <v>43831</v>
      </c>
      <c r="F1663" s="2">
        <f t="shared" si="369"/>
        <v>47484</v>
      </c>
      <c r="G1663" s="6">
        <v>483</v>
      </c>
      <c r="H1663" s="7" t="s">
        <v>324</v>
      </c>
      <c r="I1663" s="7" t="s">
        <v>79</v>
      </c>
      <c r="J1663" s="109"/>
      <c r="K1663" s="266">
        <f t="shared" si="370"/>
        <v>2030</v>
      </c>
      <c r="L1663" s="391" t="s">
        <v>5519</v>
      </c>
      <c r="M1663" s="391" t="s">
        <v>5508</v>
      </c>
      <c r="N1663" s="32" t="s">
        <v>7783</v>
      </c>
      <c r="O1663" s="32" t="s">
        <v>8234</v>
      </c>
      <c r="P1663" s="278"/>
      <c r="Q1663" s="233" t="s">
        <v>8235</v>
      </c>
      <c r="R1663" s="75">
        <v>1840.5</v>
      </c>
      <c r="S1663" s="75">
        <v>4347</v>
      </c>
      <c r="T1663" s="75">
        <v>6187.5</v>
      </c>
      <c r="U1663" s="200">
        <v>724.5</v>
      </c>
      <c r="V1663" s="75"/>
      <c r="W1663" s="75"/>
      <c r="X1663" s="200"/>
      <c r="Y1663" s="1"/>
      <c r="Z1663" s="31">
        <v>0.1</v>
      </c>
      <c r="AA1663" s="223">
        <v>0.09</v>
      </c>
      <c r="AB1663" s="302"/>
      <c r="AC1663" s="302"/>
      <c r="AD1663" s="302"/>
      <c r="AE1663" s="302"/>
      <c r="AF1663">
        <f t="shared" si="363"/>
        <v>0</v>
      </c>
    </row>
    <row r="1664" spans="1:32" hidden="1" x14ac:dyDescent="0.25">
      <c r="A1664" s="322" t="s">
        <v>4467</v>
      </c>
      <c r="B1664" s="93" t="str">
        <f t="shared" si="368"/>
        <v>NO</v>
      </c>
      <c r="C1664" s="93" t="s">
        <v>5503</v>
      </c>
      <c r="D1664" s="4">
        <v>41256</v>
      </c>
      <c r="E1664" s="2">
        <v>43831</v>
      </c>
      <c r="F1664" s="2">
        <f t="shared" si="369"/>
        <v>47484</v>
      </c>
      <c r="G1664" s="6">
        <v>437.2</v>
      </c>
      <c r="H1664" s="7" t="s">
        <v>324</v>
      </c>
      <c r="I1664" s="7" t="s">
        <v>79</v>
      </c>
      <c r="J1664" s="109"/>
      <c r="K1664" s="266">
        <f t="shared" si="370"/>
        <v>2030</v>
      </c>
      <c r="L1664" s="391"/>
      <c r="M1664" s="391"/>
      <c r="N1664" s="32"/>
      <c r="O1664" s="32"/>
      <c r="P1664" s="278"/>
      <c r="Q1664" s="233"/>
      <c r="R1664" s="75">
        <v>1683</v>
      </c>
      <c r="S1664" s="75">
        <v>3504</v>
      </c>
      <c r="T1664" s="75">
        <v>5187</v>
      </c>
      <c r="U1664" s="200"/>
      <c r="V1664" s="75"/>
      <c r="W1664" s="75"/>
      <c r="X1664" s="200"/>
      <c r="Y1664" s="1"/>
      <c r="Z1664" s="31">
        <v>0.1</v>
      </c>
      <c r="AA1664" s="223">
        <v>0.09</v>
      </c>
      <c r="AB1664" s="302"/>
      <c r="AC1664" s="302"/>
      <c r="AD1664" s="302"/>
      <c r="AE1664" s="302"/>
      <c r="AF1664">
        <f t="shared" si="363"/>
        <v>0</v>
      </c>
    </row>
    <row r="1665" spans="1:32" hidden="1" x14ac:dyDescent="0.25">
      <c r="A1665" s="322" t="s">
        <v>4468</v>
      </c>
      <c r="B1665" s="93" t="str">
        <f t="shared" si="368"/>
        <v>NO</v>
      </c>
      <c r="C1665" s="93" t="s">
        <v>5503</v>
      </c>
      <c r="D1665" s="4">
        <v>41256</v>
      </c>
      <c r="E1665" s="2">
        <v>43831</v>
      </c>
      <c r="F1665" s="2">
        <f t="shared" si="369"/>
        <v>47484</v>
      </c>
      <c r="G1665" s="6">
        <v>218.81</v>
      </c>
      <c r="H1665" s="7" t="s">
        <v>324</v>
      </c>
      <c r="I1665" s="7" t="s">
        <v>79</v>
      </c>
      <c r="J1665" s="109"/>
      <c r="K1665" s="266">
        <f t="shared" si="370"/>
        <v>2030</v>
      </c>
      <c r="L1665" s="391"/>
      <c r="M1665" s="391"/>
      <c r="N1665" s="32"/>
      <c r="O1665" s="32"/>
      <c r="P1665" s="278"/>
      <c r="Q1665" s="233"/>
      <c r="R1665" s="75">
        <v>916.5</v>
      </c>
      <c r="S1665" s="75">
        <v>1971</v>
      </c>
      <c r="T1665" s="75">
        <v>2887.5</v>
      </c>
      <c r="U1665" s="200"/>
      <c r="V1665" s="75"/>
      <c r="W1665" s="75"/>
      <c r="X1665" s="200"/>
      <c r="Y1665" s="1"/>
      <c r="Z1665" s="31">
        <v>0.1</v>
      </c>
      <c r="AA1665" s="223">
        <v>0.09</v>
      </c>
      <c r="AB1665" s="302"/>
      <c r="AC1665" s="302"/>
      <c r="AD1665" s="302"/>
      <c r="AE1665" s="302"/>
      <c r="AF1665">
        <f t="shared" si="363"/>
        <v>0</v>
      </c>
    </row>
    <row r="1666" spans="1:32" hidden="1" x14ac:dyDescent="0.25">
      <c r="A1666" s="322" t="s">
        <v>4469</v>
      </c>
      <c r="B1666" s="93" t="str">
        <f t="shared" si="368"/>
        <v>NO</v>
      </c>
      <c r="C1666" s="93" t="s">
        <v>5503</v>
      </c>
      <c r="D1666" s="4">
        <v>41256</v>
      </c>
      <c r="E1666" s="2">
        <v>43831</v>
      </c>
      <c r="F1666" s="2">
        <f t="shared" si="369"/>
        <v>47484</v>
      </c>
      <c r="G1666" s="6">
        <v>252.52</v>
      </c>
      <c r="H1666" s="7" t="s">
        <v>324</v>
      </c>
      <c r="I1666" s="7" t="s">
        <v>79</v>
      </c>
      <c r="J1666" s="109"/>
      <c r="K1666" s="266">
        <f t="shared" si="370"/>
        <v>2030</v>
      </c>
      <c r="L1666" s="391"/>
      <c r="M1666" s="391"/>
      <c r="N1666" s="32"/>
      <c r="O1666" s="32"/>
      <c r="P1666" s="278"/>
      <c r="Q1666" s="233"/>
      <c r="R1666" s="75">
        <v>1035.5</v>
      </c>
      <c r="S1666" s="75">
        <v>2277</v>
      </c>
      <c r="T1666" s="75">
        <v>3312.5</v>
      </c>
      <c r="U1666" s="200"/>
      <c r="V1666" s="75"/>
      <c r="W1666" s="75"/>
      <c r="X1666" s="200"/>
      <c r="Y1666" s="1"/>
      <c r="Z1666" s="31">
        <v>0.1</v>
      </c>
      <c r="AA1666" s="223">
        <v>0.09</v>
      </c>
      <c r="AB1666" s="302"/>
      <c r="AC1666" s="302"/>
      <c r="AD1666" s="302"/>
      <c r="AE1666" s="302"/>
      <c r="AF1666">
        <f t="shared" si="363"/>
        <v>0</v>
      </c>
    </row>
    <row r="1667" spans="1:32" hidden="1" x14ac:dyDescent="0.25">
      <c r="A1667" s="322" t="s">
        <v>4470</v>
      </c>
      <c r="B1667" s="93" t="str">
        <f t="shared" si="368"/>
        <v>NO</v>
      </c>
      <c r="C1667" s="93" t="s">
        <v>5503</v>
      </c>
      <c r="D1667" s="4">
        <v>41256</v>
      </c>
      <c r="E1667" s="2">
        <v>43831</v>
      </c>
      <c r="F1667" s="2">
        <f t="shared" si="369"/>
        <v>47484</v>
      </c>
      <c r="G1667" s="6">
        <v>638.38</v>
      </c>
      <c r="H1667" s="7" t="s">
        <v>5430</v>
      </c>
      <c r="I1667" s="7" t="s">
        <v>79</v>
      </c>
      <c r="J1667" s="109"/>
      <c r="K1667" s="266">
        <f t="shared" si="370"/>
        <v>2030</v>
      </c>
      <c r="L1667" s="391"/>
      <c r="M1667" s="391"/>
      <c r="N1667" s="32"/>
      <c r="O1667" s="32"/>
      <c r="P1667" s="278"/>
      <c r="Q1667" s="233"/>
      <c r="R1667" s="75">
        <v>2386.5</v>
      </c>
      <c r="S1667" s="75">
        <v>5112</v>
      </c>
      <c r="T1667" s="75">
        <v>7498.5</v>
      </c>
      <c r="U1667" s="200"/>
      <c r="V1667" s="75"/>
      <c r="W1667" s="75"/>
      <c r="X1667" s="200"/>
      <c r="Y1667" s="1"/>
      <c r="Z1667" s="31">
        <v>0.1</v>
      </c>
      <c r="AA1667" s="223">
        <v>0.09</v>
      </c>
      <c r="AB1667" s="302"/>
      <c r="AC1667" s="302"/>
      <c r="AD1667" s="302"/>
      <c r="AE1667" s="302"/>
      <c r="AF1667">
        <f t="shared" si="363"/>
        <v>0</v>
      </c>
    </row>
    <row r="1668" spans="1:32" hidden="1" x14ac:dyDescent="0.25">
      <c r="A1668" s="322" t="s">
        <v>4471</v>
      </c>
      <c r="B1668" s="93" t="str">
        <f t="shared" si="368"/>
        <v>NO</v>
      </c>
      <c r="C1668" s="93" t="s">
        <v>5503</v>
      </c>
      <c r="D1668" s="4">
        <v>41256</v>
      </c>
      <c r="E1668" s="2">
        <v>43831</v>
      </c>
      <c r="F1668" s="2">
        <f t="shared" si="369"/>
        <v>47484</v>
      </c>
      <c r="G1668" s="6">
        <v>75</v>
      </c>
      <c r="H1668" s="7" t="s">
        <v>5430</v>
      </c>
      <c r="I1668" s="7" t="s">
        <v>79</v>
      </c>
      <c r="J1668" s="109"/>
      <c r="K1668" s="266">
        <f t="shared" si="370"/>
        <v>2030</v>
      </c>
      <c r="L1668" s="391"/>
      <c r="M1668" s="391"/>
      <c r="N1668" s="32"/>
      <c r="O1668" s="32"/>
      <c r="P1668" s="278"/>
      <c r="Q1668" s="233"/>
      <c r="R1668" s="75">
        <v>412.5</v>
      </c>
      <c r="S1668" s="75">
        <v>675</v>
      </c>
      <c r="T1668" s="75">
        <v>1087.5</v>
      </c>
      <c r="U1668" s="200"/>
      <c r="V1668" s="75"/>
      <c r="W1668" s="75"/>
      <c r="X1668" s="200"/>
      <c r="Y1668" s="1"/>
      <c r="Z1668" s="31">
        <v>0.1</v>
      </c>
      <c r="AA1668" s="223">
        <v>0.09</v>
      </c>
      <c r="AB1668" s="302"/>
      <c r="AC1668" s="302"/>
      <c r="AD1668" s="302"/>
      <c r="AE1668" s="302"/>
      <c r="AF1668">
        <f t="shared" si="363"/>
        <v>0</v>
      </c>
    </row>
    <row r="1669" spans="1:32" hidden="1" x14ac:dyDescent="0.25">
      <c r="A1669" s="322" t="s">
        <v>4472</v>
      </c>
      <c r="B1669" s="93" t="str">
        <f t="shared" si="368"/>
        <v>NO</v>
      </c>
      <c r="C1669" s="93" t="s">
        <v>5503</v>
      </c>
      <c r="D1669" s="4">
        <v>41256</v>
      </c>
      <c r="E1669" s="2">
        <v>43831</v>
      </c>
      <c r="F1669" s="2">
        <f t="shared" si="369"/>
        <v>47484</v>
      </c>
      <c r="G1669" s="6">
        <v>95.39</v>
      </c>
      <c r="H1669" s="7" t="s">
        <v>5430</v>
      </c>
      <c r="I1669" s="7" t="s">
        <v>79</v>
      </c>
      <c r="J1669" s="109"/>
      <c r="K1669" s="266">
        <f t="shared" si="370"/>
        <v>2030</v>
      </c>
      <c r="L1669" s="391"/>
      <c r="M1669" s="391"/>
      <c r="N1669" s="32"/>
      <c r="O1669" s="32"/>
      <c r="P1669" s="278"/>
      <c r="Q1669" s="233"/>
      <c r="R1669" s="75">
        <v>486</v>
      </c>
      <c r="S1669" s="75">
        <v>864</v>
      </c>
      <c r="T1669" s="75">
        <v>1350</v>
      </c>
      <c r="U1669" s="200"/>
      <c r="V1669" s="75"/>
      <c r="W1669" s="75"/>
      <c r="X1669" s="200"/>
      <c r="Y1669" s="1"/>
      <c r="Z1669" s="31">
        <v>0.1</v>
      </c>
      <c r="AA1669" s="223">
        <v>0.09</v>
      </c>
      <c r="AB1669" s="302"/>
      <c r="AC1669" s="302"/>
      <c r="AD1669" s="302"/>
      <c r="AE1669" s="302"/>
      <c r="AF1669">
        <f t="shared" si="363"/>
        <v>0</v>
      </c>
    </row>
    <row r="1670" spans="1:32" hidden="1" x14ac:dyDescent="0.25">
      <c r="A1670" s="322" t="s">
        <v>4473</v>
      </c>
      <c r="B1670" s="93" t="str">
        <f t="shared" si="368"/>
        <v>NO</v>
      </c>
      <c r="C1670" s="93" t="s">
        <v>5503</v>
      </c>
      <c r="D1670" s="4">
        <v>41256</v>
      </c>
      <c r="E1670" s="2">
        <v>43831</v>
      </c>
      <c r="F1670" s="2">
        <f t="shared" si="369"/>
        <v>47484</v>
      </c>
      <c r="G1670" s="6">
        <v>77.69</v>
      </c>
      <c r="H1670" s="7" t="s">
        <v>5430</v>
      </c>
      <c r="I1670" s="7" t="s">
        <v>79</v>
      </c>
      <c r="J1670" s="109" t="s">
        <v>8201</v>
      </c>
      <c r="K1670" s="266">
        <f t="shared" si="370"/>
        <v>2030</v>
      </c>
      <c r="L1670" s="391"/>
      <c r="M1670" s="391"/>
      <c r="N1670" s="32"/>
      <c r="O1670" s="32"/>
      <c r="P1670" s="278"/>
      <c r="Q1670" s="233"/>
      <c r="R1670" s="75">
        <v>423</v>
      </c>
      <c r="S1670" s="75">
        <v>624</v>
      </c>
      <c r="T1670" s="75">
        <v>1047</v>
      </c>
      <c r="U1670" s="200"/>
      <c r="V1670" s="75"/>
      <c r="W1670" s="75"/>
      <c r="X1670" s="200"/>
      <c r="Y1670" s="1"/>
      <c r="Z1670" s="31">
        <v>0.1</v>
      </c>
      <c r="AA1670" s="223">
        <v>0.09</v>
      </c>
      <c r="AB1670" s="302"/>
      <c r="AC1670" s="302"/>
      <c r="AD1670" s="302"/>
      <c r="AE1670" s="302"/>
      <c r="AF1670">
        <f t="shared" si="363"/>
        <v>0</v>
      </c>
    </row>
    <row r="1671" spans="1:32" hidden="1" x14ac:dyDescent="0.25">
      <c r="A1671" s="322" t="s">
        <v>4474</v>
      </c>
      <c r="B1671" s="93" t="str">
        <f t="shared" si="368"/>
        <v>NO</v>
      </c>
      <c r="C1671" s="93" t="s">
        <v>5503</v>
      </c>
      <c r="D1671" s="4">
        <v>41256</v>
      </c>
      <c r="E1671" s="2">
        <v>43831</v>
      </c>
      <c r="F1671" s="2">
        <f t="shared" si="369"/>
        <v>47484</v>
      </c>
      <c r="G1671" s="6">
        <v>598.84</v>
      </c>
      <c r="H1671" s="7" t="s">
        <v>5430</v>
      </c>
      <c r="I1671" s="7" t="s">
        <v>79</v>
      </c>
      <c r="J1671" s="109"/>
      <c r="K1671" s="266">
        <f t="shared" si="370"/>
        <v>2030</v>
      </c>
      <c r="L1671" s="391"/>
      <c r="M1671" s="391"/>
      <c r="N1671" s="32"/>
      <c r="O1671" s="32"/>
      <c r="P1671" s="278"/>
      <c r="Q1671" s="233"/>
      <c r="R1671" s="75">
        <v>2246.5</v>
      </c>
      <c r="S1671" s="75">
        <v>5391</v>
      </c>
      <c r="T1671" s="75">
        <v>7637.5</v>
      </c>
      <c r="U1671" s="200"/>
      <c r="V1671" s="75"/>
      <c r="W1671" s="75"/>
      <c r="X1671" s="200"/>
      <c r="Y1671" s="1"/>
      <c r="Z1671" s="31">
        <v>0.1</v>
      </c>
      <c r="AA1671" s="223">
        <v>0.09</v>
      </c>
      <c r="AB1671" s="302"/>
      <c r="AC1671" s="302"/>
      <c r="AD1671" s="302"/>
      <c r="AE1671" s="302"/>
      <c r="AF1671">
        <f t="shared" si="363"/>
        <v>0</v>
      </c>
    </row>
    <row r="1672" spans="1:32" hidden="1" x14ac:dyDescent="0.25">
      <c r="A1672" s="322" t="s">
        <v>4475</v>
      </c>
      <c r="B1672" s="93" t="str">
        <f t="shared" si="368"/>
        <v>NO</v>
      </c>
      <c r="C1672" s="93" t="s">
        <v>5503</v>
      </c>
      <c r="D1672" s="4">
        <v>41256</v>
      </c>
      <c r="E1672" s="2">
        <v>43831</v>
      </c>
      <c r="F1672" s="2">
        <f t="shared" si="369"/>
        <v>47484</v>
      </c>
      <c r="G1672" s="6">
        <v>318.94</v>
      </c>
      <c r="H1672" s="7" t="s">
        <v>5430</v>
      </c>
      <c r="I1672" s="7" t="s">
        <v>79</v>
      </c>
      <c r="J1672" s="109"/>
      <c r="K1672" s="266">
        <f t="shared" si="370"/>
        <v>2030</v>
      </c>
      <c r="L1672" s="391"/>
      <c r="M1672" s="391"/>
      <c r="N1672" s="32"/>
      <c r="O1672" s="32"/>
      <c r="P1672" s="278"/>
      <c r="Q1672" s="233"/>
      <c r="R1672" s="75">
        <v>1266.5</v>
      </c>
      <c r="S1672" s="75">
        <v>2552</v>
      </c>
      <c r="T1672" s="75">
        <v>3818.5</v>
      </c>
      <c r="U1672" s="200"/>
      <c r="V1672" s="75"/>
      <c r="W1672" s="75"/>
      <c r="X1672" s="200"/>
      <c r="Y1672" s="1"/>
      <c r="Z1672" s="31">
        <v>0.1</v>
      </c>
      <c r="AA1672" s="223">
        <v>0.09</v>
      </c>
      <c r="AB1672" s="302"/>
      <c r="AC1672" s="302"/>
      <c r="AD1672" s="302"/>
      <c r="AE1672" s="302"/>
      <c r="AF1672">
        <f t="shared" si="363"/>
        <v>0</v>
      </c>
    </row>
    <row r="1673" spans="1:32" hidden="1" x14ac:dyDescent="0.25">
      <c r="A1673" s="322" t="s">
        <v>4476</v>
      </c>
      <c r="B1673" s="93" t="str">
        <f t="shared" si="368"/>
        <v>NO</v>
      </c>
      <c r="C1673" s="93" t="s">
        <v>5503</v>
      </c>
      <c r="D1673" s="4">
        <v>41256</v>
      </c>
      <c r="E1673" s="2">
        <v>43831</v>
      </c>
      <c r="F1673" s="2">
        <f t="shared" si="369"/>
        <v>47484</v>
      </c>
      <c r="G1673" s="6">
        <v>199.07</v>
      </c>
      <c r="H1673" s="7" t="s">
        <v>5430</v>
      </c>
      <c r="I1673" s="7" t="s">
        <v>79</v>
      </c>
      <c r="J1673" s="109"/>
      <c r="K1673" s="266">
        <f t="shared" si="370"/>
        <v>2030</v>
      </c>
      <c r="L1673" s="391"/>
      <c r="M1673" s="391"/>
      <c r="N1673" s="32"/>
      <c r="O1673" s="32"/>
      <c r="P1673" s="278"/>
      <c r="Q1673" s="233"/>
      <c r="R1673" s="75">
        <v>850</v>
      </c>
      <c r="S1673" s="75">
        <v>1800</v>
      </c>
      <c r="T1673" s="75">
        <v>2650</v>
      </c>
      <c r="U1673" s="200"/>
      <c r="V1673" s="75"/>
      <c r="W1673" s="75"/>
      <c r="X1673" s="200"/>
      <c r="Y1673" s="1"/>
      <c r="Z1673" s="31">
        <v>0.1</v>
      </c>
      <c r="AA1673" s="223">
        <v>0.09</v>
      </c>
      <c r="AB1673" s="302"/>
      <c r="AC1673" s="302"/>
      <c r="AD1673" s="302"/>
      <c r="AE1673" s="302"/>
      <c r="AF1673">
        <f t="shared" si="363"/>
        <v>0</v>
      </c>
    </row>
    <row r="1674" spans="1:32" hidden="1" x14ac:dyDescent="0.25">
      <c r="A1674" s="322" t="s">
        <v>4477</v>
      </c>
      <c r="B1674" s="93" t="str">
        <f t="shared" si="368"/>
        <v>NO</v>
      </c>
      <c r="C1674" s="93" t="s">
        <v>5503</v>
      </c>
      <c r="D1674" s="4">
        <v>41256</v>
      </c>
      <c r="E1674" s="2">
        <v>43831</v>
      </c>
      <c r="F1674" s="2">
        <f t="shared" si="369"/>
        <v>47484</v>
      </c>
      <c r="G1674" s="6">
        <v>137.4</v>
      </c>
      <c r="H1674" s="7" t="s">
        <v>5430</v>
      </c>
      <c r="I1674" s="7" t="s">
        <v>79</v>
      </c>
      <c r="J1674" s="109"/>
      <c r="K1674" s="266">
        <f t="shared" si="370"/>
        <v>2030</v>
      </c>
      <c r="L1674" s="391"/>
      <c r="M1674" s="391"/>
      <c r="N1674" s="32"/>
      <c r="O1674" s="32"/>
      <c r="P1674" s="278"/>
      <c r="Q1674" s="233"/>
      <c r="R1674" s="75">
        <v>633</v>
      </c>
      <c r="S1674" s="75">
        <v>1242</v>
      </c>
      <c r="T1674" s="75">
        <v>1875</v>
      </c>
      <c r="U1674" s="200"/>
      <c r="V1674" s="75"/>
      <c r="W1674" s="75"/>
      <c r="X1674" s="200"/>
      <c r="Y1674" s="1"/>
      <c r="Z1674" s="31">
        <v>0.1</v>
      </c>
      <c r="AA1674" s="223">
        <v>0.09</v>
      </c>
      <c r="AB1674" s="302"/>
      <c r="AC1674" s="302"/>
      <c r="AD1674" s="302"/>
      <c r="AE1674" s="302"/>
      <c r="AF1674">
        <f t="shared" si="363"/>
        <v>0</v>
      </c>
    </row>
    <row r="1675" spans="1:32" ht="26.25" hidden="1" x14ac:dyDescent="0.25">
      <c r="A1675" s="322" t="s">
        <v>4478</v>
      </c>
      <c r="B1675" s="93" t="str">
        <f t="shared" ref="B1675:B1698" si="371">IF(COUNTIF(GIS,A1675),"YES","NO")</f>
        <v>NO</v>
      </c>
      <c r="C1675" s="93" t="s">
        <v>5503</v>
      </c>
      <c r="D1675" s="4">
        <v>41256</v>
      </c>
      <c r="E1675" s="2"/>
      <c r="F1675" s="2"/>
      <c r="G1675" s="6">
        <v>517.99</v>
      </c>
      <c r="H1675" s="7" t="s">
        <v>5430</v>
      </c>
      <c r="I1675" s="7" t="s">
        <v>79</v>
      </c>
      <c r="J1675" s="109" t="s">
        <v>8200</v>
      </c>
      <c r="K1675" s="266"/>
      <c r="L1675" s="391"/>
      <c r="M1675" s="391"/>
      <c r="N1675" s="32"/>
      <c r="O1675" s="32"/>
      <c r="P1675" s="278"/>
      <c r="Q1675" s="233"/>
      <c r="R1675" s="75">
        <v>1963</v>
      </c>
      <c r="S1675" s="75">
        <v>4144</v>
      </c>
      <c r="T1675" s="75">
        <v>6107</v>
      </c>
      <c r="U1675" s="200"/>
      <c r="V1675" s="75"/>
      <c r="W1675" s="75"/>
      <c r="X1675" s="200"/>
      <c r="Y1675" s="1"/>
      <c r="Z1675" s="31">
        <v>0.1</v>
      </c>
      <c r="AA1675" s="223">
        <v>0.09</v>
      </c>
      <c r="AB1675" s="302"/>
      <c r="AC1675" s="302"/>
      <c r="AD1675" s="302"/>
      <c r="AE1675" s="302"/>
      <c r="AF1675">
        <f t="shared" si="363"/>
        <v>0</v>
      </c>
    </row>
    <row r="1676" spans="1:32" hidden="1" x14ac:dyDescent="0.25">
      <c r="A1676" s="322" t="s">
        <v>4479</v>
      </c>
      <c r="B1676" s="93" t="str">
        <f t="shared" si="371"/>
        <v>NO</v>
      </c>
      <c r="C1676" s="93" t="s">
        <v>5503</v>
      </c>
      <c r="D1676" s="4">
        <v>41256</v>
      </c>
      <c r="E1676" s="2">
        <v>43831</v>
      </c>
      <c r="F1676" s="2">
        <f t="shared" si="369"/>
        <v>47484</v>
      </c>
      <c r="G1676" s="6">
        <v>478.34</v>
      </c>
      <c r="H1676" s="7" t="s">
        <v>5430</v>
      </c>
      <c r="I1676" s="7" t="s">
        <v>79</v>
      </c>
      <c r="J1676" s="109"/>
      <c r="K1676" s="266">
        <f t="shared" si="370"/>
        <v>2030</v>
      </c>
      <c r="L1676" s="391"/>
      <c r="M1676" s="391"/>
      <c r="N1676" s="32"/>
      <c r="O1676" s="32"/>
      <c r="P1676" s="278"/>
      <c r="Q1676" s="233"/>
      <c r="R1676" s="75">
        <v>1826.5</v>
      </c>
      <c r="S1676" s="75">
        <v>4311</v>
      </c>
      <c r="T1676" s="75">
        <v>6137.5</v>
      </c>
      <c r="U1676" s="200"/>
      <c r="V1676" s="75"/>
      <c r="W1676" s="75"/>
      <c r="X1676" s="200"/>
      <c r="Y1676" s="1"/>
      <c r="Z1676" s="31">
        <v>0.1</v>
      </c>
      <c r="AA1676" s="223">
        <v>0.09</v>
      </c>
      <c r="AB1676" s="302"/>
      <c r="AC1676" s="302"/>
      <c r="AD1676" s="302"/>
      <c r="AE1676" s="302"/>
      <c r="AF1676">
        <f t="shared" si="363"/>
        <v>0</v>
      </c>
    </row>
    <row r="1677" spans="1:32" hidden="1" x14ac:dyDescent="0.25">
      <c r="A1677" s="322" t="s">
        <v>4480</v>
      </c>
      <c r="B1677" s="93" t="str">
        <f t="shared" si="371"/>
        <v>NO</v>
      </c>
      <c r="C1677" s="93" t="s">
        <v>5503</v>
      </c>
      <c r="D1677" s="4">
        <v>41256</v>
      </c>
      <c r="E1677" s="2">
        <v>43831</v>
      </c>
      <c r="F1677" s="2">
        <f t="shared" si="369"/>
        <v>47484</v>
      </c>
      <c r="G1677" s="6">
        <v>479.21</v>
      </c>
      <c r="H1677" s="7" t="s">
        <v>5430</v>
      </c>
      <c r="I1677" s="7" t="s">
        <v>79</v>
      </c>
      <c r="J1677" s="109"/>
      <c r="K1677" s="266">
        <f t="shared" si="370"/>
        <v>2030</v>
      </c>
      <c r="L1677" s="391"/>
      <c r="M1677" s="391"/>
      <c r="N1677" s="32"/>
      <c r="O1677" s="32"/>
      <c r="P1677" s="278"/>
      <c r="Q1677" s="233"/>
      <c r="R1677" s="75">
        <v>1830</v>
      </c>
      <c r="S1677" s="75">
        <v>3840</v>
      </c>
      <c r="T1677" s="75">
        <v>5670</v>
      </c>
      <c r="U1677" s="200"/>
      <c r="V1677" s="75"/>
      <c r="W1677" s="75"/>
      <c r="X1677" s="200"/>
      <c r="Y1677" s="1"/>
      <c r="Z1677" s="31">
        <v>0.1</v>
      </c>
      <c r="AA1677" s="223">
        <v>0.09</v>
      </c>
      <c r="AB1677" s="302"/>
      <c r="AC1677" s="302"/>
      <c r="AD1677" s="302"/>
      <c r="AE1677" s="302"/>
      <c r="AF1677">
        <f t="shared" si="363"/>
        <v>0</v>
      </c>
    </row>
    <row r="1678" spans="1:32" hidden="1" x14ac:dyDescent="0.25">
      <c r="A1678" s="322" t="s">
        <v>4481</v>
      </c>
      <c r="B1678" s="93" t="str">
        <f t="shared" si="371"/>
        <v>NO</v>
      </c>
      <c r="C1678" s="93" t="s">
        <v>5503</v>
      </c>
      <c r="D1678" s="4">
        <v>41256</v>
      </c>
      <c r="E1678" s="2">
        <v>43831</v>
      </c>
      <c r="F1678" s="2">
        <f t="shared" si="369"/>
        <v>47484</v>
      </c>
      <c r="G1678" s="6">
        <v>439.1</v>
      </c>
      <c r="H1678" s="7" t="s">
        <v>5430</v>
      </c>
      <c r="I1678" s="7" t="s">
        <v>79</v>
      </c>
      <c r="J1678" s="109"/>
      <c r="K1678" s="266">
        <f t="shared" si="370"/>
        <v>2030</v>
      </c>
      <c r="L1678" s="391"/>
      <c r="M1678" s="391"/>
      <c r="N1678" s="32"/>
      <c r="O1678" s="32"/>
      <c r="P1678" s="278"/>
      <c r="Q1678" s="233"/>
      <c r="R1678" s="75">
        <v>1690</v>
      </c>
      <c r="S1678" s="75">
        <v>3960</v>
      </c>
      <c r="T1678" s="75">
        <v>5650</v>
      </c>
      <c r="U1678" s="200"/>
      <c r="V1678" s="75"/>
      <c r="W1678" s="75"/>
      <c r="X1678" s="200"/>
      <c r="Y1678" s="1"/>
      <c r="Z1678" s="31">
        <v>0.1</v>
      </c>
      <c r="AA1678" s="223">
        <v>0.09</v>
      </c>
      <c r="AB1678" s="302"/>
      <c r="AC1678" s="302"/>
      <c r="AD1678" s="302"/>
      <c r="AE1678" s="302"/>
      <c r="AF1678">
        <f t="shared" si="363"/>
        <v>0</v>
      </c>
    </row>
    <row r="1679" spans="1:32" hidden="1" x14ac:dyDescent="0.25">
      <c r="A1679" s="322" t="s">
        <v>4482</v>
      </c>
      <c r="B1679" s="93" t="str">
        <f t="shared" si="371"/>
        <v>NO</v>
      </c>
      <c r="C1679" s="93" t="s">
        <v>5503</v>
      </c>
      <c r="D1679" s="4">
        <v>41256</v>
      </c>
      <c r="E1679" s="2">
        <v>43831</v>
      </c>
      <c r="F1679" s="2">
        <f t="shared" si="369"/>
        <v>47484</v>
      </c>
      <c r="G1679" s="6">
        <v>638.70000000000005</v>
      </c>
      <c r="H1679" s="7" t="s">
        <v>5430</v>
      </c>
      <c r="I1679" s="7" t="s">
        <v>79</v>
      </c>
      <c r="J1679" s="109"/>
      <c r="K1679" s="266">
        <f t="shared" si="370"/>
        <v>2030</v>
      </c>
      <c r="L1679" s="391"/>
      <c r="M1679" s="391"/>
      <c r="N1679" s="32"/>
      <c r="O1679" s="32"/>
      <c r="P1679" s="278"/>
      <c r="Q1679" s="233"/>
      <c r="R1679" s="75">
        <v>2386.5</v>
      </c>
      <c r="S1679" s="75">
        <v>5112</v>
      </c>
      <c r="T1679" s="75">
        <v>7498.5</v>
      </c>
      <c r="U1679" s="200"/>
      <c r="V1679" s="75"/>
      <c r="W1679" s="75"/>
      <c r="X1679" s="200"/>
      <c r="Y1679" s="1"/>
      <c r="Z1679" s="31">
        <v>0.1</v>
      </c>
      <c r="AA1679" s="223">
        <v>0.09</v>
      </c>
      <c r="AB1679" s="302"/>
      <c r="AC1679" s="302"/>
      <c r="AD1679" s="302"/>
      <c r="AE1679" s="302"/>
      <c r="AF1679">
        <f t="shared" si="363"/>
        <v>0</v>
      </c>
    </row>
    <row r="1680" spans="1:32" hidden="1" x14ac:dyDescent="0.25">
      <c r="A1680" s="322" t="s">
        <v>4483</v>
      </c>
      <c r="B1680" s="93" t="str">
        <f t="shared" si="371"/>
        <v>NO</v>
      </c>
      <c r="C1680" s="93" t="s">
        <v>5503</v>
      </c>
      <c r="D1680" s="4">
        <v>41256</v>
      </c>
      <c r="E1680" s="2">
        <v>43831</v>
      </c>
      <c r="F1680" s="2">
        <f t="shared" si="369"/>
        <v>47484</v>
      </c>
      <c r="G1680" s="6">
        <v>472.88</v>
      </c>
      <c r="H1680" s="7" t="s">
        <v>5430</v>
      </c>
      <c r="I1680" s="7" t="s">
        <v>79</v>
      </c>
      <c r="J1680" s="109"/>
      <c r="K1680" s="266">
        <f t="shared" si="370"/>
        <v>2030</v>
      </c>
      <c r="L1680" s="391"/>
      <c r="M1680" s="391"/>
      <c r="N1680" s="32"/>
      <c r="O1680" s="32"/>
      <c r="P1680" s="278"/>
      <c r="Q1680" s="233"/>
      <c r="R1680" s="75">
        <v>1805.5</v>
      </c>
      <c r="S1680" s="75">
        <v>4257</v>
      </c>
      <c r="T1680" s="75">
        <v>6062.5</v>
      </c>
      <c r="U1680" s="200"/>
      <c r="V1680" s="75"/>
      <c r="W1680" s="75"/>
      <c r="X1680" s="200"/>
      <c r="Y1680" s="1"/>
      <c r="Z1680" s="31">
        <v>0.1</v>
      </c>
      <c r="AA1680" s="223">
        <v>0.09</v>
      </c>
      <c r="AB1680" s="302"/>
      <c r="AC1680" s="302"/>
      <c r="AD1680" s="302"/>
      <c r="AE1680" s="302"/>
      <c r="AF1680">
        <f t="shared" si="363"/>
        <v>0</v>
      </c>
    </row>
    <row r="1681" spans="1:32" hidden="1" x14ac:dyDescent="0.25">
      <c r="A1681" s="322" t="s">
        <v>4484</v>
      </c>
      <c r="B1681" s="93" t="str">
        <f t="shared" si="371"/>
        <v>NO</v>
      </c>
      <c r="C1681" s="93" t="s">
        <v>5503</v>
      </c>
      <c r="D1681" s="4">
        <v>41256</v>
      </c>
      <c r="E1681" s="2">
        <v>43831</v>
      </c>
      <c r="F1681" s="2">
        <f t="shared" si="369"/>
        <v>47484</v>
      </c>
      <c r="G1681" s="6">
        <v>336.1</v>
      </c>
      <c r="H1681" s="7" t="s">
        <v>5430</v>
      </c>
      <c r="I1681" s="7" t="s">
        <v>79</v>
      </c>
      <c r="J1681" s="109"/>
      <c r="K1681" s="266">
        <f t="shared" si="370"/>
        <v>2030</v>
      </c>
      <c r="L1681" s="391"/>
      <c r="M1681" s="391"/>
      <c r="N1681" s="32"/>
      <c r="O1681" s="32"/>
      <c r="P1681" s="278"/>
      <c r="Q1681" s="233"/>
      <c r="R1681" s="75">
        <v>1329.5</v>
      </c>
      <c r="S1681" s="75">
        <v>3033</v>
      </c>
      <c r="T1681" s="75">
        <v>4362.5</v>
      </c>
      <c r="U1681" s="200"/>
      <c r="V1681" s="75"/>
      <c r="W1681" s="75"/>
      <c r="X1681" s="200"/>
      <c r="Y1681" s="1"/>
      <c r="Z1681" s="31">
        <v>0.1</v>
      </c>
      <c r="AA1681" s="223">
        <v>0.09</v>
      </c>
      <c r="AB1681" s="302"/>
      <c r="AC1681" s="302"/>
      <c r="AD1681" s="302"/>
      <c r="AE1681" s="302"/>
      <c r="AF1681">
        <f t="shared" si="363"/>
        <v>0</v>
      </c>
    </row>
    <row r="1682" spans="1:32" hidden="1" x14ac:dyDescent="0.25">
      <c r="A1682" s="322" t="s">
        <v>4485</v>
      </c>
      <c r="B1682" s="93" t="str">
        <f t="shared" si="371"/>
        <v>NO</v>
      </c>
      <c r="C1682" s="93" t="s">
        <v>5503</v>
      </c>
      <c r="D1682" s="4">
        <v>41256</v>
      </c>
      <c r="E1682" s="2">
        <v>43831</v>
      </c>
      <c r="F1682" s="2">
        <f t="shared" si="369"/>
        <v>47484</v>
      </c>
      <c r="G1682" s="6">
        <v>269.02999999999997</v>
      </c>
      <c r="H1682" s="7" t="s">
        <v>5430</v>
      </c>
      <c r="I1682" s="7" t="s">
        <v>79</v>
      </c>
      <c r="J1682" s="109"/>
      <c r="K1682" s="266">
        <f t="shared" si="370"/>
        <v>2030</v>
      </c>
      <c r="L1682" s="391"/>
      <c r="M1682" s="391"/>
      <c r="N1682" s="32"/>
      <c r="O1682" s="32"/>
      <c r="P1682" s="278"/>
      <c r="Q1682" s="233"/>
      <c r="R1682" s="75">
        <v>1095</v>
      </c>
      <c r="S1682" s="75">
        <v>2160</v>
      </c>
      <c r="T1682" s="75">
        <v>3255</v>
      </c>
      <c r="U1682" s="200"/>
      <c r="V1682" s="75"/>
      <c r="W1682" s="75"/>
      <c r="X1682" s="200"/>
      <c r="Y1682" s="1"/>
      <c r="Z1682" s="31">
        <v>0.1</v>
      </c>
      <c r="AA1682" s="223">
        <v>0.09</v>
      </c>
      <c r="AB1682" s="302"/>
      <c r="AC1682" s="302"/>
      <c r="AD1682" s="302"/>
      <c r="AE1682" s="302"/>
      <c r="AF1682">
        <f t="shared" si="363"/>
        <v>0</v>
      </c>
    </row>
    <row r="1683" spans="1:32" hidden="1" x14ac:dyDescent="0.25">
      <c r="A1683" s="322" t="s">
        <v>4486</v>
      </c>
      <c r="B1683" s="93" t="str">
        <f t="shared" si="371"/>
        <v>NO</v>
      </c>
      <c r="C1683" s="93" t="s">
        <v>5503</v>
      </c>
      <c r="D1683" s="4">
        <v>41256</v>
      </c>
      <c r="E1683" s="2">
        <v>43831</v>
      </c>
      <c r="F1683" s="2">
        <f t="shared" si="369"/>
        <v>47484</v>
      </c>
      <c r="G1683" s="6">
        <v>638.4</v>
      </c>
      <c r="H1683" s="7" t="s">
        <v>5430</v>
      </c>
      <c r="I1683" s="7" t="s">
        <v>79</v>
      </c>
      <c r="J1683" s="109"/>
      <c r="K1683" s="266">
        <f t="shared" si="370"/>
        <v>2030</v>
      </c>
      <c r="L1683" s="391"/>
      <c r="M1683" s="391"/>
      <c r="N1683" s="32"/>
      <c r="O1683" s="32"/>
      <c r="P1683" s="278"/>
      <c r="Q1683" s="233"/>
      <c r="R1683" s="75">
        <v>2386.5</v>
      </c>
      <c r="S1683" s="75">
        <v>5751</v>
      </c>
      <c r="T1683" s="75">
        <v>8137.5</v>
      </c>
      <c r="U1683" s="200"/>
      <c r="V1683" s="75"/>
      <c r="W1683" s="75"/>
      <c r="X1683" s="200"/>
      <c r="Y1683" s="1"/>
      <c r="Z1683" s="31">
        <v>0.1</v>
      </c>
      <c r="AA1683" s="223">
        <v>0.09</v>
      </c>
      <c r="AB1683" s="302"/>
      <c r="AC1683" s="302"/>
      <c r="AD1683" s="302"/>
      <c r="AE1683" s="302"/>
      <c r="AF1683">
        <f t="shared" si="363"/>
        <v>0</v>
      </c>
    </row>
    <row r="1684" spans="1:32" hidden="1" x14ac:dyDescent="0.25">
      <c r="A1684" s="322" t="s">
        <v>4487</v>
      </c>
      <c r="B1684" s="93" t="str">
        <f t="shared" si="371"/>
        <v>NO</v>
      </c>
      <c r="C1684" s="93" t="s">
        <v>5503</v>
      </c>
      <c r="D1684" s="4">
        <v>41256</v>
      </c>
      <c r="E1684" s="2">
        <v>43831</v>
      </c>
      <c r="F1684" s="2">
        <f t="shared" si="369"/>
        <v>47484</v>
      </c>
      <c r="G1684" s="6">
        <v>637.20000000000005</v>
      </c>
      <c r="H1684" s="7" t="s">
        <v>5430</v>
      </c>
      <c r="I1684" s="7" t="s">
        <v>79</v>
      </c>
      <c r="J1684" s="109"/>
      <c r="K1684" s="266">
        <f t="shared" si="370"/>
        <v>2030</v>
      </c>
      <c r="L1684" s="391"/>
      <c r="M1684" s="391"/>
      <c r="N1684" s="32"/>
      <c r="O1684" s="32"/>
      <c r="P1684" s="278"/>
      <c r="Q1684" s="233"/>
      <c r="R1684" s="75">
        <v>2383</v>
      </c>
      <c r="S1684" s="75">
        <v>5104</v>
      </c>
      <c r="T1684" s="75">
        <v>7487</v>
      </c>
      <c r="U1684" s="200"/>
      <c r="V1684" s="75"/>
      <c r="W1684" s="75"/>
      <c r="X1684" s="200"/>
      <c r="Y1684" s="1"/>
      <c r="Z1684" s="31">
        <v>0.1</v>
      </c>
      <c r="AA1684" s="223">
        <v>0.09</v>
      </c>
      <c r="AB1684" s="302"/>
      <c r="AC1684" s="302"/>
      <c r="AD1684" s="302"/>
      <c r="AE1684" s="302"/>
      <c r="AF1684">
        <f t="shared" si="363"/>
        <v>0</v>
      </c>
    </row>
    <row r="1685" spans="1:32" hidden="1" x14ac:dyDescent="0.25">
      <c r="A1685" s="322" t="s">
        <v>4488</v>
      </c>
      <c r="B1685" s="93" t="str">
        <f t="shared" si="371"/>
        <v>NO</v>
      </c>
      <c r="C1685" s="93" t="s">
        <v>5503</v>
      </c>
      <c r="D1685" s="4">
        <v>41256</v>
      </c>
      <c r="E1685" s="2">
        <v>43831</v>
      </c>
      <c r="F1685" s="2">
        <f t="shared" si="369"/>
        <v>47484</v>
      </c>
      <c r="G1685" s="6">
        <v>239.45</v>
      </c>
      <c r="H1685" s="7" t="s">
        <v>5430</v>
      </c>
      <c r="I1685" s="7" t="s">
        <v>79</v>
      </c>
      <c r="J1685" s="109"/>
      <c r="K1685" s="266">
        <f t="shared" si="370"/>
        <v>2030</v>
      </c>
      <c r="L1685" s="391"/>
      <c r="M1685" s="391"/>
      <c r="N1685" s="32"/>
      <c r="O1685" s="32"/>
      <c r="P1685" s="278"/>
      <c r="Q1685" s="233"/>
      <c r="R1685" s="75">
        <v>990</v>
      </c>
      <c r="S1685" s="75">
        <v>2160</v>
      </c>
      <c r="T1685" s="75">
        <v>3150</v>
      </c>
      <c r="U1685" s="200"/>
      <c r="V1685" s="75"/>
      <c r="W1685" s="75"/>
      <c r="X1685" s="200"/>
      <c r="Y1685" s="1"/>
      <c r="Z1685" s="31">
        <v>0.1</v>
      </c>
      <c r="AA1685" s="223">
        <v>0.09</v>
      </c>
      <c r="AB1685" s="302"/>
      <c r="AC1685" s="302"/>
      <c r="AD1685" s="302"/>
      <c r="AE1685" s="302"/>
      <c r="AF1685">
        <f t="shared" si="363"/>
        <v>0</v>
      </c>
    </row>
    <row r="1686" spans="1:32" hidden="1" x14ac:dyDescent="0.25">
      <c r="A1686" s="322" t="s">
        <v>4489</v>
      </c>
      <c r="B1686" s="93" t="str">
        <f t="shared" si="371"/>
        <v>NO</v>
      </c>
      <c r="C1686" s="93" t="s">
        <v>5503</v>
      </c>
      <c r="D1686" s="4">
        <v>41256</v>
      </c>
      <c r="E1686" s="2">
        <v>43831</v>
      </c>
      <c r="F1686" s="2">
        <f t="shared" si="369"/>
        <v>47484</v>
      </c>
      <c r="G1686" s="6">
        <v>91.69</v>
      </c>
      <c r="H1686" s="7" t="s">
        <v>5430</v>
      </c>
      <c r="I1686" s="7" t="s">
        <v>79</v>
      </c>
      <c r="J1686" s="109"/>
      <c r="K1686" s="266">
        <f t="shared" si="370"/>
        <v>2030</v>
      </c>
      <c r="L1686" s="391"/>
      <c r="M1686" s="391"/>
      <c r="N1686" s="32"/>
      <c r="O1686" s="32"/>
      <c r="P1686" s="278"/>
      <c r="Q1686" s="233"/>
      <c r="R1686" s="75">
        <v>472</v>
      </c>
      <c r="S1686" s="75">
        <v>736</v>
      </c>
      <c r="T1686" s="75">
        <v>1208</v>
      </c>
      <c r="U1686" s="200"/>
      <c r="V1686" s="75"/>
      <c r="W1686" s="75"/>
      <c r="X1686" s="200"/>
      <c r="Y1686" s="1"/>
      <c r="Z1686" s="31">
        <v>0.1</v>
      </c>
      <c r="AA1686" s="223">
        <v>0.09</v>
      </c>
      <c r="AB1686" s="302"/>
      <c r="AC1686" s="302"/>
      <c r="AD1686" s="302"/>
      <c r="AE1686" s="302"/>
      <c r="AF1686">
        <f t="shared" si="363"/>
        <v>0</v>
      </c>
    </row>
    <row r="1687" spans="1:32" hidden="1" x14ac:dyDescent="0.25">
      <c r="A1687" s="322" t="s">
        <v>4490</v>
      </c>
      <c r="B1687" s="93" t="str">
        <f t="shared" si="371"/>
        <v>NO</v>
      </c>
      <c r="C1687" s="93" t="s">
        <v>5503</v>
      </c>
      <c r="D1687" s="4">
        <v>41256</v>
      </c>
      <c r="E1687" s="2">
        <v>43831</v>
      </c>
      <c r="F1687" s="2">
        <f t="shared" si="369"/>
        <v>47484</v>
      </c>
      <c r="G1687" s="6">
        <v>393.62</v>
      </c>
      <c r="H1687" s="7" t="s">
        <v>5430</v>
      </c>
      <c r="I1687" s="7" t="s">
        <v>79</v>
      </c>
      <c r="J1687" s="109"/>
      <c r="K1687" s="266">
        <f t="shared" si="370"/>
        <v>2030</v>
      </c>
      <c r="L1687" s="391"/>
      <c r="M1687" s="391"/>
      <c r="N1687" s="32"/>
      <c r="O1687" s="32"/>
      <c r="P1687" s="278"/>
      <c r="Q1687" s="233"/>
      <c r="R1687" s="75">
        <v>1529</v>
      </c>
      <c r="S1687" s="75">
        <v>3546</v>
      </c>
      <c r="T1687" s="75">
        <v>5075</v>
      </c>
      <c r="U1687" s="200"/>
      <c r="V1687" s="75"/>
      <c r="W1687" s="75"/>
      <c r="X1687" s="200"/>
      <c r="Y1687" s="1"/>
      <c r="Z1687" s="31">
        <v>0.1</v>
      </c>
      <c r="AA1687" s="223">
        <v>0.09</v>
      </c>
      <c r="AB1687" s="302"/>
      <c r="AC1687" s="302"/>
      <c r="AD1687" s="302"/>
      <c r="AE1687" s="302"/>
      <c r="AF1687">
        <f t="shared" si="363"/>
        <v>0</v>
      </c>
    </row>
    <row r="1688" spans="1:32" hidden="1" x14ac:dyDescent="0.25">
      <c r="A1688" s="322" t="s">
        <v>4491</v>
      </c>
      <c r="B1688" s="93" t="str">
        <f t="shared" si="371"/>
        <v>NO</v>
      </c>
      <c r="C1688" s="93" t="s">
        <v>5503</v>
      </c>
      <c r="D1688" s="4">
        <v>41256</v>
      </c>
      <c r="E1688" s="2">
        <v>43831</v>
      </c>
      <c r="F1688" s="2">
        <f t="shared" si="369"/>
        <v>47484</v>
      </c>
      <c r="G1688" s="6">
        <v>633.97</v>
      </c>
      <c r="H1688" s="7" t="s">
        <v>5430</v>
      </c>
      <c r="I1688" s="7" t="s">
        <v>79</v>
      </c>
      <c r="J1688" s="109"/>
      <c r="K1688" s="266">
        <f t="shared" si="370"/>
        <v>2030</v>
      </c>
      <c r="L1688" s="391"/>
      <c r="M1688" s="391"/>
      <c r="N1688" s="32"/>
      <c r="O1688" s="32"/>
      <c r="P1688" s="278"/>
      <c r="Q1688" s="233"/>
      <c r="R1688" s="75">
        <v>2369</v>
      </c>
      <c r="S1688" s="75">
        <v>5072</v>
      </c>
      <c r="T1688" s="75">
        <v>7441</v>
      </c>
      <c r="U1688" s="200"/>
      <c r="V1688" s="75"/>
      <c r="W1688" s="75"/>
      <c r="X1688" s="200"/>
      <c r="Y1688" s="1"/>
      <c r="Z1688" s="31">
        <v>0.1</v>
      </c>
      <c r="AA1688" s="223">
        <v>0.09</v>
      </c>
      <c r="AB1688" s="302"/>
      <c r="AC1688" s="302"/>
      <c r="AD1688" s="302"/>
      <c r="AE1688" s="302"/>
      <c r="AF1688">
        <f t="shared" si="363"/>
        <v>0</v>
      </c>
    </row>
    <row r="1689" spans="1:32" hidden="1" x14ac:dyDescent="0.25">
      <c r="A1689" s="322" t="s">
        <v>4492</v>
      </c>
      <c r="B1689" s="93" t="str">
        <f t="shared" si="371"/>
        <v>NO</v>
      </c>
      <c r="C1689" s="93" t="s">
        <v>5503</v>
      </c>
      <c r="D1689" s="4">
        <v>41256</v>
      </c>
      <c r="E1689" s="2">
        <v>43831</v>
      </c>
      <c r="F1689" s="2">
        <f t="shared" si="369"/>
        <v>47484</v>
      </c>
      <c r="G1689" s="6">
        <v>639.08000000000004</v>
      </c>
      <c r="H1689" s="7" t="s">
        <v>5430</v>
      </c>
      <c r="I1689" s="7" t="s">
        <v>79</v>
      </c>
      <c r="J1689" s="109"/>
      <c r="K1689" s="266">
        <f t="shared" si="370"/>
        <v>2030</v>
      </c>
      <c r="L1689" s="391"/>
      <c r="M1689" s="391"/>
      <c r="N1689" s="32"/>
      <c r="O1689" s="32"/>
      <c r="P1689" s="278"/>
      <c r="Q1689" s="233"/>
      <c r="R1689" s="75">
        <v>2390</v>
      </c>
      <c r="S1689" s="75">
        <v>5760</v>
      </c>
      <c r="T1689" s="75">
        <v>8150</v>
      </c>
      <c r="U1689" s="200"/>
      <c r="V1689" s="75"/>
      <c r="W1689" s="75"/>
      <c r="X1689" s="200"/>
      <c r="Y1689" s="1"/>
      <c r="Z1689" s="31">
        <v>0.1</v>
      </c>
      <c r="AA1689" s="223">
        <v>0.09</v>
      </c>
      <c r="AB1689" s="302"/>
      <c r="AC1689" s="302"/>
      <c r="AD1689" s="302"/>
      <c r="AE1689" s="302"/>
      <c r="AF1689">
        <f t="shared" si="363"/>
        <v>0</v>
      </c>
    </row>
    <row r="1690" spans="1:32" hidden="1" x14ac:dyDescent="0.25">
      <c r="A1690" s="322" t="s">
        <v>4493</v>
      </c>
      <c r="B1690" s="93" t="str">
        <f t="shared" si="371"/>
        <v>NO</v>
      </c>
      <c r="C1690" s="93" t="s">
        <v>5503</v>
      </c>
      <c r="D1690" s="4">
        <v>41256</v>
      </c>
      <c r="E1690" s="2">
        <v>43831</v>
      </c>
      <c r="F1690" s="2">
        <f t="shared" si="369"/>
        <v>47484</v>
      </c>
      <c r="G1690" s="6">
        <v>638.72</v>
      </c>
      <c r="H1690" s="7" t="s">
        <v>5430</v>
      </c>
      <c r="I1690" s="7" t="s">
        <v>79</v>
      </c>
      <c r="J1690" s="109"/>
      <c r="K1690" s="266">
        <f t="shared" si="370"/>
        <v>2030</v>
      </c>
      <c r="L1690" s="391"/>
      <c r="M1690" s="391"/>
      <c r="N1690" s="32"/>
      <c r="O1690" s="32"/>
      <c r="P1690" s="278"/>
      <c r="Q1690" s="233"/>
      <c r="R1690" s="75">
        <v>2386.5</v>
      </c>
      <c r="S1690" s="75">
        <v>5112</v>
      </c>
      <c r="T1690" s="75">
        <v>7498.5</v>
      </c>
      <c r="U1690" s="200"/>
      <c r="V1690" s="75"/>
      <c r="W1690" s="75"/>
      <c r="X1690" s="200"/>
      <c r="Y1690" s="1"/>
      <c r="Z1690" s="31">
        <v>0.1</v>
      </c>
      <c r="AA1690" s="223">
        <v>0.09</v>
      </c>
      <c r="AB1690" s="302"/>
      <c r="AC1690" s="302"/>
      <c r="AD1690" s="302"/>
      <c r="AE1690" s="302"/>
      <c r="AF1690">
        <f t="shared" si="363"/>
        <v>0</v>
      </c>
    </row>
    <row r="1691" spans="1:32" hidden="1" x14ac:dyDescent="0.25">
      <c r="A1691" s="322" t="s">
        <v>4494</v>
      </c>
      <c r="B1691" s="93" t="str">
        <f t="shared" si="371"/>
        <v>NO</v>
      </c>
      <c r="C1691" s="93" t="s">
        <v>5503</v>
      </c>
      <c r="D1691" s="4">
        <v>41256</v>
      </c>
      <c r="E1691" s="2">
        <v>43831</v>
      </c>
      <c r="F1691" s="2">
        <f t="shared" si="369"/>
        <v>47484</v>
      </c>
      <c r="G1691" s="6">
        <v>638.08000000000004</v>
      </c>
      <c r="H1691" s="7" t="s">
        <v>5430</v>
      </c>
      <c r="I1691" s="7" t="s">
        <v>79</v>
      </c>
      <c r="J1691" s="109" t="s">
        <v>8201</v>
      </c>
      <c r="K1691" s="266">
        <f t="shared" si="370"/>
        <v>2030</v>
      </c>
      <c r="L1691" s="391"/>
      <c r="M1691" s="391"/>
      <c r="N1691" s="32"/>
      <c r="O1691" s="32"/>
      <c r="P1691" s="278"/>
      <c r="Q1691" s="233"/>
      <c r="R1691" s="75">
        <v>2386.5</v>
      </c>
      <c r="S1691" s="75">
        <v>5751</v>
      </c>
      <c r="T1691" s="75">
        <v>8137.5</v>
      </c>
      <c r="U1691" s="200"/>
      <c r="V1691" s="75"/>
      <c r="W1691" s="75"/>
      <c r="X1691" s="200"/>
      <c r="Y1691" s="1"/>
      <c r="Z1691" s="31">
        <v>0.1</v>
      </c>
      <c r="AA1691" s="223">
        <v>0.09</v>
      </c>
      <c r="AB1691" s="302"/>
      <c r="AC1691" s="302"/>
      <c r="AD1691" s="302"/>
      <c r="AE1691" s="302"/>
      <c r="AF1691">
        <f t="shared" si="363"/>
        <v>0</v>
      </c>
    </row>
    <row r="1692" spans="1:32" hidden="1" x14ac:dyDescent="0.25">
      <c r="A1692" s="322" t="s">
        <v>4495</v>
      </c>
      <c r="B1692" s="93" t="str">
        <f t="shared" si="371"/>
        <v>NO</v>
      </c>
      <c r="C1692" s="93" t="s">
        <v>5503</v>
      </c>
      <c r="D1692" s="4">
        <v>41256</v>
      </c>
      <c r="E1692" s="2">
        <v>43831</v>
      </c>
      <c r="F1692" s="2">
        <f t="shared" si="369"/>
        <v>47484</v>
      </c>
      <c r="G1692" s="6">
        <v>638.74</v>
      </c>
      <c r="H1692" s="7" t="s">
        <v>5430</v>
      </c>
      <c r="I1692" s="7" t="s">
        <v>79</v>
      </c>
      <c r="J1692" s="109"/>
      <c r="K1692" s="266">
        <f t="shared" si="370"/>
        <v>2030</v>
      </c>
      <c r="L1692" s="391"/>
      <c r="M1692" s="391"/>
      <c r="N1692" s="32"/>
      <c r="O1692" s="32"/>
      <c r="P1692" s="278"/>
      <c r="Q1692" s="233"/>
      <c r="R1692" s="75">
        <v>2386.5</v>
      </c>
      <c r="S1692" s="75">
        <v>5751</v>
      </c>
      <c r="T1692" s="75">
        <v>8137.5</v>
      </c>
      <c r="U1692" s="200"/>
      <c r="V1692" s="75"/>
      <c r="W1692" s="75"/>
      <c r="X1692" s="200"/>
      <c r="Y1692" s="1"/>
      <c r="Z1692" s="31">
        <v>0.1</v>
      </c>
      <c r="AA1692" s="223">
        <v>0.09</v>
      </c>
      <c r="AB1692" s="302"/>
      <c r="AC1692" s="302"/>
      <c r="AD1692" s="302"/>
      <c r="AE1692" s="302"/>
      <c r="AF1692">
        <f t="shared" ref="AF1692:AF1755" si="372">COUNTIF(FilterList,A1692)</f>
        <v>0</v>
      </c>
    </row>
    <row r="1693" spans="1:32" hidden="1" x14ac:dyDescent="0.25">
      <c r="A1693" s="322" t="s">
        <v>4496</v>
      </c>
      <c r="B1693" s="93" t="str">
        <f t="shared" si="371"/>
        <v>NO</v>
      </c>
      <c r="C1693" s="93" t="s">
        <v>5503</v>
      </c>
      <c r="D1693" s="4">
        <v>41256</v>
      </c>
      <c r="E1693" s="2">
        <v>43831</v>
      </c>
      <c r="F1693" s="2">
        <f t="shared" si="369"/>
        <v>47484</v>
      </c>
      <c r="G1693" s="6">
        <v>639.64</v>
      </c>
      <c r="H1693" s="7" t="s">
        <v>5430</v>
      </c>
      <c r="I1693" s="7" t="s">
        <v>79</v>
      </c>
      <c r="J1693" s="109"/>
      <c r="K1693" s="266">
        <f t="shared" si="370"/>
        <v>2030</v>
      </c>
      <c r="L1693" s="391"/>
      <c r="M1693" s="391"/>
      <c r="N1693" s="32"/>
      <c r="O1693" s="32"/>
      <c r="P1693" s="278"/>
      <c r="Q1693" s="233"/>
      <c r="R1693" s="75">
        <v>2390</v>
      </c>
      <c r="S1693" s="75">
        <v>5120</v>
      </c>
      <c r="T1693" s="75">
        <v>7510</v>
      </c>
      <c r="U1693" s="200"/>
      <c r="V1693" s="75"/>
      <c r="W1693" s="75"/>
      <c r="X1693" s="200"/>
      <c r="Y1693" s="1"/>
      <c r="Z1693" s="31">
        <v>0.1</v>
      </c>
      <c r="AA1693" s="223">
        <v>0.09</v>
      </c>
      <c r="AB1693" s="302"/>
      <c r="AC1693" s="302"/>
      <c r="AD1693" s="302"/>
      <c r="AE1693" s="302"/>
      <c r="AF1693">
        <f t="shared" si="372"/>
        <v>0</v>
      </c>
    </row>
    <row r="1694" spans="1:32" hidden="1" x14ac:dyDescent="0.25">
      <c r="A1694" s="322" t="s">
        <v>4497</v>
      </c>
      <c r="B1694" s="93" t="str">
        <f t="shared" si="371"/>
        <v>NO</v>
      </c>
      <c r="C1694" s="93" t="s">
        <v>5503</v>
      </c>
      <c r="D1694" s="4">
        <v>41256</v>
      </c>
      <c r="E1694" s="2">
        <v>43831</v>
      </c>
      <c r="F1694" s="2">
        <f t="shared" si="369"/>
        <v>47484</v>
      </c>
      <c r="G1694" s="6">
        <v>637.24</v>
      </c>
      <c r="H1694" s="7" t="s">
        <v>5430</v>
      </c>
      <c r="I1694" s="7" t="s">
        <v>79</v>
      </c>
      <c r="J1694" s="109"/>
      <c r="K1694" s="266">
        <f t="shared" si="370"/>
        <v>2030</v>
      </c>
      <c r="L1694" s="391"/>
      <c r="M1694" s="391"/>
      <c r="N1694" s="32"/>
      <c r="O1694" s="32"/>
      <c r="P1694" s="278"/>
      <c r="Q1694" s="233"/>
      <c r="R1694" s="75">
        <v>2383</v>
      </c>
      <c r="S1694" s="75">
        <v>5742</v>
      </c>
      <c r="T1694" s="75">
        <v>8125</v>
      </c>
      <c r="U1694" s="200"/>
      <c r="V1694" s="75"/>
      <c r="W1694" s="75"/>
      <c r="X1694" s="200"/>
      <c r="Y1694" s="1"/>
      <c r="Z1694" s="31">
        <v>0.1</v>
      </c>
      <c r="AA1694" s="223">
        <v>0.09</v>
      </c>
      <c r="AB1694" s="302"/>
      <c r="AC1694" s="302"/>
      <c r="AD1694" s="302"/>
      <c r="AE1694" s="302"/>
      <c r="AF1694">
        <f t="shared" si="372"/>
        <v>0</v>
      </c>
    </row>
    <row r="1695" spans="1:32" hidden="1" x14ac:dyDescent="0.25">
      <c r="A1695" s="322" t="s">
        <v>4498</v>
      </c>
      <c r="B1695" s="93" t="str">
        <f t="shared" si="371"/>
        <v>NO</v>
      </c>
      <c r="C1695" s="93" t="s">
        <v>5503</v>
      </c>
      <c r="D1695" s="4">
        <v>41256</v>
      </c>
      <c r="E1695" s="2">
        <v>43831</v>
      </c>
      <c r="F1695" s="2">
        <f t="shared" si="369"/>
        <v>47484</v>
      </c>
      <c r="G1695" s="6">
        <v>637.44000000000005</v>
      </c>
      <c r="H1695" s="7" t="s">
        <v>5430</v>
      </c>
      <c r="I1695" s="7" t="s">
        <v>79</v>
      </c>
      <c r="J1695" s="109"/>
      <c r="K1695" s="266">
        <f t="shared" si="370"/>
        <v>2030</v>
      </c>
      <c r="L1695" s="391"/>
      <c r="M1695" s="391"/>
      <c r="N1695" s="32"/>
      <c r="O1695" s="32"/>
      <c r="P1695" s="278"/>
      <c r="Q1695" s="233"/>
      <c r="R1695" s="75">
        <v>2383</v>
      </c>
      <c r="S1695" s="75">
        <v>5742</v>
      </c>
      <c r="T1695" s="75">
        <v>8125</v>
      </c>
      <c r="U1695" s="200"/>
      <c r="V1695" s="75"/>
      <c r="W1695" s="75"/>
      <c r="X1695" s="200"/>
      <c r="Y1695" s="1"/>
      <c r="Z1695" s="31">
        <v>0.1</v>
      </c>
      <c r="AA1695" s="223">
        <v>0.09</v>
      </c>
      <c r="AB1695" s="302"/>
      <c r="AC1695" s="302"/>
      <c r="AD1695" s="302"/>
      <c r="AE1695" s="302"/>
      <c r="AF1695">
        <f t="shared" si="372"/>
        <v>0</v>
      </c>
    </row>
    <row r="1696" spans="1:32" hidden="1" x14ac:dyDescent="0.25">
      <c r="A1696" s="322" t="s">
        <v>4499</v>
      </c>
      <c r="B1696" s="93" t="str">
        <f t="shared" si="371"/>
        <v>NO</v>
      </c>
      <c r="C1696" s="93" t="s">
        <v>5503</v>
      </c>
      <c r="D1696" s="4">
        <v>41256</v>
      </c>
      <c r="E1696" s="2">
        <v>43831</v>
      </c>
      <c r="F1696" s="2">
        <f t="shared" si="369"/>
        <v>47484</v>
      </c>
      <c r="G1696" s="6">
        <v>638</v>
      </c>
      <c r="H1696" s="7" t="s">
        <v>5430</v>
      </c>
      <c r="I1696" s="7" t="s">
        <v>79</v>
      </c>
      <c r="J1696" s="109"/>
      <c r="K1696" s="266">
        <f t="shared" si="370"/>
        <v>2030</v>
      </c>
      <c r="L1696" s="391"/>
      <c r="M1696" s="391"/>
      <c r="N1696" s="32"/>
      <c r="O1696" s="32"/>
      <c r="P1696" s="278"/>
      <c r="Q1696" s="233"/>
      <c r="R1696" s="75">
        <v>2383</v>
      </c>
      <c r="S1696" s="75">
        <v>5104</v>
      </c>
      <c r="T1696" s="75">
        <v>7487</v>
      </c>
      <c r="U1696" s="200"/>
      <c r="V1696" s="75"/>
      <c r="W1696" s="75"/>
      <c r="X1696" s="200"/>
      <c r="Y1696" s="1"/>
      <c r="Z1696" s="31">
        <v>0.1</v>
      </c>
      <c r="AA1696" s="223">
        <v>0.09</v>
      </c>
      <c r="AB1696" s="302"/>
      <c r="AC1696" s="302"/>
      <c r="AD1696" s="302"/>
      <c r="AE1696" s="302"/>
      <c r="AF1696">
        <f t="shared" si="372"/>
        <v>0</v>
      </c>
    </row>
    <row r="1697" spans="1:32" hidden="1" x14ac:dyDescent="0.25">
      <c r="A1697" s="322" t="s">
        <v>4500</v>
      </c>
      <c r="B1697" s="93" t="str">
        <f t="shared" si="371"/>
        <v>NO</v>
      </c>
      <c r="C1697" s="93" t="s">
        <v>5503</v>
      </c>
      <c r="D1697" s="4">
        <v>41256</v>
      </c>
      <c r="E1697" s="2">
        <v>43831</v>
      </c>
      <c r="F1697" s="2">
        <f t="shared" si="369"/>
        <v>47484</v>
      </c>
      <c r="G1697" s="6">
        <v>637.44000000000005</v>
      </c>
      <c r="H1697" s="7" t="s">
        <v>5430</v>
      </c>
      <c r="I1697" s="7" t="s">
        <v>79</v>
      </c>
      <c r="J1697" s="109"/>
      <c r="K1697" s="266">
        <f t="shared" si="370"/>
        <v>2030</v>
      </c>
      <c r="L1697" s="391"/>
      <c r="M1697" s="391"/>
      <c r="N1697" s="32"/>
      <c r="O1697" s="32"/>
      <c r="P1697" s="278"/>
      <c r="Q1697" s="233"/>
      <c r="R1697" s="75">
        <v>2383</v>
      </c>
      <c r="S1697" s="75">
        <v>5742</v>
      </c>
      <c r="T1697" s="75">
        <v>8125</v>
      </c>
      <c r="U1697" s="200"/>
      <c r="V1697" s="75"/>
      <c r="W1697" s="75"/>
      <c r="X1697" s="200"/>
      <c r="Y1697" s="1"/>
      <c r="Z1697" s="31">
        <v>0.1</v>
      </c>
      <c r="AA1697" s="223">
        <v>0.09</v>
      </c>
      <c r="AB1697" s="302"/>
      <c r="AC1697" s="302"/>
      <c r="AD1697" s="302"/>
      <c r="AE1697" s="302"/>
      <c r="AF1697">
        <f t="shared" si="372"/>
        <v>0</v>
      </c>
    </row>
    <row r="1698" spans="1:32" hidden="1" x14ac:dyDescent="0.25">
      <c r="A1698" s="322" t="s">
        <v>4501</v>
      </c>
      <c r="B1698" s="93" t="str">
        <f t="shared" si="371"/>
        <v>NO</v>
      </c>
      <c r="C1698" s="93" t="s">
        <v>5503</v>
      </c>
      <c r="D1698" s="4">
        <v>41256</v>
      </c>
      <c r="E1698" s="2">
        <v>43831</v>
      </c>
      <c r="F1698" s="2">
        <f t="shared" si="369"/>
        <v>47484</v>
      </c>
      <c r="G1698" s="6">
        <v>636.96</v>
      </c>
      <c r="H1698" s="7" t="s">
        <v>5430</v>
      </c>
      <c r="I1698" s="7" t="s">
        <v>79</v>
      </c>
      <c r="J1698" s="109"/>
      <c r="K1698" s="266">
        <f t="shared" si="370"/>
        <v>2030</v>
      </c>
      <c r="L1698" s="391"/>
      <c r="M1698" s="391"/>
      <c r="N1698" s="32"/>
      <c r="O1698" s="32"/>
      <c r="P1698" s="278"/>
      <c r="Q1698" s="233"/>
      <c r="R1698" s="75">
        <v>2379.5</v>
      </c>
      <c r="S1698" s="75">
        <v>5096</v>
      </c>
      <c r="T1698" s="75">
        <v>7475.5</v>
      </c>
      <c r="U1698" s="200"/>
      <c r="V1698" s="75"/>
      <c r="W1698" s="75"/>
      <c r="X1698" s="200"/>
      <c r="Y1698" s="1"/>
      <c r="Z1698" s="31">
        <v>0.1</v>
      </c>
      <c r="AA1698" s="223">
        <v>0.09</v>
      </c>
      <c r="AB1698" s="302"/>
      <c r="AC1698" s="302"/>
      <c r="AD1698" s="302"/>
      <c r="AE1698" s="302"/>
      <c r="AF1698">
        <f t="shared" si="372"/>
        <v>0</v>
      </c>
    </row>
    <row r="1699" spans="1:32" ht="15.75" hidden="1" thickBot="1" x14ac:dyDescent="0.3">
      <c r="A1699" s="322"/>
      <c r="D1699" s="4"/>
      <c r="E1699" s="2"/>
      <c r="F1699" s="2"/>
      <c r="G1699" s="6"/>
      <c r="H1699" s="7"/>
      <c r="I1699" s="7"/>
      <c r="J1699" s="186"/>
      <c r="K1699" s="186"/>
      <c r="L1699" s="386"/>
      <c r="M1699" s="386"/>
      <c r="N1699" s="32"/>
      <c r="O1699" s="32"/>
      <c r="P1699" s="278"/>
      <c r="Q1699" s="233"/>
      <c r="R1699" s="76">
        <v>83062</v>
      </c>
      <c r="S1699" s="76">
        <v>182363</v>
      </c>
      <c r="T1699" s="76">
        <v>265425</v>
      </c>
      <c r="U1699" s="200"/>
      <c r="V1699" s="75"/>
      <c r="W1699" s="75"/>
      <c r="X1699" s="200"/>
      <c r="Y1699" s="1"/>
      <c r="Z1699" s="77"/>
      <c r="AA1699" s="225"/>
      <c r="AB1699" s="302"/>
      <c r="AC1699" s="302"/>
      <c r="AD1699" s="302"/>
      <c r="AE1699" s="302"/>
      <c r="AF1699">
        <f t="shared" si="372"/>
        <v>0</v>
      </c>
    </row>
    <row r="1700" spans="1:32" hidden="1" x14ac:dyDescent="0.25">
      <c r="A1700" s="322"/>
      <c r="D1700" s="7"/>
      <c r="E1700" s="8"/>
      <c r="F1700" s="2"/>
      <c r="G1700" s="6"/>
      <c r="H1700" s="7"/>
      <c r="I1700" s="7"/>
      <c r="J1700" s="186"/>
      <c r="K1700" s="186"/>
      <c r="L1700" s="386"/>
      <c r="M1700" s="386"/>
      <c r="N1700" s="32"/>
      <c r="O1700" s="32"/>
      <c r="P1700" s="278"/>
      <c r="Q1700" s="233"/>
      <c r="R1700" s="75"/>
      <c r="S1700" s="75"/>
      <c r="T1700" s="75"/>
      <c r="U1700" s="200"/>
      <c r="V1700" s="75"/>
      <c r="W1700" s="75"/>
      <c r="X1700" s="200"/>
      <c r="Y1700" s="1"/>
      <c r="Z1700" s="1"/>
      <c r="AA1700" s="219"/>
      <c r="AB1700" s="302"/>
      <c r="AC1700" s="302"/>
      <c r="AD1700" s="302"/>
      <c r="AE1700" s="302"/>
      <c r="AF1700">
        <f t="shared" si="372"/>
        <v>0</v>
      </c>
    </row>
    <row r="1701" spans="1:32" hidden="1" x14ac:dyDescent="0.25">
      <c r="A1701" s="322" t="s">
        <v>4502</v>
      </c>
      <c r="B1701" s="93" t="str">
        <f>IF(COUNTIF(GIS,A1701),"YES","NO")</f>
        <v>YES</v>
      </c>
      <c r="C1701" s="93" t="s">
        <v>5503</v>
      </c>
      <c r="D1701" s="4">
        <v>41199</v>
      </c>
      <c r="E1701" s="2">
        <v>41275</v>
      </c>
      <c r="F1701" s="2">
        <f t="shared" ref="F1701:F1756" si="373">DATE(YEAR(E1701)+10,MONTH(E1701),DAY(E1701))</f>
        <v>44927</v>
      </c>
      <c r="G1701" s="6">
        <v>240</v>
      </c>
      <c r="H1701" s="7" t="s">
        <v>899</v>
      </c>
      <c r="I1701" s="7" t="s">
        <v>512</v>
      </c>
      <c r="J1701" s="186"/>
      <c r="K1701" s="266">
        <f>YEAR(F1701)</f>
        <v>2023</v>
      </c>
      <c r="L1701" s="390" t="s">
        <v>6003</v>
      </c>
      <c r="M1701" s="390" t="s">
        <v>7524</v>
      </c>
      <c r="N1701" s="32" t="s">
        <v>4504</v>
      </c>
      <c r="O1701" s="32" t="s">
        <v>4505</v>
      </c>
      <c r="P1701" s="278"/>
      <c r="Q1701" s="233" t="s">
        <v>4503</v>
      </c>
      <c r="R1701" s="75">
        <v>990</v>
      </c>
      <c r="S1701" s="75">
        <v>95520</v>
      </c>
      <c r="T1701" s="75">
        <v>96510</v>
      </c>
      <c r="U1701" s="200">
        <v>360</v>
      </c>
      <c r="V1701" s="287">
        <f ca="1">IF(YEAR($W$3)-YEAR(E1701)&gt;9,10,IF(MONTH($W$3)&lt;MONTH(E1701),YEAR($W$3)-YEAR(E1701),YEAR($W$3)-YEAR(E1701)+1))</f>
        <v>8</v>
      </c>
      <c r="W1701" s="75">
        <f ca="1">IF(V1701&lt;6, ROUNDUP(G1701,0)*$W$6*V1701, ROUNDUP(G1701,0)*($W$6*5 + (V1701-5)*$W$7))</f>
        <v>3240</v>
      </c>
      <c r="X1701" s="200">
        <f ca="1">IF(V1701=0,T1701,((T1701-ROUNDUP(G1701,0)*1.5)+W1701))</f>
        <v>99390</v>
      </c>
      <c r="Y1701" s="1"/>
      <c r="Z1701" s="31">
        <v>0.1</v>
      </c>
      <c r="AA1701" s="223">
        <v>0.09</v>
      </c>
      <c r="AB1701" s="302" t="s">
        <v>6233</v>
      </c>
      <c r="AC1701" s="308">
        <v>42829</v>
      </c>
      <c r="AD1701" s="309">
        <v>0.25</v>
      </c>
      <c r="AE1701" s="302" t="s">
        <v>6231</v>
      </c>
      <c r="AF1701">
        <f t="shared" si="372"/>
        <v>0</v>
      </c>
    </row>
    <row r="1702" spans="1:32" hidden="1" x14ac:dyDescent="0.25">
      <c r="A1702" s="322"/>
      <c r="D1702" s="7"/>
      <c r="E1702" s="8"/>
      <c r="F1702" s="2"/>
      <c r="G1702" s="6"/>
      <c r="H1702" s="7"/>
      <c r="I1702" s="7"/>
      <c r="J1702" s="186"/>
      <c r="K1702" s="186"/>
      <c r="L1702" s="386"/>
      <c r="M1702" s="386"/>
      <c r="N1702" s="32"/>
      <c r="O1702" s="32"/>
      <c r="P1702" s="278"/>
      <c r="Q1702" s="233"/>
      <c r="R1702" s="75"/>
      <c r="S1702" s="75"/>
      <c r="T1702" s="75"/>
      <c r="U1702" s="200"/>
      <c r="V1702" s="75"/>
      <c r="W1702" s="75"/>
      <c r="X1702" s="200"/>
      <c r="Y1702" s="1"/>
      <c r="Z1702" s="1"/>
      <c r="AA1702" s="219"/>
      <c r="AB1702" s="302"/>
      <c r="AC1702" s="302"/>
      <c r="AD1702" s="302"/>
      <c r="AE1702" s="302"/>
      <c r="AF1702">
        <f t="shared" si="372"/>
        <v>0</v>
      </c>
    </row>
    <row r="1703" spans="1:32" hidden="1" x14ac:dyDescent="0.25">
      <c r="A1703" s="322" t="s">
        <v>4506</v>
      </c>
      <c r="B1703" s="93" t="str">
        <f t="shared" ref="B1703:B1715" si="374">IF(COUNTIF(GIS,A1703),"YES","NO")</f>
        <v>YES</v>
      </c>
      <c r="C1703" s="93" t="s">
        <v>5503</v>
      </c>
      <c r="D1703" s="4">
        <v>41290</v>
      </c>
      <c r="E1703" s="2">
        <v>41365</v>
      </c>
      <c r="F1703" s="2">
        <f t="shared" si="373"/>
        <v>45017</v>
      </c>
      <c r="G1703" s="6">
        <v>640</v>
      </c>
      <c r="H1703" s="7" t="s">
        <v>892</v>
      </c>
      <c r="I1703" s="7" t="s">
        <v>512</v>
      </c>
      <c r="J1703" s="186"/>
      <c r="K1703" s="266">
        <f t="shared" ref="K1703:K1715" si="375">YEAR(F1703)</f>
        <v>2023</v>
      </c>
      <c r="L1703" s="390" t="s">
        <v>5878</v>
      </c>
      <c r="M1703" s="390" t="s">
        <v>7539</v>
      </c>
      <c r="N1703" s="32" t="s">
        <v>4508</v>
      </c>
      <c r="O1703" s="32" t="s">
        <v>4509</v>
      </c>
      <c r="P1703" s="278"/>
      <c r="Q1703" s="233" t="s">
        <v>4507</v>
      </c>
      <c r="R1703" s="75">
        <v>2390</v>
      </c>
      <c r="S1703" s="75">
        <v>81920</v>
      </c>
      <c r="T1703" s="75">
        <v>84310</v>
      </c>
      <c r="U1703" s="200">
        <v>960</v>
      </c>
      <c r="V1703" s="287">
        <f t="shared" ref="V1703:V1715" ca="1" si="376">IF(YEAR($W$3)-YEAR(E1703)&gt;9,10,IF(MONTH($W$3)&lt;MONTH(E1703),YEAR($W$3)-YEAR(E1703),YEAR($W$3)-YEAR(E1703)+1))</f>
        <v>7</v>
      </c>
      <c r="W1703" s="75">
        <f t="shared" ref="W1703:W1715" ca="1" si="377">IF(V1703&lt;6, ROUNDUP(G1703,0)*$W$6*V1703, ROUNDUP(G1703,0)*($W$6*5 + (V1703-5)*$W$7))</f>
        <v>7360</v>
      </c>
      <c r="X1703" s="200">
        <f t="shared" ref="X1703:X1715" ca="1" si="378">IF(V1703=0,T1703,((T1703-ROUNDUP(G1703,0)*1.5)+W1703))</f>
        <v>90710</v>
      </c>
      <c r="Y1703" s="1"/>
      <c r="Z1703" s="31">
        <v>0.1</v>
      </c>
      <c r="AA1703" s="223">
        <v>0.09</v>
      </c>
      <c r="AB1703" s="302" t="s">
        <v>7301</v>
      </c>
      <c r="AC1703" s="302"/>
      <c r="AD1703" s="302"/>
      <c r="AE1703" s="302"/>
      <c r="AF1703">
        <f t="shared" si="372"/>
        <v>0</v>
      </c>
    </row>
    <row r="1704" spans="1:32" hidden="1" x14ac:dyDescent="0.25">
      <c r="A1704" s="322" t="s">
        <v>4510</v>
      </c>
      <c r="B1704" s="93" t="str">
        <f t="shared" si="374"/>
        <v>YES</v>
      </c>
      <c r="C1704" s="93" t="s">
        <v>5503</v>
      </c>
      <c r="D1704" s="4">
        <v>41290</v>
      </c>
      <c r="E1704" s="2">
        <v>41365</v>
      </c>
      <c r="F1704" s="2">
        <f t="shared" si="373"/>
        <v>45017</v>
      </c>
      <c r="G1704" s="6">
        <v>637.4</v>
      </c>
      <c r="H1704" s="7" t="s">
        <v>909</v>
      </c>
      <c r="I1704" s="7" t="s">
        <v>512</v>
      </c>
      <c r="J1704" s="186"/>
      <c r="K1704" s="266">
        <f t="shared" si="375"/>
        <v>2023</v>
      </c>
      <c r="L1704" s="390" t="s">
        <v>5698</v>
      </c>
      <c r="M1704" s="390" t="s">
        <v>7537</v>
      </c>
      <c r="N1704" s="32" t="s">
        <v>5276</v>
      </c>
      <c r="O1704" s="32" t="s">
        <v>4512</v>
      </c>
      <c r="P1704" s="278"/>
      <c r="Q1704" s="233" t="s">
        <v>4511</v>
      </c>
      <c r="R1704" s="75">
        <v>2383</v>
      </c>
      <c r="S1704" s="75">
        <v>43384</v>
      </c>
      <c r="T1704" s="75">
        <v>45767</v>
      </c>
      <c r="U1704" s="200">
        <v>957</v>
      </c>
      <c r="V1704" s="287">
        <f t="shared" ca="1" si="376"/>
        <v>7</v>
      </c>
      <c r="W1704" s="75">
        <f t="shared" ca="1" si="377"/>
        <v>7337</v>
      </c>
      <c r="X1704" s="200">
        <f t="shared" ca="1" si="378"/>
        <v>52147</v>
      </c>
      <c r="Y1704" s="1"/>
      <c r="Z1704" s="31">
        <v>0.1</v>
      </c>
      <c r="AA1704" s="223">
        <v>0.09</v>
      </c>
      <c r="AB1704" s="302" t="s">
        <v>7302</v>
      </c>
      <c r="AC1704" s="302"/>
      <c r="AD1704" s="302"/>
      <c r="AE1704" s="302"/>
      <c r="AF1704">
        <f t="shared" si="372"/>
        <v>0</v>
      </c>
    </row>
    <row r="1705" spans="1:32" hidden="1" x14ac:dyDescent="0.25">
      <c r="A1705" s="322" t="s">
        <v>4513</v>
      </c>
      <c r="B1705" s="93" t="str">
        <f t="shared" si="374"/>
        <v>YES</v>
      </c>
      <c r="C1705" s="93" t="s">
        <v>5503</v>
      </c>
      <c r="D1705" s="4">
        <v>41290</v>
      </c>
      <c r="E1705" s="2">
        <v>41365</v>
      </c>
      <c r="F1705" s="2">
        <f t="shared" si="373"/>
        <v>45017</v>
      </c>
      <c r="G1705" s="6">
        <v>160</v>
      </c>
      <c r="H1705" s="7" t="s">
        <v>522</v>
      </c>
      <c r="I1705" s="7" t="s">
        <v>512</v>
      </c>
      <c r="J1705" s="186"/>
      <c r="K1705" s="266">
        <f t="shared" si="375"/>
        <v>2023</v>
      </c>
      <c r="L1705" s="390" t="s">
        <v>5623</v>
      </c>
      <c r="M1705" s="390" t="s">
        <v>7542</v>
      </c>
      <c r="N1705" s="32" t="s">
        <v>4515</v>
      </c>
      <c r="O1705" s="32" t="s">
        <v>4516</v>
      </c>
      <c r="P1705" s="278"/>
      <c r="Q1705" s="233" t="s">
        <v>4514</v>
      </c>
      <c r="R1705" s="75">
        <v>710</v>
      </c>
      <c r="S1705" s="75">
        <v>49280</v>
      </c>
      <c r="T1705" s="75">
        <v>49990</v>
      </c>
      <c r="U1705" s="200">
        <v>240</v>
      </c>
      <c r="V1705" s="287">
        <f t="shared" ca="1" si="376"/>
        <v>7</v>
      </c>
      <c r="W1705" s="75">
        <f t="shared" ca="1" si="377"/>
        <v>1840</v>
      </c>
      <c r="X1705" s="200">
        <f t="shared" ca="1" si="378"/>
        <v>51590</v>
      </c>
      <c r="Y1705" s="1"/>
      <c r="Z1705" s="31">
        <v>0.1</v>
      </c>
      <c r="AA1705" s="223">
        <v>0.09</v>
      </c>
      <c r="AB1705" s="302" t="s">
        <v>7303</v>
      </c>
      <c r="AC1705" s="302"/>
      <c r="AD1705" s="302"/>
      <c r="AE1705" s="302"/>
      <c r="AF1705">
        <f t="shared" si="372"/>
        <v>0</v>
      </c>
    </row>
    <row r="1706" spans="1:32" ht="26.25" hidden="1" x14ac:dyDescent="0.25">
      <c r="A1706" s="322" t="s">
        <v>4517</v>
      </c>
      <c r="B1706" s="93" t="str">
        <f t="shared" si="374"/>
        <v>YES</v>
      </c>
      <c r="C1706" s="93" t="s">
        <v>5503</v>
      </c>
      <c r="D1706" s="4">
        <v>41290</v>
      </c>
      <c r="E1706" s="2">
        <v>41365</v>
      </c>
      <c r="F1706" s="2">
        <f t="shared" si="373"/>
        <v>45017</v>
      </c>
      <c r="G1706" s="6">
        <v>177.77</v>
      </c>
      <c r="H1706" s="7" t="s">
        <v>582</v>
      </c>
      <c r="I1706" s="7" t="s">
        <v>15</v>
      </c>
      <c r="K1706" s="266">
        <f t="shared" si="375"/>
        <v>2023</v>
      </c>
      <c r="L1706" s="390"/>
      <c r="M1706" s="390"/>
      <c r="N1706" s="32" t="s">
        <v>4519</v>
      </c>
      <c r="O1706" s="32" t="s">
        <v>4520</v>
      </c>
      <c r="P1706" s="278"/>
      <c r="Q1706" s="233" t="s">
        <v>4518</v>
      </c>
      <c r="R1706" s="75">
        <v>773</v>
      </c>
      <c r="S1706" s="75">
        <v>12104</v>
      </c>
      <c r="T1706" s="75">
        <v>12877</v>
      </c>
      <c r="U1706" s="200">
        <v>267</v>
      </c>
      <c r="V1706" s="287">
        <f t="shared" ca="1" si="376"/>
        <v>7</v>
      </c>
      <c r="W1706" s="75">
        <f t="shared" ca="1" si="377"/>
        <v>2047</v>
      </c>
      <c r="X1706" s="200">
        <f t="shared" ca="1" si="378"/>
        <v>14657</v>
      </c>
      <c r="Y1706" s="1"/>
      <c r="Z1706" s="31">
        <v>0.1</v>
      </c>
      <c r="AA1706" s="223">
        <v>0.09</v>
      </c>
      <c r="AB1706" s="312" t="s">
        <v>7810</v>
      </c>
      <c r="AC1706" s="310">
        <v>43391</v>
      </c>
      <c r="AD1706" s="311">
        <v>0.2</v>
      </c>
      <c r="AE1706" s="302" t="s">
        <v>5387</v>
      </c>
      <c r="AF1706">
        <f t="shared" si="372"/>
        <v>0</v>
      </c>
    </row>
    <row r="1707" spans="1:32" ht="26.25" hidden="1" x14ac:dyDescent="0.25">
      <c r="A1707" s="322" t="s">
        <v>4521</v>
      </c>
      <c r="B1707" s="93" t="str">
        <f t="shared" si="374"/>
        <v>YES</v>
      </c>
      <c r="C1707" s="93" t="s">
        <v>5503</v>
      </c>
      <c r="D1707" s="4">
        <v>41290</v>
      </c>
      <c r="E1707" s="2">
        <v>41365</v>
      </c>
      <c r="F1707" s="2">
        <f t="shared" si="373"/>
        <v>45017</v>
      </c>
      <c r="G1707" s="6">
        <v>2178.17</v>
      </c>
      <c r="H1707" s="7" t="s">
        <v>209</v>
      </c>
      <c r="I1707" s="7" t="s">
        <v>15</v>
      </c>
      <c r="J1707" s="186"/>
      <c r="K1707" s="266">
        <f t="shared" si="375"/>
        <v>2023</v>
      </c>
      <c r="L1707" s="390"/>
      <c r="M1707" s="390"/>
      <c r="N1707" s="32" t="s">
        <v>4523</v>
      </c>
      <c r="O1707" s="32" t="s">
        <v>4524</v>
      </c>
      <c r="P1707" s="278"/>
      <c r="Q1707" s="233" t="s">
        <v>4522</v>
      </c>
      <c r="R1707" s="75">
        <v>7776.5</v>
      </c>
      <c r="S1707" s="75">
        <v>126382</v>
      </c>
      <c r="T1707" s="75">
        <v>134158.5</v>
      </c>
      <c r="U1707" s="200">
        <v>3268.5</v>
      </c>
      <c r="V1707" s="287">
        <f t="shared" ca="1" si="376"/>
        <v>7</v>
      </c>
      <c r="W1707" s="75">
        <f t="shared" ca="1" si="377"/>
        <v>25058.5</v>
      </c>
      <c r="X1707" s="200">
        <f t="shared" ca="1" si="378"/>
        <v>155948.5</v>
      </c>
      <c r="Y1707" s="1"/>
      <c r="Z1707" s="31">
        <v>0.1</v>
      </c>
      <c r="AA1707" s="223">
        <v>0.09</v>
      </c>
      <c r="AB1707" s="302" t="s">
        <v>7304</v>
      </c>
      <c r="AC1707" s="302"/>
      <c r="AD1707" s="302"/>
      <c r="AE1707" s="302"/>
      <c r="AF1707">
        <f t="shared" si="372"/>
        <v>0</v>
      </c>
    </row>
    <row r="1708" spans="1:32" ht="26.25" hidden="1" x14ac:dyDescent="0.25">
      <c r="A1708" s="322" t="s">
        <v>4525</v>
      </c>
      <c r="B1708" s="93" t="str">
        <f t="shared" si="374"/>
        <v>YES</v>
      </c>
      <c r="C1708" s="93" t="s">
        <v>5503</v>
      </c>
      <c r="D1708" s="4">
        <v>41290</v>
      </c>
      <c r="E1708" s="2">
        <v>41365</v>
      </c>
      <c r="F1708" s="2">
        <f t="shared" si="373"/>
        <v>45017</v>
      </c>
      <c r="G1708" s="6">
        <v>478.74</v>
      </c>
      <c r="H1708" s="7" t="s">
        <v>209</v>
      </c>
      <c r="I1708" s="7" t="s">
        <v>15</v>
      </c>
      <c r="J1708" s="186"/>
      <c r="K1708" s="266">
        <f t="shared" si="375"/>
        <v>2023</v>
      </c>
      <c r="L1708" s="390"/>
      <c r="M1708" s="390"/>
      <c r="N1708" s="32" t="s">
        <v>4527</v>
      </c>
      <c r="O1708" s="32" t="s">
        <v>4524</v>
      </c>
      <c r="P1708" s="278"/>
      <c r="Q1708" s="233" t="s">
        <v>4526</v>
      </c>
      <c r="R1708" s="75">
        <v>1826.5</v>
      </c>
      <c r="S1708" s="75">
        <v>190642</v>
      </c>
      <c r="T1708" s="75">
        <v>192468.5</v>
      </c>
      <c r="U1708" s="200">
        <v>718.5</v>
      </c>
      <c r="V1708" s="287">
        <f t="shared" ca="1" si="376"/>
        <v>7</v>
      </c>
      <c r="W1708" s="75">
        <f t="shared" ca="1" si="377"/>
        <v>5508.5</v>
      </c>
      <c r="X1708" s="200">
        <f t="shared" ca="1" si="378"/>
        <v>197258.5</v>
      </c>
      <c r="Y1708" s="1"/>
      <c r="Z1708" s="31">
        <v>0.1</v>
      </c>
      <c r="AA1708" s="223">
        <v>0.09</v>
      </c>
      <c r="AB1708" s="302" t="s">
        <v>7305</v>
      </c>
      <c r="AC1708" s="302"/>
      <c r="AD1708" s="302"/>
      <c r="AE1708" s="302"/>
      <c r="AF1708">
        <f t="shared" si="372"/>
        <v>0</v>
      </c>
    </row>
    <row r="1709" spans="1:32" ht="51.75" hidden="1" x14ac:dyDescent="0.25">
      <c r="A1709" s="322" t="s">
        <v>4528</v>
      </c>
      <c r="B1709" s="93" t="str">
        <f t="shared" si="374"/>
        <v>YES</v>
      </c>
      <c r="C1709" s="93" t="s">
        <v>5503</v>
      </c>
      <c r="D1709" s="4">
        <v>41290</v>
      </c>
      <c r="E1709" s="2">
        <v>41365</v>
      </c>
      <c r="F1709" s="2">
        <f t="shared" si="373"/>
        <v>45017</v>
      </c>
      <c r="G1709" s="6">
        <v>1450.84</v>
      </c>
      <c r="H1709" s="7" t="s">
        <v>209</v>
      </c>
      <c r="I1709" s="7" t="s">
        <v>15</v>
      </c>
      <c r="J1709" s="186"/>
      <c r="K1709" s="266">
        <f t="shared" si="375"/>
        <v>2023</v>
      </c>
      <c r="L1709" s="390"/>
      <c r="M1709" s="390"/>
      <c r="N1709" s="32" t="s">
        <v>4530</v>
      </c>
      <c r="O1709" s="32" t="s">
        <v>4531</v>
      </c>
      <c r="P1709" s="278"/>
      <c r="Q1709" s="233" t="s">
        <v>4529</v>
      </c>
      <c r="R1709" s="75">
        <v>5228.5</v>
      </c>
      <c r="S1709" s="75">
        <v>98668</v>
      </c>
      <c r="T1709" s="75">
        <v>103896.5</v>
      </c>
      <c r="U1709" s="200">
        <v>2176.5</v>
      </c>
      <c r="V1709" s="287">
        <f t="shared" ca="1" si="376"/>
        <v>7</v>
      </c>
      <c r="W1709" s="75">
        <f t="shared" ca="1" si="377"/>
        <v>16686.5</v>
      </c>
      <c r="X1709" s="200">
        <f t="shared" ca="1" si="378"/>
        <v>118406.5</v>
      </c>
      <c r="Y1709" s="1"/>
      <c r="Z1709" s="31">
        <v>0.1</v>
      </c>
      <c r="AA1709" s="223">
        <v>0.09</v>
      </c>
      <c r="AB1709" s="302" t="s">
        <v>7306</v>
      </c>
      <c r="AC1709" s="302"/>
      <c r="AD1709" s="302"/>
      <c r="AE1709" s="302"/>
      <c r="AF1709">
        <f t="shared" si="372"/>
        <v>0</v>
      </c>
    </row>
    <row r="1710" spans="1:32" ht="26.25" hidden="1" x14ac:dyDescent="0.25">
      <c r="A1710" s="322" t="s">
        <v>4532</v>
      </c>
      <c r="B1710" s="93" t="str">
        <f t="shared" si="374"/>
        <v>YES</v>
      </c>
      <c r="C1710" s="93" t="s">
        <v>5503</v>
      </c>
      <c r="D1710" s="4">
        <v>41290</v>
      </c>
      <c r="E1710" s="2">
        <v>41365</v>
      </c>
      <c r="F1710" s="2">
        <f t="shared" si="373"/>
        <v>45017</v>
      </c>
      <c r="G1710" s="6">
        <v>884.96</v>
      </c>
      <c r="H1710" s="7" t="s">
        <v>209</v>
      </c>
      <c r="I1710" s="7" t="s">
        <v>15</v>
      </c>
      <c r="J1710" s="186"/>
      <c r="K1710" s="266">
        <f t="shared" si="375"/>
        <v>2023</v>
      </c>
      <c r="L1710" s="390"/>
      <c r="M1710" s="390"/>
      <c r="N1710" s="32" t="s">
        <v>4534</v>
      </c>
      <c r="O1710" s="32" t="s">
        <v>4524</v>
      </c>
      <c r="P1710" s="278"/>
      <c r="Q1710" s="233" t="s">
        <v>4533</v>
      </c>
      <c r="R1710" s="75">
        <v>3247.5</v>
      </c>
      <c r="S1710" s="75">
        <v>46905</v>
      </c>
      <c r="T1710" s="75">
        <v>50152.5</v>
      </c>
      <c r="U1710" s="200">
        <v>1327.5</v>
      </c>
      <c r="V1710" s="287">
        <f t="shared" ca="1" si="376"/>
        <v>7</v>
      </c>
      <c r="W1710" s="75">
        <f t="shared" ca="1" si="377"/>
        <v>10177.5</v>
      </c>
      <c r="X1710" s="200">
        <f t="shared" ca="1" si="378"/>
        <v>59002.5</v>
      </c>
      <c r="Y1710" s="1"/>
      <c r="Z1710" s="31">
        <v>0.1</v>
      </c>
      <c r="AA1710" s="223">
        <v>0.09</v>
      </c>
      <c r="AB1710" s="302" t="s">
        <v>7307</v>
      </c>
      <c r="AC1710" s="302"/>
      <c r="AD1710" s="302"/>
      <c r="AE1710" s="302"/>
      <c r="AF1710">
        <f t="shared" si="372"/>
        <v>0</v>
      </c>
    </row>
    <row r="1711" spans="1:32" ht="26.25" hidden="1" x14ac:dyDescent="0.25">
      <c r="A1711" s="322" t="s">
        <v>4535</v>
      </c>
      <c r="B1711" s="93" t="str">
        <f t="shared" si="374"/>
        <v>YES</v>
      </c>
      <c r="C1711" s="93" t="s">
        <v>5503</v>
      </c>
      <c r="D1711" s="4">
        <v>41290</v>
      </c>
      <c r="E1711" s="2">
        <v>41365</v>
      </c>
      <c r="F1711" s="2">
        <f t="shared" si="373"/>
        <v>45017</v>
      </c>
      <c r="G1711" s="6">
        <v>310</v>
      </c>
      <c r="H1711" s="7" t="s">
        <v>229</v>
      </c>
      <c r="I1711" s="7" t="s">
        <v>15</v>
      </c>
      <c r="J1711" s="186"/>
      <c r="K1711" s="266">
        <f t="shared" si="375"/>
        <v>2023</v>
      </c>
      <c r="L1711" s="390"/>
      <c r="M1711" s="390"/>
      <c r="N1711" s="32" t="s">
        <v>4537</v>
      </c>
      <c r="O1711" s="32" t="s">
        <v>4524</v>
      </c>
      <c r="P1711" s="278"/>
      <c r="Q1711" s="233" t="s">
        <v>4536</v>
      </c>
      <c r="R1711" s="75">
        <v>1235</v>
      </c>
      <c r="S1711" s="75">
        <v>24180</v>
      </c>
      <c r="T1711" s="75">
        <v>25415</v>
      </c>
      <c r="U1711" s="200">
        <v>465</v>
      </c>
      <c r="V1711" s="287">
        <f t="shared" ca="1" si="376"/>
        <v>7</v>
      </c>
      <c r="W1711" s="75">
        <f t="shared" ca="1" si="377"/>
        <v>3565</v>
      </c>
      <c r="X1711" s="200">
        <f t="shared" ca="1" si="378"/>
        <v>28515</v>
      </c>
      <c r="Y1711" s="1"/>
      <c r="Z1711" s="31">
        <v>0.1</v>
      </c>
      <c r="AA1711" s="223">
        <v>0.09</v>
      </c>
      <c r="AB1711" s="302" t="s">
        <v>7308</v>
      </c>
      <c r="AC1711" s="302"/>
      <c r="AD1711" s="302"/>
      <c r="AE1711" s="302"/>
      <c r="AF1711">
        <f t="shared" si="372"/>
        <v>0</v>
      </c>
    </row>
    <row r="1712" spans="1:32" ht="26.25" hidden="1" x14ac:dyDescent="0.25">
      <c r="A1712" s="322" t="s">
        <v>4538</v>
      </c>
      <c r="B1712" s="93" t="str">
        <f t="shared" si="374"/>
        <v>YES</v>
      </c>
      <c r="C1712" s="93" t="s">
        <v>5503</v>
      </c>
      <c r="D1712" s="4">
        <v>41290</v>
      </c>
      <c r="E1712" s="2">
        <v>41365</v>
      </c>
      <c r="F1712" s="2">
        <f t="shared" si="373"/>
        <v>45017</v>
      </c>
      <c r="G1712" s="6">
        <v>120</v>
      </c>
      <c r="H1712" s="7" t="s">
        <v>229</v>
      </c>
      <c r="I1712" s="7" t="s">
        <v>15</v>
      </c>
      <c r="J1712" s="186"/>
      <c r="K1712" s="266">
        <f t="shared" si="375"/>
        <v>2023</v>
      </c>
      <c r="L1712" s="390"/>
      <c r="M1712" s="390"/>
      <c r="N1712" s="32" t="s">
        <v>4540</v>
      </c>
      <c r="O1712" s="32" t="s">
        <v>4524</v>
      </c>
      <c r="P1712" s="278"/>
      <c r="Q1712" s="233" t="s">
        <v>4539</v>
      </c>
      <c r="R1712" s="75">
        <v>570</v>
      </c>
      <c r="S1712" s="75">
        <v>6960</v>
      </c>
      <c r="T1712" s="75">
        <v>7530</v>
      </c>
      <c r="U1712" s="200">
        <v>180</v>
      </c>
      <c r="V1712" s="287">
        <f t="shared" ca="1" si="376"/>
        <v>7</v>
      </c>
      <c r="W1712" s="75">
        <f t="shared" ca="1" si="377"/>
        <v>1380</v>
      </c>
      <c r="X1712" s="200">
        <f t="shared" ca="1" si="378"/>
        <v>8730</v>
      </c>
      <c r="Y1712" s="1"/>
      <c r="Z1712" s="31">
        <v>0.1</v>
      </c>
      <c r="AA1712" s="223">
        <v>0.09</v>
      </c>
      <c r="AB1712" s="302" t="s">
        <v>7309</v>
      </c>
      <c r="AC1712" s="302"/>
      <c r="AD1712" s="302"/>
      <c r="AE1712" s="302"/>
      <c r="AF1712">
        <f t="shared" si="372"/>
        <v>0</v>
      </c>
    </row>
    <row r="1713" spans="1:32" ht="26.25" hidden="1" x14ac:dyDescent="0.25">
      <c r="A1713" s="322" t="s">
        <v>4541</v>
      </c>
      <c r="B1713" s="93" t="str">
        <f t="shared" si="374"/>
        <v>YES</v>
      </c>
      <c r="C1713" s="93" t="s">
        <v>5503</v>
      </c>
      <c r="D1713" s="4">
        <v>41290</v>
      </c>
      <c r="E1713" s="2">
        <v>41365</v>
      </c>
      <c r="F1713" s="2">
        <f t="shared" si="373"/>
        <v>45017</v>
      </c>
      <c r="G1713" s="6">
        <v>150</v>
      </c>
      <c r="H1713" s="7" t="s">
        <v>209</v>
      </c>
      <c r="I1713" s="7" t="s">
        <v>15</v>
      </c>
      <c r="J1713" s="186"/>
      <c r="K1713" s="266">
        <f t="shared" si="375"/>
        <v>2023</v>
      </c>
      <c r="L1713" s="390"/>
      <c r="M1713" s="390"/>
      <c r="N1713" s="32" t="s">
        <v>4543</v>
      </c>
      <c r="O1713" s="32" t="s">
        <v>4524</v>
      </c>
      <c r="P1713" s="278"/>
      <c r="Q1713" s="233" t="s">
        <v>4542</v>
      </c>
      <c r="R1713" s="75">
        <v>675</v>
      </c>
      <c r="S1713" s="75">
        <v>10200</v>
      </c>
      <c r="T1713" s="75">
        <v>10875</v>
      </c>
      <c r="U1713" s="200">
        <v>225</v>
      </c>
      <c r="V1713" s="287">
        <f t="shared" ca="1" si="376"/>
        <v>7</v>
      </c>
      <c r="W1713" s="75">
        <f t="shared" ca="1" si="377"/>
        <v>1725</v>
      </c>
      <c r="X1713" s="200">
        <f t="shared" ca="1" si="378"/>
        <v>12375</v>
      </c>
      <c r="Y1713" s="1"/>
      <c r="Z1713" s="31">
        <v>0.1</v>
      </c>
      <c r="AA1713" s="223">
        <v>0.09</v>
      </c>
      <c r="AB1713" s="302" t="s">
        <v>7310</v>
      </c>
      <c r="AC1713" s="302"/>
      <c r="AD1713" s="302"/>
      <c r="AE1713" s="302"/>
      <c r="AF1713">
        <f t="shared" si="372"/>
        <v>0</v>
      </c>
    </row>
    <row r="1714" spans="1:32" ht="26.25" hidden="1" x14ac:dyDescent="0.25">
      <c r="A1714" s="322" t="s">
        <v>4544</v>
      </c>
      <c r="B1714" s="93" t="str">
        <f t="shared" si="374"/>
        <v>YES</v>
      </c>
      <c r="C1714" s="93" t="s">
        <v>5503</v>
      </c>
      <c r="D1714" s="4">
        <v>41290</v>
      </c>
      <c r="E1714" s="2">
        <v>41365</v>
      </c>
      <c r="F1714" s="2">
        <f t="shared" si="373"/>
        <v>45017</v>
      </c>
      <c r="G1714" s="6">
        <v>1015</v>
      </c>
      <c r="H1714" s="7" t="s">
        <v>4546</v>
      </c>
      <c r="I1714" s="7" t="s">
        <v>15</v>
      </c>
      <c r="J1714" s="186"/>
      <c r="K1714" s="266">
        <f t="shared" si="375"/>
        <v>2023</v>
      </c>
      <c r="L1714" s="390"/>
      <c r="M1714" s="390"/>
      <c r="N1714" s="32" t="s">
        <v>4547</v>
      </c>
      <c r="O1714" s="32" t="s">
        <v>4548</v>
      </c>
      <c r="P1714" s="278"/>
      <c r="Q1714" s="233" t="s">
        <v>4545</v>
      </c>
      <c r="R1714" s="75">
        <v>3702.5</v>
      </c>
      <c r="S1714" s="75">
        <v>34510</v>
      </c>
      <c r="T1714" s="75">
        <v>38212.5</v>
      </c>
      <c r="U1714" s="200">
        <v>1522.5</v>
      </c>
      <c r="V1714" s="287">
        <f t="shared" ca="1" si="376"/>
        <v>7</v>
      </c>
      <c r="W1714" s="75">
        <f t="shared" ca="1" si="377"/>
        <v>11672.5</v>
      </c>
      <c r="X1714" s="200">
        <f t="shared" ca="1" si="378"/>
        <v>48362.5</v>
      </c>
      <c r="Y1714" s="1"/>
      <c r="Z1714" s="31">
        <v>0.1</v>
      </c>
      <c r="AA1714" s="223">
        <v>0.09</v>
      </c>
      <c r="AB1714" s="302" t="s">
        <v>7811</v>
      </c>
      <c r="AC1714" s="302"/>
      <c r="AD1714" s="302"/>
      <c r="AE1714" s="302"/>
      <c r="AF1714">
        <f t="shared" si="372"/>
        <v>0</v>
      </c>
    </row>
    <row r="1715" spans="1:32" ht="26.25" hidden="1" x14ac:dyDescent="0.25">
      <c r="A1715" s="322" t="s">
        <v>4549</v>
      </c>
      <c r="B1715" s="93" t="str">
        <f t="shared" si="374"/>
        <v>YES</v>
      </c>
      <c r="C1715" s="93" t="s">
        <v>5503</v>
      </c>
      <c r="D1715" s="4">
        <v>41290</v>
      </c>
      <c r="E1715" s="2">
        <v>41365</v>
      </c>
      <c r="F1715" s="2">
        <f t="shared" si="373"/>
        <v>45017</v>
      </c>
      <c r="G1715" s="6">
        <v>116</v>
      </c>
      <c r="H1715" s="7" t="s">
        <v>209</v>
      </c>
      <c r="I1715" s="7" t="s">
        <v>15</v>
      </c>
      <c r="J1715" s="186"/>
      <c r="K1715" s="266">
        <f t="shared" si="375"/>
        <v>2023</v>
      </c>
      <c r="L1715" s="390"/>
      <c r="M1715" s="390"/>
      <c r="N1715" s="32" t="s">
        <v>4551</v>
      </c>
      <c r="O1715" s="32" t="s">
        <v>4524</v>
      </c>
      <c r="P1715" s="278"/>
      <c r="Q1715" s="233" t="s">
        <v>4550</v>
      </c>
      <c r="R1715" s="75">
        <v>556</v>
      </c>
      <c r="S1715" s="75">
        <v>4408</v>
      </c>
      <c r="T1715" s="75">
        <v>4964</v>
      </c>
      <c r="U1715" s="200">
        <v>174</v>
      </c>
      <c r="V1715" s="287">
        <f t="shared" ca="1" si="376"/>
        <v>7</v>
      </c>
      <c r="W1715" s="75">
        <f t="shared" ca="1" si="377"/>
        <v>1334</v>
      </c>
      <c r="X1715" s="200">
        <f t="shared" ca="1" si="378"/>
        <v>6124</v>
      </c>
      <c r="Y1715" s="1"/>
      <c r="Z1715" s="31">
        <v>0.1</v>
      </c>
      <c r="AA1715" s="223">
        <v>0.09</v>
      </c>
      <c r="AB1715" s="302" t="s">
        <v>7311</v>
      </c>
      <c r="AC1715" s="302"/>
      <c r="AD1715" s="302"/>
      <c r="AE1715" s="302"/>
      <c r="AF1715">
        <f t="shared" si="372"/>
        <v>0</v>
      </c>
    </row>
    <row r="1716" spans="1:32" ht="15.75" hidden="1" thickBot="1" x14ac:dyDescent="0.3">
      <c r="A1716" s="322"/>
      <c r="D1716" s="4"/>
      <c r="E1716" s="8"/>
      <c r="F1716" s="2"/>
      <c r="G1716" s="6"/>
      <c r="H1716" s="7"/>
      <c r="I1716" s="7"/>
      <c r="J1716" s="186"/>
      <c r="K1716" s="186"/>
      <c r="L1716" s="386"/>
      <c r="M1716" s="386"/>
      <c r="N1716" s="32"/>
      <c r="O1716" s="32"/>
      <c r="P1716" s="278"/>
      <c r="Q1716" s="233"/>
      <c r="R1716" s="76">
        <v>31073.5</v>
      </c>
      <c r="S1716" s="76">
        <v>729543</v>
      </c>
      <c r="T1716" s="76">
        <v>760616.5</v>
      </c>
      <c r="U1716" s="200"/>
      <c r="V1716" s="75"/>
      <c r="W1716" s="75"/>
      <c r="X1716" s="200"/>
      <c r="Y1716" s="1"/>
      <c r="Z1716" s="1"/>
      <c r="AA1716" s="219"/>
      <c r="AB1716" s="302"/>
      <c r="AC1716" s="302"/>
      <c r="AD1716" s="302"/>
      <c r="AE1716" s="302"/>
      <c r="AF1716">
        <f t="shared" si="372"/>
        <v>0</v>
      </c>
    </row>
    <row r="1717" spans="1:32" hidden="1" x14ac:dyDescent="0.25">
      <c r="A1717" s="322"/>
      <c r="D1717" s="4"/>
      <c r="E1717" s="8"/>
      <c r="F1717" s="2"/>
      <c r="G1717" s="6"/>
      <c r="H1717" s="7"/>
      <c r="I1717" s="7"/>
      <c r="J1717" s="186"/>
      <c r="K1717" s="186"/>
      <c r="L1717" s="386"/>
      <c r="M1717" s="386"/>
      <c r="N1717" s="32"/>
      <c r="O1717" s="32"/>
      <c r="P1717" s="278"/>
      <c r="Q1717" s="233"/>
      <c r="R1717" s="75"/>
      <c r="S1717" s="75"/>
      <c r="T1717" s="75"/>
      <c r="U1717" s="200"/>
      <c r="V1717" s="75"/>
      <c r="W1717" s="75"/>
      <c r="X1717" s="200"/>
      <c r="Y1717" s="1"/>
      <c r="Z1717" s="1"/>
      <c r="AA1717" s="219"/>
      <c r="AB1717" s="302"/>
      <c r="AC1717" s="302"/>
      <c r="AD1717" s="302"/>
      <c r="AE1717" s="302"/>
      <c r="AF1717">
        <f t="shared" si="372"/>
        <v>0</v>
      </c>
    </row>
    <row r="1718" spans="1:32" ht="26.25" hidden="1" x14ac:dyDescent="0.25">
      <c r="A1718" s="322" t="s">
        <v>4552</v>
      </c>
      <c r="B1718" s="93" t="str">
        <f t="shared" ref="B1718:B1752" si="379">IF(COUNTIF(GIS,A1718),"YES","NO")</f>
        <v>YES</v>
      </c>
      <c r="C1718" s="93" t="s">
        <v>5503</v>
      </c>
      <c r="D1718" s="4">
        <v>41354</v>
      </c>
      <c r="E1718" s="2">
        <v>41426</v>
      </c>
      <c r="F1718" s="2">
        <f t="shared" si="373"/>
        <v>45078</v>
      </c>
      <c r="G1718" s="6">
        <v>1321.39</v>
      </c>
      <c r="H1718" s="7" t="s">
        <v>4554</v>
      </c>
      <c r="I1718" s="7" t="s">
        <v>79</v>
      </c>
      <c r="J1718" s="189"/>
      <c r="K1718" s="266">
        <f t="shared" ref="K1718:K1752" si="380">YEAR(F1718)</f>
        <v>2023</v>
      </c>
      <c r="L1718" s="391" t="s">
        <v>5507</v>
      </c>
      <c r="M1718" s="390" t="s">
        <v>5809</v>
      </c>
      <c r="N1718" s="32" t="s">
        <v>7788</v>
      </c>
      <c r="O1718" s="32" t="s">
        <v>4555</v>
      </c>
      <c r="P1718" s="278"/>
      <c r="Q1718" s="233" t="s">
        <v>4553</v>
      </c>
      <c r="R1718" s="75">
        <v>4777</v>
      </c>
      <c r="S1718" s="75">
        <v>0</v>
      </c>
      <c r="T1718" s="75">
        <v>4777</v>
      </c>
      <c r="U1718" s="200">
        <v>1983</v>
      </c>
      <c r="V1718" s="287">
        <f t="shared" ref="V1718:V1752" ca="1" si="381">IF(YEAR($W$3)-YEAR(E1718)&gt;9,10,IF(MONTH($W$3)&lt;MONTH(E1718),YEAR($W$3)-YEAR(E1718),YEAR($W$3)-YEAR(E1718)+1))</f>
        <v>7</v>
      </c>
      <c r="W1718" s="75">
        <f t="shared" ref="W1718:W1752" ca="1" si="382">IF(V1718&lt;6, ROUNDUP(G1718,0)*$W$6*V1718, ROUNDUP(G1718,0)*($W$6*5 + (V1718-5)*$W$7))</f>
        <v>15203</v>
      </c>
      <c r="X1718" s="200">
        <f t="shared" ref="X1718:X1752" ca="1" si="383">IF(V1718=0,T1718,((T1718-ROUNDUP(G1718,0)*1.5)+W1718))</f>
        <v>17997</v>
      </c>
      <c r="Y1718" s="1"/>
      <c r="Z1718" s="31">
        <v>0.1</v>
      </c>
      <c r="AA1718" s="223">
        <v>0.09</v>
      </c>
      <c r="AB1718" s="302" t="s">
        <v>7312</v>
      </c>
      <c r="AC1718" s="302"/>
      <c r="AD1718" s="302"/>
      <c r="AE1718" s="302"/>
      <c r="AF1718">
        <f t="shared" si="372"/>
        <v>0</v>
      </c>
    </row>
    <row r="1719" spans="1:32" ht="24.75" hidden="1" customHeight="1" x14ac:dyDescent="0.25">
      <c r="A1719" s="322" t="s">
        <v>4556</v>
      </c>
      <c r="B1719" s="93" t="str">
        <f t="shared" si="379"/>
        <v>YES</v>
      </c>
      <c r="C1719" s="93" t="s">
        <v>5503</v>
      </c>
      <c r="D1719" s="4">
        <v>41354</v>
      </c>
      <c r="E1719" s="2">
        <v>41426</v>
      </c>
      <c r="F1719" s="2">
        <f t="shared" si="373"/>
        <v>45078</v>
      </c>
      <c r="G1719" s="6">
        <v>560</v>
      </c>
      <c r="H1719" s="7" t="s">
        <v>4558</v>
      </c>
      <c r="I1719" s="9" t="s">
        <v>1050</v>
      </c>
      <c r="J1719" s="189"/>
      <c r="K1719" s="266">
        <f t="shared" si="380"/>
        <v>2023</v>
      </c>
      <c r="L1719" s="391" t="s">
        <v>5561</v>
      </c>
      <c r="M1719" s="390" t="s">
        <v>7574</v>
      </c>
      <c r="N1719" s="32" t="s">
        <v>7788</v>
      </c>
      <c r="O1719" s="32" t="s">
        <v>4559</v>
      </c>
      <c r="P1719" s="278"/>
      <c r="Q1719" s="233" t="s">
        <v>4557</v>
      </c>
      <c r="R1719" s="75">
        <v>2110</v>
      </c>
      <c r="S1719" s="75">
        <v>10080</v>
      </c>
      <c r="T1719" s="75">
        <v>12190</v>
      </c>
      <c r="U1719" s="200">
        <v>840</v>
      </c>
      <c r="V1719" s="287">
        <f t="shared" ca="1" si="381"/>
        <v>7</v>
      </c>
      <c r="W1719" s="75">
        <f t="shared" ca="1" si="382"/>
        <v>6440</v>
      </c>
      <c r="X1719" s="200">
        <f t="shared" ca="1" si="383"/>
        <v>17790</v>
      </c>
      <c r="Y1719" s="1"/>
      <c r="Z1719" s="31">
        <v>0.1</v>
      </c>
      <c r="AA1719" s="223">
        <v>0.09</v>
      </c>
      <c r="AB1719" s="302" t="s">
        <v>7313</v>
      </c>
      <c r="AC1719" s="302"/>
      <c r="AD1719" s="302"/>
      <c r="AE1719" s="302"/>
      <c r="AF1719">
        <f t="shared" si="372"/>
        <v>0</v>
      </c>
    </row>
    <row r="1720" spans="1:32" hidden="1" x14ac:dyDescent="0.25">
      <c r="A1720" s="322" t="s">
        <v>4560</v>
      </c>
      <c r="B1720" s="93" t="str">
        <f t="shared" si="379"/>
        <v>YES</v>
      </c>
      <c r="C1720" s="93" t="s">
        <v>5503</v>
      </c>
      <c r="D1720" s="4">
        <v>41354</v>
      </c>
      <c r="E1720" s="2">
        <v>42644</v>
      </c>
      <c r="F1720" s="2">
        <f t="shared" si="373"/>
        <v>46296</v>
      </c>
      <c r="G1720" s="6">
        <v>1517.02</v>
      </c>
      <c r="H1720" s="7" t="s">
        <v>5136</v>
      </c>
      <c r="I1720" s="7" t="s">
        <v>79</v>
      </c>
      <c r="J1720" s="109"/>
      <c r="K1720" s="266">
        <f t="shared" si="380"/>
        <v>2026</v>
      </c>
      <c r="L1720" s="391" t="s">
        <v>7579</v>
      </c>
      <c r="M1720" s="390" t="s">
        <v>6016</v>
      </c>
      <c r="N1720" s="32" t="s">
        <v>7788</v>
      </c>
      <c r="O1720" s="32" t="s">
        <v>5195</v>
      </c>
      <c r="P1720" s="278"/>
      <c r="Q1720" s="233" t="s">
        <v>5194</v>
      </c>
      <c r="R1720" s="75">
        <v>5463</v>
      </c>
      <c r="S1720" s="75">
        <v>95634</v>
      </c>
      <c r="T1720" s="75">
        <v>101097</v>
      </c>
      <c r="U1720" s="200">
        <v>2277</v>
      </c>
      <c r="V1720" s="287">
        <f t="shared" ca="1" si="381"/>
        <v>4</v>
      </c>
      <c r="W1720" s="75">
        <f t="shared" ca="1" si="382"/>
        <v>9108</v>
      </c>
      <c r="X1720" s="200">
        <f t="shared" ca="1" si="383"/>
        <v>107928</v>
      </c>
      <c r="Y1720" s="1"/>
      <c r="Z1720" s="31">
        <v>0.1</v>
      </c>
      <c r="AA1720" s="223">
        <v>0.09</v>
      </c>
      <c r="AB1720" s="302" t="s">
        <v>7836</v>
      </c>
      <c r="AC1720" s="302"/>
      <c r="AD1720" s="302"/>
      <c r="AE1720" s="302"/>
      <c r="AF1720">
        <f t="shared" si="372"/>
        <v>0</v>
      </c>
    </row>
    <row r="1721" spans="1:32" ht="26.25" hidden="1" x14ac:dyDescent="0.25">
      <c r="A1721" s="322" t="s">
        <v>4561</v>
      </c>
      <c r="B1721" s="93" t="str">
        <f t="shared" si="379"/>
        <v>YES</v>
      </c>
      <c r="C1721" s="93" t="s">
        <v>5503</v>
      </c>
      <c r="D1721" s="4">
        <v>41354</v>
      </c>
      <c r="E1721" s="2">
        <v>42644</v>
      </c>
      <c r="F1721" s="2">
        <f t="shared" si="373"/>
        <v>46296</v>
      </c>
      <c r="G1721" s="6">
        <v>699.51</v>
      </c>
      <c r="H1721" s="7" t="s">
        <v>5136</v>
      </c>
      <c r="I1721" s="7" t="s">
        <v>79</v>
      </c>
      <c r="J1721" s="109"/>
      <c r="K1721" s="266">
        <f t="shared" si="380"/>
        <v>2026</v>
      </c>
      <c r="L1721" s="391" t="s">
        <v>7579</v>
      </c>
      <c r="M1721" s="390" t="s">
        <v>6016</v>
      </c>
      <c r="N1721" s="32" t="s">
        <v>7788</v>
      </c>
      <c r="O1721" s="32" t="s">
        <v>5197</v>
      </c>
      <c r="P1721" s="278"/>
      <c r="Q1721" s="233" t="s">
        <v>5196</v>
      </c>
      <c r="R1721" s="75">
        <v>2600</v>
      </c>
      <c r="S1721" s="75">
        <v>44100</v>
      </c>
      <c r="T1721" s="75">
        <v>46700</v>
      </c>
      <c r="U1721" s="200">
        <v>1050</v>
      </c>
      <c r="V1721" s="287">
        <f t="shared" ca="1" si="381"/>
        <v>4</v>
      </c>
      <c r="W1721" s="75">
        <f t="shared" ca="1" si="382"/>
        <v>4200</v>
      </c>
      <c r="X1721" s="200">
        <f t="shared" ca="1" si="383"/>
        <v>49850</v>
      </c>
      <c r="Y1721" s="1"/>
      <c r="Z1721" s="31">
        <v>0.1</v>
      </c>
      <c r="AA1721" s="223">
        <v>0.09</v>
      </c>
      <c r="AB1721" s="302" t="s">
        <v>7836</v>
      </c>
      <c r="AC1721" s="302"/>
      <c r="AD1721" s="302"/>
      <c r="AE1721" s="302"/>
      <c r="AF1721">
        <f t="shared" si="372"/>
        <v>0</v>
      </c>
    </row>
    <row r="1722" spans="1:32" ht="26.25" hidden="1" x14ac:dyDescent="0.25">
      <c r="A1722" s="322" t="s">
        <v>4562</v>
      </c>
      <c r="B1722" s="93" t="str">
        <f t="shared" si="379"/>
        <v>YES</v>
      </c>
      <c r="C1722" s="93" t="s">
        <v>5503</v>
      </c>
      <c r="D1722" s="4">
        <v>41354</v>
      </c>
      <c r="E1722" s="11">
        <v>42644</v>
      </c>
      <c r="F1722" s="2">
        <f t="shared" si="373"/>
        <v>46296</v>
      </c>
      <c r="G1722" s="6">
        <v>1064.51</v>
      </c>
      <c r="H1722" s="191" t="s">
        <v>3923</v>
      </c>
      <c r="I1722" s="7" t="s">
        <v>79</v>
      </c>
      <c r="J1722" s="109"/>
      <c r="K1722" s="266">
        <f t="shared" si="380"/>
        <v>2026</v>
      </c>
      <c r="L1722" s="391" t="s">
        <v>5793</v>
      </c>
      <c r="M1722" s="390" t="s">
        <v>7574</v>
      </c>
      <c r="N1722" s="32" t="s">
        <v>7788</v>
      </c>
      <c r="O1722" s="32" t="s">
        <v>5200</v>
      </c>
      <c r="P1722" s="278" t="s">
        <v>5201</v>
      </c>
      <c r="Q1722" s="233" t="s">
        <v>5198</v>
      </c>
      <c r="R1722" s="75">
        <v>3877.5</v>
      </c>
      <c r="S1722" s="75">
        <v>0</v>
      </c>
      <c r="T1722" s="75">
        <v>3877.5</v>
      </c>
      <c r="U1722" s="200">
        <v>1597.5</v>
      </c>
      <c r="V1722" s="287">
        <f t="shared" ca="1" si="381"/>
        <v>4</v>
      </c>
      <c r="W1722" s="75">
        <f t="shared" ca="1" si="382"/>
        <v>6390</v>
      </c>
      <c r="X1722" s="200">
        <f t="shared" ca="1" si="383"/>
        <v>8670</v>
      </c>
      <c r="Y1722" s="1"/>
      <c r="Z1722" s="31">
        <v>0.1</v>
      </c>
      <c r="AA1722" s="223">
        <v>0.09</v>
      </c>
      <c r="AB1722" s="302" t="s">
        <v>8114</v>
      </c>
      <c r="AC1722" s="302"/>
      <c r="AD1722" s="302"/>
      <c r="AE1722" s="302"/>
      <c r="AF1722">
        <f t="shared" si="372"/>
        <v>0</v>
      </c>
    </row>
    <row r="1723" spans="1:32" ht="39" hidden="1" customHeight="1" x14ac:dyDescent="0.25">
      <c r="A1723" s="322" t="s">
        <v>4563</v>
      </c>
      <c r="B1723" s="93" t="str">
        <f t="shared" si="379"/>
        <v>YES</v>
      </c>
      <c r="C1723" s="93" t="s">
        <v>5503</v>
      </c>
      <c r="D1723" s="4">
        <v>41354</v>
      </c>
      <c r="E1723" s="11">
        <v>42644</v>
      </c>
      <c r="F1723" s="2">
        <f t="shared" si="373"/>
        <v>46296</v>
      </c>
      <c r="G1723" s="6">
        <v>1344.91</v>
      </c>
      <c r="H1723" s="191" t="s">
        <v>3923</v>
      </c>
      <c r="I1723" s="7" t="s">
        <v>79</v>
      </c>
      <c r="J1723" s="109"/>
      <c r="K1723" s="266">
        <f t="shared" si="380"/>
        <v>2026</v>
      </c>
      <c r="L1723" s="391" t="s">
        <v>5793</v>
      </c>
      <c r="M1723" s="390" t="s">
        <v>7574</v>
      </c>
      <c r="N1723" s="32" t="s">
        <v>7788</v>
      </c>
      <c r="O1723" s="32" t="s">
        <v>5203</v>
      </c>
      <c r="P1723" s="278"/>
      <c r="Q1723" s="233" t="s">
        <v>5202</v>
      </c>
      <c r="R1723" s="75">
        <v>4857.5</v>
      </c>
      <c r="S1723" s="75">
        <v>0</v>
      </c>
      <c r="T1723" s="75">
        <v>4857.5</v>
      </c>
      <c r="U1723" s="200">
        <v>2017.5</v>
      </c>
      <c r="V1723" s="287">
        <f t="shared" ca="1" si="381"/>
        <v>4</v>
      </c>
      <c r="W1723" s="75">
        <f t="shared" ca="1" si="382"/>
        <v>8070</v>
      </c>
      <c r="X1723" s="200">
        <f t="shared" ca="1" si="383"/>
        <v>10910</v>
      </c>
      <c r="Y1723" s="1"/>
      <c r="Z1723" s="31">
        <v>0.1</v>
      </c>
      <c r="AA1723" s="223">
        <v>0.09</v>
      </c>
      <c r="AB1723" s="302" t="s">
        <v>8114</v>
      </c>
      <c r="AC1723" s="302"/>
      <c r="AD1723" s="302"/>
      <c r="AE1723" s="302"/>
      <c r="AF1723">
        <f t="shared" si="372"/>
        <v>0</v>
      </c>
    </row>
    <row r="1724" spans="1:32" hidden="1" x14ac:dyDescent="0.25">
      <c r="A1724" s="322" t="s">
        <v>4564</v>
      </c>
      <c r="B1724" s="93" t="str">
        <f t="shared" si="379"/>
        <v>YES</v>
      </c>
      <c r="C1724" s="93" t="s">
        <v>5503</v>
      </c>
      <c r="D1724" s="4">
        <v>41354</v>
      </c>
      <c r="E1724" s="11">
        <v>42644</v>
      </c>
      <c r="F1724" s="2">
        <f t="shared" si="373"/>
        <v>46296</v>
      </c>
      <c r="G1724" s="6">
        <v>41</v>
      </c>
      <c r="H1724" s="191" t="s">
        <v>3923</v>
      </c>
      <c r="I1724" s="7" t="s">
        <v>79</v>
      </c>
      <c r="J1724" s="109"/>
      <c r="K1724" s="266">
        <f t="shared" si="380"/>
        <v>2026</v>
      </c>
      <c r="L1724" s="391" t="s">
        <v>5793</v>
      </c>
      <c r="M1724" s="390" t="s">
        <v>7574</v>
      </c>
      <c r="N1724" s="32" t="s">
        <v>7788</v>
      </c>
      <c r="O1724" s="32" t="s">
        <v>5205</v>
      </c>
      <c r="P1724" s="278"/>
      <c r="Q1724" s="233" t="s">
        <v>5204</v>
      </c>
      <c r="R1724" s="75">
        <v>293.5</v>
      </c>
      <c r="S1724" s="75">
        <v>0</v>
      </c>
      <c r="T1724" s="75">
        <v>293.5</v>
      </c>
      <c r="U1724" s="200">
        <v>61.5</v>
      </c>
      <c r="V1724" s="287">
        <f t="shared" ca="1" si="381"/>
        <v>4</v>
      </c>
      <c r="W1724" s="75">
        <f t="shared" ca="1" si="382"/>
        <v>246</v>
      </c>
      <c r="X1724" s="200">
        <f t="shared" ca="1" si="383"/>
        <v>478</v>
      </c>
      <c r="Y1724" s="1"/>
      <c r="Z1724" s="31">
        <v>0.1</v>
      </c>
      <c r="AA1724" s="223">
        <v>0.09</v>
      </c>
      <c r="AB1724" s="302" t="s">
        <v>8114</v>
      </c>
      <c r="AC1724" s="302"/>
      <c r="AD1724" s="302"/>
      <c r="AE1724" s="302"/>
      <c r="AF1724">
        <f t="shared" si="372"/>
        <v>0</v>
      </c>
    </row>
    <row r="1725" spans="1:32" ht="26.25" hidden="1" x14ac:dyDescent="0.25">
      <c r="A1725" s="322" t="s">
        <v>4565</v>
      </c>
      <c r="B1725" s="93" t="str">
        <f t="shared" si="379"/>
        <v>YES</v>
      </c>
      <c r="C1725" s="93" t="s">
        <v>5503</v>
      </c>
      <c r="D1725" s="4">
        <v>41354</v>
      </c>
      <c r="E1725" s="11">
        <v>42644</v>
      </c>
      <c r="F1725" s="2">
        <f t="shared" si="373"/>
        <v>46296</v>
      </c>
      <c r="G1725" s="6">
        <v>1278.4100000000001</v>
      </c>
      <c r="H1725" s="191" t="s">
        <v>3923</v>
      </c>
      <c r="I1725" s="7" t="s">
        <v>79</v>
      </c>
      <c r="J1725" s="109"/>
      <c r="K1725" s="266">
        <f t="shared" si="380"/>
        <v>2026</v>
      </c>
      <c r="L1725" s="391" t="s">
        <v>5793</v>
      </c>
      <c r="M1725" s="390" t="s">
        <v>7574</v>
      </c>
      <c r="N1725" s="32" t="s">
        <v>7788</v>
      </c>
      <c r="O1725" s="32" t="s">
        <v>5207</v>
      </c>
      <c r="P1725" s="278" t="s">
        <v>5208</v>
      </c>
      <c r="Q1725" s="233" t="s">
        <v>5206</v>
      </c>
      <c r="R1725" s="75">
        <v>4626.5</v>
      </c>
      <c r="S1725" s="75">
        <v>0</v>
      </c>
      <c r="T1725" s="75">
        <v>4626.5</v>
      </c>
      <c r="U1725" s="200">
        <v>1918.5</v>
      </c>
      <c r="V1725" s="287">
        <f t="shared" ca="1" si="381"/>
        <v>4</v>
      </c>
      <c r="W1725" s="75">
        <f t="shared" ca="1" si="382"/>
        <v>7674</v>
      </c>
      <c r="X1725" s="200">
        <f t="shared" ca="1" si="383"/>
        <v>10382</v>
      </c>
      <c r="Y1725" s="1"/>
      <c r="Z1725" s="31">
        <v>0.1</v>
      </c>
      <c r="AA1725" s="223">
        <v>0.09</v>
      </c>
      <c r="AB1725" s="302" t="s">
        <v>8114</v>
      </c>
      <c r="AC1725" s="302"/>
      <c r="AD1725" s="302"/>
      <c r="AE1725" s="302"/>
      <c r="AF1725">
        <f t="shared" si="372"/>
        <v>0</v>
      </c>
    </row>
    <row r="1726" spans="1:32" hidden="1" x14ac:dyDescent="0.25">
      <c r="A1726" s="322" t="s">
        <v>4566</v>
      </c>
      <c r="B1726" s="93" t="str">
        <f t="shared" si="379"/>
        <v>YES</v>
      </c>
      <c r="C1726" s="93" t="s">
        <v>5503</v>
      </c>
      <c r="D1726" s="4">
        <v>41354</v>
      </c>
      <c r="E1726" s="11">
        <v>42644</v>
      </c>
      <c r="F1726" s="2">
        <f t="shared" si="373"/>
        <v>46296</v>
      </c>
      <c r="G1726" s="6">
        <v>1880.89</v>
      </c>
      <c r="H1726" s="191" t="s">
        <v>3923</v>
      </c>
      <c r="I1726" s="7" t="s">
        <v>79</v>
      </c>
      <c r="J1726" s="109"/>
      <c r="K1726" s="266">
        <f t="shared" si="380"/>
        <v>2026</v>
      </c>
      <c r="L1726" s="391" t="s">
        <v>5793</v>
      </c>
      <c r="M1726" s="390" t="s">
        <v>7574</v>
      </c>
      <c r="N1726" s="32" t="s">
        <v>7788</v>
      </c>
      <c r="O1726" s="32" t="s">
        <v>5210</v>
      </c>
      <c r="P1726" s="278"/>
      <c r="Q1726" s="233" t="s">
        <v>5209</v>
      </c>
      <c r="R1726" s="75">
        <v>6733.5</v>
      </c>
      <c r="S1726" s="75">
        <v>0</v>
      </c>
      <c r="T1726" s="75">
        <v>6733.5</v>
      </c>
      <c r="U1726" s="200">
        <v>2821.5</v>
      </c>
      <c r="V1726" s="287">
        <f t="shared" ca="1" si="381"/>
        <v>4</v>
      </c>
      <c r="W1726" s="75">
        <f t="shared" ca="1" si="382"/>
        <v>11286</v>
      </c>
      <c r="X1726" s="200">
        <f t="shared" ca="1" si="383"/>
        <v>15198</v>
      </c>
      <c r="Y1726" s="1"/>
      <c r="Z1726" s="31">
        <v>0.1</v>
      </c>
      <c r="AA1726" s="223">
        <v>0.09</v>
      </c>
      <c r="AB1726" s="302" t="s">
        <v>8114</v>
      </c>
      <c r="AC1726" s="302"/>
      <c r="AD1726" s="302"/>
      <c r="AE1726" s="302"/>
      <c r="AF1726">
        <f t="shared" si="372"/>
        <v>0</v>
      </c>
    </row>
    <row r="1727" spans="1:32" ht="39" hidden="1" x14ac:dyDescent="0.25">
      <c r="A1727" s="322" t="s">
        <v>4567</v>
      </c>
      <c r="B1727" s="93" t="str">
        <f t="shared" si="379"/>
        <v>YES</v>
      </c>
      <c r="C1727" s="93" t="s">
        <v>5503</v>
      </c>
      <c r="D1727" s="4">
        <v>41354</v>
      </c>
      <c r="E1727" s="11">
        <v>42644</v>
      </c>
      <c r="F1727" s="2">
        <f t="shared" si="373"/>
        <v>46296</v>
      </c>
      <c r="G1727" s="6">
        <v>1265.42</v>
      </c>
      <c r="H1727" s="191" t="s">
        <v>3923</v>
      </c>
      <c r="I1727" s="7" t="s">
        <v>79</v>
      </c>
      <c r="J1727" s="109"/>
      <c r="K1727" s="266">
        <f t="shared" si="380"/>
        <v>2026</v>
      </c>
      <c r="L1727" s="391" t="s">
        <v>5793</v>
      </c>
      <c r="M1727" s="390" t="s">
        <v>7574</v>
      </c>
      <c r="N1727" s="32" t="s">
        <v>7788</v>
      </c>
      <c r="O1727" s="32" t="s">
        <v>5218</v>
      </c>
      <c r="P1727" s="278" t="s">
        <v>5219</v>
      </c>
      <c r="Q1727" s="233" t="s">
        <v>5211</v>
      </c>
      <c r="R1727" s="75">
        <v>4581</v>
      </c>
      <c r="S1727" s="75">
        <v>0</v>
      </c>
      <c r="T1727" s="75">
        <v>4581</v>
      </c>
      <c r="U1727" s="200">
        <v>1899</v>
      </c>
      <c r="V1727" s="287">
        <f t="shared" ca="1" si="381"/>
        <v>4</v>
      </c>
      <c r="W1727" s="75">
        <f t="shared" ca="1" si="382"/>
        <v>7596</v>
      </c>
      <c r="X1727" s="200">
        <f t="shared" ca="1" si="383"/>
        <v>10278</v>
      </c>
      <c r="Y1727" s="1"/>
      <c r="Z1727" s="31">
        <v>0.1</v>
      </c>
      <c r="AA1727" s="223">
        <v>0.09</v>
      </c>
      <c r="AB1727" s="302" t="s">
        <v>8114</v>
      </c>
      <c r="AC1727" s="302"/>
      <c r="AD1727" s="302"/>
      <c r="AE1727" s="302"/>
      <c r="AF1727">
        <f t="shared" si="372"/>
        <v>0</v>
      </c>
    </row>
    <row r="1728" spans="1:32" ht="26.25" hidden="1" x14ac:dyDescent="0.25">
      <c r="A1728" s="322" t="s">
        <v>4568</v>
      </c>
      <c r="B1728" s="93" t="str">
        <f t="shared" si="379"/>
        <v>YES</v>
      </c>
      <c r="C1728" s="93" t="s">
        <v>5503</v>
      </c>
      <c r="D1728" s="4">
        <v>41354</v>
      </c>
      <c r="E1728" s="11">
        <v>42644</v>
      </c>
      <c r="F1728" s="2">
        <f t="shared" si="373"/>
        <v>46296</v>
      </c>
      <c r="G1728" s="6">
        <v>1243.25</v>
      </c>
      <c r="H1728" s="191" t="s">
        <v>3923</v>
      </c>
      <c r="I1728" s="7" t="s">
        <v>79</v>
      </c>
      <c r="J1728" s="109"/>
      <c r="K1728" s="266">
        <f t="shared" si="380"/>
        <v>2026</v>
      </c>
      <c r="L1728" s="391" t="s">
        <v>5793</v>
      </c>
      <c r="M1728" s="390" t="s">
        <v>7574</v>
      </c>
      <c r="N1728" s="32" t="s">
        <v>7788</v>
      </c>
      <c r="O1728" s="32" t="s">
        <v>5220</v>
      </c>
      <c r="P1728" s="278" t="s">
        <v>5221</v>
      </c>
      <c r="Q1728" s="233" t="s">
        <v>5213</v>
      </c>
      <c r="R1728" s="75">
        <v>4504</v>
      </c>
      <c r="S1728" s="75">
        <v>0</v>
      </c>
      <c r="T1728" s="75">
        <v>4504</v>
      </c>
      <c r="U1728" s="200">
        <v>1866</v>
      </c>
      <c r="V1728" s="287">
        <f t="shared" ca="1" si="381"/>
        <v>4</v>
      </c>
      <c r="W1728" s="75">
        <f t="shared" ca="1" si="382"/>
        <v>7464</v>
      </c>
      <c r="X1728" s="200">
        <f t="shared" ca="1" si="383"/>
        <v>10102</v>
      </c>
      <c r="Y1728" s="1"/>
      <c r="Z1728" s="31">
        <v>0.1</v>
      </c>
      <c r="AA1728" s="223">
        <v>0.09</v>
      </c>
      <c r="AB1728" s="302" t="s">
        <v>8114</v>
      </c>
      <c r="AC1728" s="302"/>
      <c r="AD1728" s="302"/>
      <c r="AE1728" s="302"/>
      <c r="AF1728">
        <f t="shared" si="372"/>
        <v>0</v>
      </c>
    </row>
    <row r="1729" spans="1:32" ht="26.25" hidden="1" x14ac:dyDescent="0.25">
      <c r="A1729" s="322" t="s">
        <v>4569</v>
      </c>
      <c r="B1729" s="93" t="str">
        <f t="shared" si="379"/>
        <v>YES</v>
      </c>
      <c r="C1729" s="93" t="s">
        <v>5503</v>
      </c>
      <c r="D1729" s="4">
        <v>41354</v>
      </c>
      <c r="E1729" s="11">
        <v>42644</v>
      </c>
      <c r="F1729" s="2">
        <f t="shared" si="373"/>
        <v>46296</v>
      </c>
      <c r="G1729" s="6">
        <v>1441.45</v>
      </c>
      <c r="H1729" s="191" t="s">
        <v>3923</v>
      </c>
      <c r="I1729" s="7" t="s">
        <v>79</v>
      </c>
      <c r="J1729" s="109"/>
      <c r="K1729" s="266">
        <f t="shared" si="380"/>
        <v>2026</v>
      </c>
      <c r="L1729" s="391" t="s">
        <v>5793</v>
      </c>
      <c r="M1729" s="390" t="s">
        <v>7574</v>
      </c>
      <c r="N1729" s="32" t="s">
        <v>7788</v>
      </c>
      <c r="O1729" s="32" t="s">
        <v>5215</v>
      </c>
      <c r="P1729" s="278"/>
      <c r="Q1729" s="233" t="s">
        <v>5214</v>
      </c>
      <c r="R1729" s="75">
        <v>5197</v>
      </c>
      <c r="S1729" s="75">
        <v>0</v>
      </c>
      <c r="T1729" s="75">
        <v>5197</v>
      </c>
      <c r="U1729" s="200">
        <v>2163</v>
      </c>
      <c r="V1729" s="287">
        <f t="shared" ca="1" si="381"/>
        <v>4</v>
      </c>
      <c r="W1729" s="75">
        <f t="shared" ca="1" si="382"/>
        <v>8652</v>
      </c>
      <c r="X1729" s="200">
        <f t="shared" ca="1" si="383"/>
        <v>11686</v>
      </c>
      <c r="Y1729" s="1"/>
      <c r="Z1729" s="31">
        <v>0.1</v>
      </c>
      <c r="AA1729" s="223">
        <v>0.09</v>
      </c>
      <c r="AB1729" s="302" t="s">
        <v>8114</v>
      </c>
      <c r="AC1729" s="302"/>
      <c r="AD1729" s="302"/>
      <c r="AE1729" s="302"/>
      <c r="AF1729">
        <f t="shared" si="372"/>
        <v>0</v>
      </c>
    </row>
    <row r="1730" spans="1:32" hidden="1" x14ac:dyDescent="0.25">
      <c r="A1730" s="322" t="s">
        <v>4570</v>
      </c>
      <c r="B1730" s="93" t="str">
        <f t="shared" si="379"/>
        <v>YES</v>
      </c>
      <c r="C1730" s="93" t="s">
        <v>5503</v>
      </c>
      <c r="D1730" s="4">
        <v>41354</v>
      </c>
      <c r="E1730" s="11">
        <v>42644</v>
      </c>
      <c r="F1730" s="2">
        <f t="shared" si="373"/>
        <v>46296</v>
      </c>
      <c r="G1730" s="6">
        <v>1885.87</v>
      </c>
      <c r="H1730" s="191" t="s">
        <v>3923</v>
      </c>
      <c r="I1730" s="7" t="s">
        <v>79</v>
      </c>
      <c r="J1730" s="109"/>
      <c r="K1730" s="266">
        <f t="shared" si="380"/>
        <v>2026</v>
      </c>
      <c r="L1730" s="391" t="s">
        <v>5793</v>
      </c>
      <c r="M1730" s="390" t="s">
        <v>7574</v>
      </c>
      <c r="N1730" s="32" t="s">
        <v>7788</v>
      </c>
      <c r="O1730" s="32" t="s">
        <v>5217</v>
      </c>
      <c r="P1730" s="278"/>
      <c r="Q1730" s="233" t="s">
        <v>5216</v>
      </c>
      <c r="R1730" s="75">
        <v>6751</v>
      </c>
      <c r="S1730" s="75">
        <v>0</v>
      </c>
      <c r="T1730" s="75">
        <v>6751</v>
      </c>
      <c r="U1730" s="200">
        <v>2829</v>
      </c>
      <c r="V1730" s="287">
        <f t="shared" ca="1" si="381"/>
        <v>4</v>
      </c>
      <c r="W1730" s="75">
        <f t="shared" ca="1" si="382"/>
        <v>11316</v>
      </c>
      <c r="X1730" s="200">
        <f t="shared" ca="1" si="383"/>
        <v>15238</v>
      </c>
      <c r="Y1730" s="1"/>
      <c r="Z1730" s="31">
        <v>0.1</v>
      </c>
      <c r="AA1730" s="223">
        <v>0.09</v>
      </c>
      <c r="AB1730" s="302" t="s">
        <v>8114</v>
      </c>
      <c r="AC1730" s="302"/>
      <c r="AD1730" s="302"/>
      <c r="AE1730" s="302"/>
      <c r="AF1730">
        <f t="shared" si="372"/>
        <v>0</v>
      </c>
    </row>
    <row r="1731" spans="1:32" ht="26.25" hidden="1" x14ac:dyDescent="0.25">
      <c r="A1731" s="322" t="s">
        <v>4571</v>
      </c>
      <c r="B1731" s="93" t="str">
        <f t="shared" si="379"/>
        <v>YES</v>
      </c>
      <c r="C1731" s="93" t="s">
        <v>5503</v>
      </c>
      <c r="D1731" s="4">
        <v>41354</v>
      </c>
      <c r="E1731" s="11">
        <v>42644</v>
      </c>
      <c r="F1731" s="2">
        <f t="shared" si="373"/>
        <v>46296</v>
      </c>
      <c r="G1731" s="6">
        <v>1555.6</v>
      </c>
      <c r="H1731" s="191" t="s">
        <v>3923</v>
      </c>
      <c r="I1731" s="7" t="s">
        <v>79</v>
      </c>
      <c r="J1731" s="109"/>
      <c r="K1731" s="266">
        <f t="shared" si="380"/>
        <v>2026</v>
      </c>
      <c r="L1731" s="391" t="s">
        <v>5793</v>
      </c>
      <c r="M1731" s="390" t="s">
        <v>7574</v>
      </c>
      <c r="N1731" s="32" t="s">
        <v>7788</v>
      </c>
      <c r="O1731" s="32" t="s">
        <v>5223</v>
      </c>
      <c r="P1731" s="278"/>
      <c r="Q1731" s="233" t="s">
        <v>5222</v>
      </c>
      <c r="R1731" s="75">
        <v>5596</v>
      </c>
      <c r="S1731" s="75">
        <v>0</v>
      </c>
      <c r="T1731" s="75">
        <v>5596</v>
      </c>
      <c r="U1731" s="200">
        <v>2334</v>
      </c>
      <c r="V1731" s="287">
        <f t="shared" ca="1" si="381"/>
        <v>4</v>
      </c>
      <c r="W1731" s="75">
        <f t="shared" ca="1" si="382"/>
        <v>9336</v>
      </c>
      <c r="X1731" s="200">
        <f t="shared" ca="1" si="383"/>
        <v>12598</v>
      </c>
      <c r="Y1731" s="1"/>
      <c r="Z1731" s="31">
        <v>0.1</v>
      </c>
      <c r="AA1731" s="223">
        <v>0.09</v>
      </c>
      <c r="AB1731" s="302" t="s">
        <v>8114</v>
      </c>
      <c r="AC1731" s="302"/>
      <c r="AD1731" s="302"/>
      <c r="AE1731" s="302"/>
      <c r="AF1731">
        <f t="shared" si="372"/>
        <v>0</v>
      </c>
    </row>
    <row r="1732" spans="1:32" ht="26.25" hidden="1" x14ac:dyDescent="0.25">
      <c r="A1732" s="322" t="s">
        <v>4572</v>
      </c>
      <c r="B1732" s="93" t="str">
        <f t="shared" si="379"/>
        <v>YES</v>
      </c>
      <c r="C1732" s="93" t="s">
        <v>5503</v>
      </c>
      <c r="D1732" s="4">
        <v>41354</v>
      </c>
      <c r="E1732" s="11">
        <v>42644</v>
      </c>
      <c r="F1732" s="2">
        <f t="shared" si="373"/>
        <v>46296</v>
      </c>
      <c r="G1732" s="6">
        <v>1336.8</v>
      </c>
      <c r="H1732" s="191" t="s">
        <v>3923</v>
      </c>
      <c r="I1732" s="7" t="s">
        <v>79</v>
      </c>
      <c r="J1732" s="109"/>
      <c r="K1732" s="266">
        <f t="shared" si="380"/>
        <v>2026</v>
      </c>
      <c r="L1732" s="391" t="s">
        <v>5793</v>
      </c>
      <c r="M1732" s="390" t="s">
        <v>7574</v>
      </c>
      <c r="N1732" s="32" t="s">
        <v>7788</v>
      </c>
      <c r="O1732" s="32" t="s">
        <v>5225</v>
      </c>
      <c r="P1732" s="278"/>
      <c r="Q1732" s="233" t="s">
        <v>5224</v>
      </c>
      <c r="R1732" s="75">
        <v>4829.5</v>
      </c>
      <c r="S1732" s="75">
        <v>0</v>
      </c>
      <c r="T1732" s="75">
        <v>4829.5</v>
      </c>
      <c r="U1732" s="200">
        <v>2005.6</v>
      </c>
      <c r="V1732" s="287">
        <f t="shared" ca="1" si="381"/>
        <v>4</v>
      </c>
      <c r="W1732" s="75">
        <f t="shared" ca="1" si="382"/>
        <v>8022</v>
      </c>
      <c r="X1732" s="200">
        <f t="shared" ca="1" si="383"/>
        <v>10846</v>
      </c>
      <c r="Y1732" s="1"/>
      <c r="Z1732" s="31">
        <v>0.1</v>
      </c>
      <c r="AA1732" s="223">
        <v>0.09</v>
      </c>
      <c r="AB1732" s="302" t="s">
        <v>8114</v>
      </c>
      <c r="AC1732" s="302"/>
      <c r="AD1732" s="302"/>
      <c r="AE1732" s="302"/>
      <c r="AF1732">
        <f t="shared" si="372"/>
        <v>0</v>
      </c>
    </row>
    <row r="1733" spans="1:32" ht="39" hidden="1" customHeight="1" x14ac:dyDescent="0.25">
      <c r="A1733" s="322" t="s">
        <v>4573</v>
      </c>
      <c r="B1733" s="114" t="str">
        <f t="shared" si="379"/>
        <v>YES</v>
      </c>
      <c r="C1733" s="93" t="s">
        <v>5503</v>
      </c>
      <c r="D1733" s="4">
        <v>41354</v>
      </c>
      <c r="E1733" s="11">
        <v>42705</v>
      </c>
      <c r="F1733" s="2">
        <f t="shared" si="373"/>
        <v>46357</v>
      </c>
      <c r="G1733" s="6">
        <v>727.52</v>
      </c>
      <c r="H1733" s="7" t="s">
        <v>287</v>
      </c>
      <c r="I1733" s="7" t="s">
        <v>86</v>
      </c>
      <c r="J1733" s="109"/>
      <c r="K1733" s="266">
        <f t="shared" si="380"/>
        <v>2026</v>
      </c>
      <c r="L1733" s="417" t="s">
        <v>5834</v>
      </c>
      <c r="M1733" s="301" t="s">
        <v>7589</v>
      </c>
      <c r="N1733" s="32" t="s">
        <v>7789</v>
      </c>
      <c r="O1733" s="32" t="s">
        <v>5266</v>
      </c>
      <c r="P1733" s="278" t="s">
        <v>5267</v>
      </c>
      <c r="Q1733" s="233" t="s">
        <v>5265</v>
      </c>
      <c r="R1733" s="75">
        <v>2698</v>
      </c>
      <c r="S1733" s="75">
        <v>0</v>
      </c>
      <c r="T1733" s="75">
        <v>2698</v>
      </c>
      <c r="U1733" s="200">
        <v>1092</v>
      </c>
      <c r="V1733" s="287">
        <f t="shared" ca="1" si="381"/>
        <v>4</v>
      </c>
      <c r="W1733" s="75">
        <f t="shared" ca="1" si="382"/>
        <v>4368</v>
      </c>
      <c r="X1733" s="200">
        <f t="shared" ca="1" si="383"/>
        <v>5974</v>
      </c>
      <c r="Y1733" s="1"/>
      <c r="Z1733" s="31">
        <v>0.1</v>
      </c>
      <c r="AA1733" s="223">
        <v>0.09</v>
      </c>
      <c r="AB1733" s="302" t="s">
        <v>8129</v>
      </c>
      <c r="AC1733" s="302"/>
      <c r="AD1733" s="302"/>
      <c r="AE1733" s="302"/>
      <c r="AF1733">
        <f t="shared" si="372"/>
        <v>0</v>
      </c>
    </row>
    <row r="1734" spans="1:32" ht="64.5" hidden="1" customHeight="1" x14ac:dyDescent="0.25">
      <c r="A1734" s="322" t="s">
        <v>4574</v>
      </c>
      <c r="B1734" s="93" t="str">
        <f t="shared" si="379"/>
        <v>YES</v>
      </c>
      <c r="C1734" s="93" t="s">
        <v>5503</v>
      </c>
      <c r="D1734" s="4">
        <v>41354</v>
      </c>
      <c r="E1734" s="2">
        <v>41791</v>
      </c>
      <c r="F1734" s="2">
        <f t="shared" si="373"/>
        <v>45444</v>
      </c>
      <c r="G1734" s="6">
        <v>1260.25</v>
      </c>
      <c r="H1734" s="7" t="s">
        <v>287</v>
      </c>
      <c r="I1734" s="7" t="s">
        <v>86</v>
      </c>
      <c r="J1734" s="109"/>
      <c r="K1734" s="266">
        <f t="shared" si="380"/>
        <v>2024</v>
      </c>
      <c r="L1734" s="417" t="s">
        <v>5834</v>
      </c>
      <c r="M1734" s="301" t="s">
        <v>7589</v>
      </c>
      <c r="N1734" s="32" t="s">
        <v>7787</v>
      </c>
      <c r="O1734" s="32" t="s">
        <v>4576</v>
      </c>
      <c r="P1734" s="278"/>
      <c r="Q1734" s="233" t="s">
        <v>4575</v>
      </c>
      <c r="R1734" s="75">
        <v>4563.5</v>
      </c>
      <c r="S1734" s="75">
        <v>0</v>
      </c>
      <c r="T1734" s="75">
        <v>4563.5</v>
      </c>
      <c r="U1734" s="200">
        <v>1891.5</v>
      </c>
      <c r="V1734" s="287">
        <f t="shared" ca="1" si="381"/>
        <v>6</v>
      </c>
      <c r="W1734" s="75">
        <f t="shared" ca="1" si="382"/>
        <v>11979.5</v>
      </c>
      <c r="X1734" s="200">
        <f t="shared" ca="1" si="383"/>
        <v>14651.5</v>
      </c>
      <c r="Y1734" s="1"/>
      <c r="Z1734" s="31">
        <v>0.1</v>
      </c>
      <c r="AA1734" s="223">
        <v>0.09</v>
      </c>
      <c r="AB1734" s="302" t="s">
        <v>7314</v>
      </c>
      <c r="AC1734" s="302"/>
      <c r="AD1734" s="302"/>
      <c r="AE1734" s="302"/>
      <c r="AF1734">
        <f t="shared" si="372"/>
        <v>0</v>
      </c>
    </row>
    <row r="1735" spans="1:32" ht="39" hidden="1" x14ac:dyDescent="0.25">
      <c r="A1735" s="322" t="s">
        <v>4577</v>
      </c>
      <c r="B1735" s="93" t="str">
        <f t="shared" si="379"/>
        <v>YES</v>
      </c>
      <c r="C1735" s="93" t="s">
        <v>5503</v>
      </c>
      <c r="D1735" s="4">
        <v>41354</v>
      </c>
      <c r="E1735" s="2">
        <v>41791</v>
      </c>
      <c r="F1735" s="2">
        <f t="shared" si="373"/>
        <v>45444</v>
      </c>
      <c r="G1735" s="6">
        <v>1064.8399999999999</v>
      </c>
      <c r="H1735" s="7" t="s">
        <v>287</v>
      </c>
      <c r="I1735" s="7" t="s">
        <v>86</v>
      </c>
      <c r="J1735" s="109"/>
      <c r="K1735" s="266">
        <f t="shared" si="380"/>
        <v>2024</v>
      </c>
      <c r="L1735" s="417" t="s">
        <v>5834</v>
      </c>
      <c r="M1735" s="301" t="s">
        <v>7589</v>
      </c>
      <c r="N1735" s="32" t="s">
        <v>7787</v>
      </c>
      <c r="O1735" s="32" t="s">
        <v>4579</v>
      </c>
      <c r="P1735" s="278"/>
      <c r="Q1735" s="233" t="s">
        <v>4578</v>
      </c>
      <c r="R1735" s="75">
        <v>3877.5</v>
      </c>
      <c r="S1735" s="75">
        <v>0</v>
      </c>
      <c r="T1735" s="75">
        <v>3877.5</v>
      </c>
      <c r="U1735" s="200">
        <v>1597.5</v>
      </c>
      <c r="V1735" s="287">
        <f t="shared" ca="1" si="381"/>
        <v>6</v>
      </c>
      <c r="W1735" s="75">
        <f t="shared" ca="1" si="382"/>
        <v>10117.5</v>
      </c>
      <c r="X1735" s="200">
        <f t="shared" ca="1" si="383"/>
        <v>12397.5</v>
      </c>
      <c r="Y1735" s="1"/>
      <c r="Z1735" s="31">
        <v>0.1</v>
      </c>
      <c r="AA1735" s="223">
        <v>0.09</v>
      </c>
      <c r="AB1735" s="302" t="s">
        <v>7315</v>
      </c>
      <c r="AC1735" s="302"/>
      <c r="AD1735" s="302"/>
      <c r="AE1735" s="302"/>
      <c r="AF1735">
        <f t="shared" si="372"/>
        <v>0</v>
      </c>
    </row>
    <row r="1736" spans="1:32" ht="90" hidden="1" customHeight="1" x14ac:dyDescent="0.25">
      <c r="A1736" s="322" t="s">
        <v>4580</v>
      </c>
      <c r="B1736" s="93" t="str">
        <f t="shared" si="379"/>
        <v>YES</v>
      </c>
      <c r="C1736" s="93" t="s">
        <v>5503</v>
      </c>
      <c r="D1736" s="4">
        <v>41354</v>
      </c>
      <c r="E1736" s="2">
        <v>41791</v>
      </c>
      <c r="F1736" s="2">
        <f t="shared" si="373"/>
        <v>45444</v>
      </c>
      <c r="G1736" s="6">
        <v>1230.8499999999999</v>
      </c>
      <c r="H1736" s="7" t="s">
        <v>287</v>
      </c>
      <c r="I1736" s="7" t="s">
        <v>86</v>
      </c>
      <c r="J1736" s="109"/>
      <c r="K1736" s="266">
        <f t="shared" si="380"/>
        <v>2024</v>
      </c>
      <c r="L1736" s="417" t="s">
        <v>5834</v>
      </c>
      <c r="M1736" s="301" t="s">
        <v>7589</v>
      </c>
      <c r="N1736" s="32" t="s">
        <v>7787</v>
      </c>
      <c r="O1736" s="32" t="s">
        <v>4582</v>
      </c>
      <c r="P1736" s="278"/>
      <c r="Q1736" s="233" t="s">
        <v>4581</v>
      </c>
      <c r="R1736" s="75">
        <v>4458.5</v>
      </c>
      <c r="S1736" s="75">
        <v>0</v>
      </c>
      <c r="T1736" s="75">
        <v>4458.5</v>
      </c>
      <c r="U1736" s="200">
        <v>1846.5</v>
      </c>
      <c r="V1736" s="287">
        <f t="shared" ca="1" si="381"/>
        <v>6</v>
      </c>
      <c r="W1736" s="75">
        <f t="shared" ca="1" si="382"/>
        <v>11694.5</v>
      </c>
      <c r="X1736" s="200">
        <f t="shared" ca="1" si="383"/>
        <v>14306.5</v>
      </c>
      <c r="Y1736" s="1"/>
      <c r="Z1736" s="31">
        <v>0.1</v>
      </c>
      <c r="AA1736" s="223">
        <v>0.09</v>
      </c>
      <c r="AB1736" s="302" t="s">
        <v>7316</v>
      </c>
      <c r="AC1736" s="302"/>
      <c r="AD1736" s="302"/>
      <c r="AE1736" s="302"/>
      <c r="AF1736">
        <f t="shared" si="372"/>
        <v>0</v>
      </c>
    </row>
    <row r="1737" spans="1:32" ht="51.75" hidden="1" x14ac:dyDescent="0.25">
      <c r="A1737" s="322" t="s">
        <v>4583</v>
      </c>
      <c r="B1737" s="93" t="str">
        <f t="shared" si="379"/>
        <v>YES</v>
      </c>
      <c r="C1737" s="93" t="s">
        <v>5503</v>
      </c>
      <c r="D1737" s="4">
        <v>41354</v>
      </c>
      <c r="E1737" s="2">
        <v>41791</v>
      </c>
      <c r="F1737" s="2">
        <f t="shared" si="373"/>
        <v>45444</v>
      </c>
      <c r="G1737" s="6">
        <v>1627.29</v>
      </c>
      <c r="H1737" s="7" t="s">
        <v>287</v>
      </c>
      <c r="I1737" s="7" t="s">
        <v>86</v>
      </c>
      <c r="J1737" s="109"/>
      <c r="K1737" s="266">
        <f t="shared" si="380"/>
        <v>2024</v>
      </c>
      <c r="L1737" s="417" t="s">
        <v>5834</v>
      </c>
      <c r="M1737" s="301" t="s">
        <v>7589</v>
      </c>
      <c r="N1737" s="32" t="s">
        <v>7787</v>
      </c>
      <c r="O1737" s="32" t="s">
        <v>4585</v>
      </c>
      <c r="P1737" s="278"/>
      <c r="Q1737" s="233" t="s">
        <v>4584</v>
      </c>
      <c r="R1737" s="75">
        <v>5848</v>
      </c>
      <c r="S1737" s="75">
        <v>0</v>
      </c>
      <c r="T1737" s="75">
        <v>5848</v>
      </c>
      <c r="U1737" s="200">
        <v>2442</v>
      </c>
      <c r="V1737" s="287">
        <f t="shared" ca="1" si="381"/>
        <v>6</v>
      </c>
      <c r="W1737" s="75">
        <f t="shared" ca="1" si="382"/>
        <v>15466</v>
      </c>
      <c r="X1737" s="200">
        <f t="shared" ca="1" si="383"/>
        <v>18872</v>
      </c>
      <c r="Y1737" s="1"/>
      <c r="Z1737" s="31">
        <v>0.1</v>
      </c>
      <c r="AA1737" s="223">
        <v>0.09</v>
      </c>
      <c r="AB1737" s="302" t="s">
        <v>7317</v>
      </c>
      <c r="AC1737" s="302"/>
      <c r="AD1737" s="302"/>
      <c r="AE1737" s="302"/>
      <c r="AF1737">
        <f t="shared" si="372"/>
        <v>0</v>
      </c>
    </row>
    <row r="1738" spans="1:32" hidden="1" x14ac:dyDescent="0.25">
      <c r="A1738" s="322" t="s">
        <v>4586</v>
      </c>
      <c r="B1738" s="93" t="str">
        <f t="shared" si="379"/>
        <v>YES</v>
      </c>
      <c r="C1738" s="93" t="s">
        <v>5503</v>
      </c>
      <c r="D1738" s="4">
        <v>41354</v>
      </c>
      <c r="E1738" s="2">
        <v>41791</v>
      </c>
      <c r="F1738" s="2">
        <f t="shared" si="373"/>
        <v>45444</v>
      </c>
      <c r="G1738" s="6">
        <v>641.55999999999995</v>
      </c>
      <c r="H1738" s="7" t="s">
        <v>287</v>
      </c>
      <c r="I1738" s="7" t="s">
        <v>86</v>
      </c>
      <c r="J1738" s="109"/>
      <c r="K1738" s="266">
        <f t="shared" si="380"/>
        <v>2024</v>
      </c>
      <c r="L1738" s="417" t="s">
        <v>5834</v>
      </c>
      <c r="M1738" s="301" t="s">
        <v>7589</v>
      </c>
      <c r="N1738" s="32" t="s">
        <v>7787</v>
      </c>
      <c r="O1738" s="32" t="s">
        <v>643</v>
      </c>
      <c r="P1738" s="278"/>
      <c r="Q1738" s="233" t="s">
        <v>4587</v>
      </c>
      <c r="R1738" s="75">
        <v>2397</v>
      </c>
      <c r="S1738" s="75">
        <v>0</v>
      </c>
      <c r="T1738" s="75">
        <v>2397</v>
      </c>
      <c r="U1738" s="200">
        <v>963</v>
      </c>
      <c r="V1738" s="287">
        <f t="shared" ca="1" si="381"/>
        <v>6</v>
      </c>
      <c r="W1738" s="75">
        <f t="shared" ca="1" si="382"/>
        <v>6099</v>
      </c>
      <c r="X1738" s="200">
        <f t="shared" ca="1" si="383"/>
        <v>7533</v>
      </c>
      <c r="Y1738" s="1"/>
      <c r="Z1738" s="31">
        <v>0.1</v>
      </c>
      <c r="AA1738" s="223">
        <v>0.09</v>
      </c>
      <c r="AB1738" s="302" t="s">
        <v>7318</v>
      </c>
      <c r="AC1738" s="302"/>
      <c r="AD1738" s="302"/>
      <c r="AE1738" s="302"/>
      <c r="AF1738">
        <f t="shared" si="372"/>
        <v>0</v>
      </c>
    </row>
    <row r="1739" spans="1:32" ht="51.75" hidden="1" x14ac:dyDescent="0.25">
      <c r="A1739" s="322" t="s">
        <v>4588</v>
      </c>
      <c r="B1739" s="93" t="str">
        <f t="shared" si="379"/>
        <v>YES</v>
      </c>
      <c r="C1739" s="93" t="s">
        <v>5503</v>
      </c>
      <c r="D1739" s="4">
        <v>41354</v>
      </c>
      <c r="E1739" s="2">
        <v>41791</v>
      </c>
      <c r="F1739" s="2">
        <f t="shared" si="373"/>
        <v>45444</v>
      </c>
      <c r="G1739" s="6">
        <v>610.91</v>
      </c>
      <c r="H1739" s="7" t="s">
        <v>287</v>
      </c>
      <c r="I1739" s="7" t="s">
        <v>86</v>
      </c>
      <c r="J1739" s="109"/>
      <c r="K1739" s="266">
        <f t="shared" si="380"/>
        <v>2024</v>
      </c>
      <c r="L1739" s="417" t="s">
        <v>5834</v>
      </c>
      <c r="M1739" s="301" t="s">
        <v>5573</v>
      </c>
      <c r="N1739" s="32" t="s">
        <v>7787</v>
      </c>
      <c r="O1739" s="32" t="s">
        <v>4590</v>
      </c>
      <c r="P1739" s="278"/>
      <c r="Q1739" s="233" t="s">
        <v>4589</v>
      </c>
      <c r="R1739" s="75">
        <v>2288.5</v>
      </c>
      <c r="S1739" s="75">
        <v>0</v>
      </c>
      <c r="T1739" s="75">
        <v>2288.5</v>
      </c>
      <c r="U1739" s="200">
        <v>916.5</v>
      </c>
      <c r="V1739" s="287">
        <f t="shared" ca="1" si="381"/>
        <v>6</v>
      </c>
      <c r="W1739" s="75">
        <f t="shared" ca="1" si="382"/>
        <v>5804.5</v>
      </c>
      <c r="X1739" s="200">
        <f t="shared" ca="1" si="383"/>
        <v>7176.5</v>
      </c>
      <c r="Y1739" s="1"/>
      <c r="Z1739" s="31">
        <v>0.1</v>
      </c>
      <c r="AA1739" s="223">
        <v>0.09</v>
      </c>
      <c r="AB1739" s="302" t="s">
        <v>7319</v>
      </c>
      <c r="AC1739" s="302"/>
      <c r="AD1739" s="302"/>
      <c r="AE1739" s="302"/>
      <c r="AF1739">
        <f t="shared" si="372"/>
        <v>0</v>
      </c>
    </row>
    <row r="1740" spans="1:32" ht="26.25" hidden="1" x14ac:dyDescent="0.25">
      <c r="A1740" s="322" t="s">
        <v>4591</v>
      </c>
      <c r="B1740" s="93" t="str">
        <f t="shared" si="379"/>
        <v>YES</v>
      </c>
      <c r="C1740" s="93" t="s">
        <v>5503</v>
      </c>
      <c r="D1740" s="4">
        <v>41354</v>
      </c>
      <c r="E1740" s="2">
        <v>41791</v>
      </c>
      <c r="F1740" s="2">
        <f t="shared" si="373"/>
        <v>45444</v>
      </c>
      <c r="G1740" s="6">
        <v>1465.81</v>
      </c>
      <c r="H1740" s="7" t="s">
        <v>287</v>
      </c>
      <c r="I1740" s="7" t="s">
        <v>86</v>
      </c>
      <c r="J1740" s="109"/>
      <c r="K1740" s="266">
        <f t="shared" si="380"/>
        <v>2024</v>
      </c>
      <c r="L1740" s="417" t="s">
        <v>5834</v>
      </c>
      <c r="M1740" s="301" t="s">
        <v>5573</v>
      </c>
      <c r="N1740" s="32" t="s">
        <v>7787</v>
      </c>
      <c r="O1740" s="32" t="s">
        <v>4593</v>
      </c>
      <c r="P1740" s="278"/>
      <c r="Q1740" s="233" t="s">
        <v>4592</v>
      </c>
      <c r="R1740" s="75">
        <v>5281</v>
      </c>
      <c r="S1740" s="75">
        <v>0</v>
      </c>
      <c r="T1740" s="75">
        <v>5281</v>
      </c>
      <c r="U1740" s="200">
        <v>2199</v>
      </c>
      <c r="V1740" s="287">
        <f t="shared" ca="1" si="381"/>
        <v>6</v>
      </c>
      <c r="W1740" s="75">
        <f t="shared" ca="1" si="382"/>
        <v>13927</v>
      </c>
      <c r="X1740" s="200">
        <f t="shared" ca="1" si="383"/>
        <v>17009</v>
      </c>
      <c r="Y1740" s="1"/>
      <c r="Z1740" s="31">
        <v>0.1</v>
      </c>
      <c r="AA1740" s="223">
        <v>0.09</v>
      </c>
      <c r="AB1740" s="302" t="s">
        <v>7320</v>
      </c>
      <c r="AC1740" s="302"/>
      <c r="AD1740" s="302"/>
      <c r="AE1740" s="302"/>
      <c r="AF1740">
        <f t="shared" si="372"/>
        <v>0</v>
      </c>
    </row>
    <row r="1741" spans="1:32" ht="26.25" hidden="1" x14ac:dyDescent="0.25">
      <c r="A1741" s="322" t="s">
        <v>4594</v>
      </c>
      <c r="B1741" s="93" t="str">
        <f t="shared" si="379"/>
        <v>YES</v>
      </c>
      <c r="C1741" s="93" t="s">
        <v>5503</v>
      </c>
      <c r="D1741" s="4">
        <v>41354</v>
      </c>
      <c r="E1741" s="2">
        <v>41791</v>
      </c>
      <c r="F1741" s="2">
        <f t="shared" si="373"/>
        <v>45444</v>
      </c>
      <c r="G1741" s="6">
        <v>1680.49</v>
      </c>
      <c r="H1741" s="7" t="s">
        <v>287</v>
      </c>
      <c r="I1741" s="7" t="s">
        <v>86</v>
      </c>
      <c r="J1741" s="109"/>
      <c r="K1741" s="266">
        <f t="shared" si="380"/>
        <v>2024</v>
      </c>
      <c r="L1741" s="417" t="s">
        <v>5834</v>
      </c>
      <c r="M1741" s="301" t="s">
        <v>5573</v>
      </c>
      <c r="N1741" s="32" t="s">
        <v>7787</v>
      </c>
      <c r="O1741" s="32" t="s">
        <v>4596</v>
      </c>
      <c r="P1741" s="278"/>
      <c r="Q1741" s="233" t="s">
        <v>4595</v>
      </c>
      <c r="R1741" s="75">
        <v>6033.5</v>
      </c>
      <c r="S1741" s="75">
        <v>0</v>
      </c>
      <c r="T1741" s="75">
        <v>6033.5</v>
      </c>
      <c r="U1741" s="200">
        <v>2521.5</v>
      </c>
      <c r="V1741" s="287">
        <f t="shared" ca="1" si="381"/>
        <v>6</v>
      </c>
      <c r="W1741" s="75">
        <f t="shared" ca="1" si="382"/>
        <v>15969.5</v>
      </c>
      <c r="X1741" s="200">
        <f t="shared" ca="1" si="383"/>
        <v>19481.5</v>
      </c>
      <c r="Y1741" s="1"/>
      <c r="Z1741" s="31">
        <v>0.1</v>
      </c>
      <c r="AA1741" s="223">
        <v>0.09</v>
      </c>
      <c r="AB1741" s="302" t="s">
        <v>7321</v>
      </c>
      <c r="AC1741" s="302"/>
      <c r="AD1741" s="302"/>
      <c r="AE1741" s="302"/>
      <c r="AF1741">
        <f t="shared" si="372"/>
        <v>0</v>
      </c>
    </row>
    <row r="1742" spans="1:32" ht="51.75" hidden="1" x14ac:dyDescent="0.25">
      <c r="A1742" s="322" t="s">
        <v>4597</v>
      </c>
      <c r="B1742" s="93" t="str">
        <f t="shared" si="379"/>
        <v>YES</v>
      </c>
      <c r="C1742" s="93" t="s">
        <v>5503</v>
      </c>
      <c r="D1742" s="4">
        <v>41354</v>
      </c>
      <c r="E1742" s="2">
        <v>41791</v>
      </c>
      <c r="F1742" s="2">
        <f t="shared" si="373"/>
        <v>45444</v>
      </c>
      <c r="G1742" s="6">
        <v>718.26</v>
      </c>
      <c r="H1742" s="7" t="s">
        <v>287</v>
      </c>
      <c r="I1742" s="7" t="s">
        <v>86</v>
      </c>
      <c r="J1742" s="109"/>
      <c r="K1742" s="266">
        <f t="shared" si="380"/>
        <v>2024</v>
      </c>
      <c r="L1742" s="417" t="s">
        <v>5834</v>
      </c>
      <c r="M1742" s="301" t="s">
        <v>5573</v>
      </c>
      <c r="N1742" s="32" t="s">
        <v>7787</v>
      </c>
      <c r="O1742" s="32" t="s">
        <v>4599</v>
      </c>
      <c r="P1742" s="278"/>
      <c r="Q1742" s="233" t="s">
        <v>4598</v>
      </c>
      <c r="R1742" s="75">
        <v>2666.5</v>
      </c>
      <c r="S1742" s="75">
        <v>0</v>
      </c>
      <c r="T1742" s="75">
        <v>2666.5</v>
      </c>
      <c r="U1742" s="200">
        <v>1078.5</v>
      </c>
      <c r="V1742" s="287">
        <f t="shared" ca="1" si="381"/>
        <v>6</v>
      </c>
      <c r="W1742" s="75">
        <f t="shared" ca="1" si="382"/>
        <v>6830.5</v>
      </c>
      <c r="X1742" s="200">
        <f t="shared" ca="1" si="383"/>
        <v>8418.5</v>
      </c>
      <c r="Y1742" s="1"/>
      <c r="Z1742" s="31">
        <v>0.1</v>
      </c>
      <c r="AA1742" s="223">
        <v>0.09</v>
      </c>
      <c r="AB1742" s="302" t="s">
        <v>7322</v>
      </c>
      <c r="AC1742" s="302"/>
      <c r="AD1742" s="302"/>
      <c r="AE1742" s="302"/>
      <c r="AF1742">
        <f t="shared" si="372"/>
        <v>0</v>
      </c>
    </row>
    <row r="1743" spans="1:32" hidden="1" x14ac:dyDescent="0.25">
      <c r="A1743" s="322" t="s">
        <v>4600</v>
      </c>
      <c r="B1743" s="93" t="str">
        <f t="shared" si="379"/>
        <v>YES</v>
      </c>
      <c r="C1743" s="93" t="s">
        <v>5503</v>
      </c>
      <c r="D1743" s="4">
        <v>41354</v>
      </c>
      <c r="E1743" s="2">
        <v>41791</v>
      </c>
      <c r="F1743" s="2">
        <f t="shared" si="373"/>
        <v>45444</v>
      </c>
      <c r="G1743" s="6">
        <v>52.1</v>
      </c>
      <c r="H1743" s="7" t="s">
        <v>453</v>
      </c>
      <c r="I1743" s="7" t="s">
        <v>86</v>
      </c>
      <c r="J1743" s="109"/>
      <c r="K1743" s="266">
        <f t="shared" si="380"/>
        <v>2024</v>
      </c>
      <c r="L1743" s="417" t="s">
        <v>5519</v>
      </c>
      <c r="M1743" s="301" t="s">
        <v>5683</v>
      </c>
      <c r="N1743" s="32" t="s">
        <v>7785</v>
      </c>
      <c r="O1743" s="32" t="s">
        <v>4602</v>
      </c>
      <c r="P1743" s="278"/>
      <c r="Q1743" s="233" t="s">
        <v>4601</v>
      </c>
      <c r="R1743" s="75">
        <v>335.5</v>
      </c>
      <c r="S1743" s="75">
        <v>1060</v>
      </c>
      <c r="T1743" s="75">
        <v>1395.5</v>
      </c>
      <c r="U1743" s="200">
        <v>79.5</v>
      </c>
      <c r="V1743" s="287">
        <f t="shared" ca="1" si="381"/>
        <v>6</v>
      </c>
      <c r="W1743" s="75">
        <f t="shared" ca="1" si="382"/>
        <v>503.5</v>
      </c>
      <c r="X1743" s="200">
        <f t="shared" ca="1" si="383"/>
        <v>1819.5</v>
      </c>
      <c r="Y1743" s="1"/>
      <c r="Z1743" s="31">
        <v>0.1</v>
      </c>
      <c r="AA1743" s="223">
        <v>0.09</v>
      </c>
      <c r="AB1743" s="302" t="s">
        <v>7323</v>
      </c>
      <c r="AC1743" s="302"/>
      <c r="AD1743" s="302"/>
      <c r="AE1743" s="302"/>
      <c r="AF1743">
        <f t="shared" si="372"/>
        <v>0</v>
      </c>
    </row>
    <row r="1744" spans="1:32" ht="51.75" hidden="1" x14ac:dyDescent="0.25">
      <c r="A1744" s="322" t="s">
        <v>4603</v>
      </c>
      <c r="B1744" s="93" t="str">
        <f t="shared" si="379"/>
        <v>YES</v>
      </c>
      <c r="C1744" s="93" t="s">
        <v>5503</v>
      </c>
      <c r="D1744" s="4">
        <v>41354</v>
      </c>
      <c r="E1744" s="2">
        <v>41791</v>
      </c>
      <c r="F1744" s="2">
        <f t="shared" si="373"/>
        <v>45444</v>
      </c>
      <c r="G1744" s="6">
        <v>535.98</v>
      </c>
      <c r="H1744" s="7" t="s">
        <v>453</v>
      </c>
      <c r="I1744" s="7" t="s">
        <v>86</v>
      </c>
      <c r="J1744" s="109"/>
      <c r="K1744" s="266">
        <f t="shared" si="380"/>
        <v>2024</v>
      </c>
      <c r="L1744" s="417" t="s">
        <v>5519</v>
      </c>
      <c r="M1744" s="301" t="s">
        <v>5683</v>
      </c>
      <c r="N1744" s="32" t="s">
        <v>7785</v>
      </c>
      <c r="O1744" s="32" t="s">
        <v>4605</v>
      </c>
      <c r="P1744" s="278"/>
      <c r="Q1744" s="233" t="s">
        <v>4604</v>
      </c>
      <c r="R1744" s="75">
        <v>2026</v>
      </c>
      <c r="S1744" s="75">
        <v>0</v>
      </c>
      <c r="T1744" s="75">
        <v>2026</v>
      </c>
      <c r="U1744" s="200">
        <v>804</v>
      </c>
      <c r="V1744" s="287">
        <f t="shared" ca="1" si="381"/>
        <v>6</v>
      </c>
      <c r="W1744" s="75">
        <f t="shared" ca="1" si="382"/>
        <v>5092</v>
      </c>
      <c r="X1744" s="200">
        <f t="shared" ca="1" si="383"/>
        <v>6314</v>
      </c>
      <c r="Y1744" s="1"/>
      <c r="Z1744" s="31">
        <v>0.1</v>
      </c>
      <c r="AA1744" s="223">
        <v>0.09</v>
      </c>
      <c r="AB1744" s="302" t="s">
        <v>7324</v>
      </c>
      <c r="AC1744" s="302"/>
      <c r="AD1744" s="302"/>
      <c r="AE1744" s="302"/>
      <c r="AF1744">
        <f t="shared" si="372"/>
        <v>0</v>
      </c>
    </row>
    <row r="1745" spans="1:32" hidden="1" x14ac:dyDescent="0.25">
      <c r="A1745" s="322" t="s">
        <v>4606</v>
      </c>
      <c r="B1745" s="93" t="str">
        <f t="shared" si="379"/>
        <v>YES</v>
      </c>
      <c r="C1745" s="93" t="s">
        <v>5503</v>
      </c>
      <c r="D1745" s="4">
        <v>41354</v>
      </c>
      <c r="E1745" s="2">
        <v>41791</v>
      </c>
      <c r="F1745" s="2">
        <f t="shared" si="373"/>
        <v>45444</v>
      </c>
      <c r="G1745" s="6">
        <v>105.84</v>
      </c>
      <c r="H1745" s="7" t="s">
        <v>453</v>
      </c>
      <c r="I1745" s="7" t="s">
        <v>86</v>
      </c>
      <c r="J1745" s="109"/>
      <c r="K1745" s="266">
        <f t="shared" si="380"/>
        <v>2024</v>
      </c>
      <c r="L1745" s="417" t="s">
        <v>5519</v>
      </c>
      <c r="M1745" s="301" t="s">
        <v>5683</v>
      </c>
      <c r="N1745" s="32" t="s">
        <v>7785</v>
      </c>
      <c r="O1745" s="32" t="s">
        <v>4608</v>
      </c>
      <c r="P1745" s="278"/>
      <c r="Q1745" s="233" t="s">
        <v>4607</v>
      </c>
      <c r="R1745" s="75">
        <v>521</v>
      </c>
      <c r="S1745" s="75">
        <v>1908</v>
      </c>
      <c r="T1745" s="75">
        <v>2429</v>
      </c>
      <c r="U1745" s="200">
        <v>159</v>
      </c>
      <c r="V1745" s="287">
        <f t="shared" ca="1" si="381"/>
        <v>6</v>
      </c>
      <c r="W1745" s="75">
        <f t="shared" ca="1" si="382"/>
        <v>1007</v>
      </c>
      <c r="X1745" s="200">
        <f t="shared" ca="1" si="383"/>
        <v>3277</v>
      </c>
      <c r="Y1745" s="1"/>
      <c r="Z1745" s="31">
        <v>0.1</v>
      </c>
      <c r="AA1745" s="223">
        <v>0.09</v>
      </c>
      <c r="AB1745" s="302" t="s">
        <v>7325</v>
      </c>
      <c r="AC1745" s="302"/>
      <c r="AD1745" s="302"/>
      <c r="AE1745" s="302"/>
      <c r="AF1745">
        <f t="shared" si="372"/>
        <v>0</v>
      </c>
    </row>
    <row r="1746" spans="1:32" hidden="1" x14ac:dyDescent="0.25">
      <c r="A1746" s="322" t="s">
        <v>4609</v>
      </c>
      <c r="B1746" s="93" t="str">
        <f t="shared" si="379"/>
        <v>YES</v>
      </c>
      <c r="C1746" s="93" t="s">
        <v>5503</v>
      </c>
      <c r="D1746" s="4">
        <v>41354</v>
      </c>
      <c r="E1746" s="2">
        <v>41791</v>
      </c>
      <c r="F1746" s="2">
        <f t="shared" si="373"/>
        <v>45444</v>
      </c>
      <c r="G1746" s="6">
        <v>329.28</v>
      </c>
      <c r="H1746" s="7" t="s">
        <v>332</v>
      </c>
      <c r="I1746" s="7" t="s">
        <v>86</v>
      </c>
      <c r="J1746" s="109"/>
      <c r="K1746" s="266">
        <f t="shared" si="380"/>
        <v>2024</v>
      </c>
      <c r="L1746" s="417" t="s">
        <v>5519</v>
      </c>
      <c r="M1746" s="301" t="s">
        <v>5683</v>
      </c>
      <c r="N1746" s="32" t="s">
        <v>7785</v>
      </c>
      <c r="O1746" s="32" t="s">
        <v>4611</v>
      </c>
      <c r="P1746" s="278"/>
      <c r="Q1746" s="233" t="s">
        <v>4610</v>
      </c>
      <c r="R1746" s="75">
        <v>1305</v>
      </c>
      <c r="S1746" s="75">
        <v>0</v>
      </c>
      <c r="T1746" s="75">
        <v>1305</v>
      </c>
      <c r="U1746" s="200">
        <v>495</v>
      </c>
      <c r="V1746" s="287">
        <f t="shared" ca="1" si="381"/>
        <v>6</v>
      </c>
      <c r="W1746" s="75">
        <f t="shared" ca="1" si="382"/>
        <v>3135</v>
      </c>
      <c r="X1746" s="200">
        <f t="shared" ca="1" si="383"/>
        <v>3945</v>
      </c>
      <c r="Y1746" s="1"/>
      <c r="Z1746" s="31">
        <v>0.1</v>
      </c>
      <c r="AA1746" s="223">
        <v>0.09</v>
      </c>
      <c r="AB1746" s="302" t="s">
        <v>7326</v>
      </c>
      <c r="AC1746" s="302"/>
      <c r="AD1746" s="302"/>
      <c r="AE1746" s="302"/>
      <c r="AF1746">
        <f t="shared" si="372"/>
        <v>0</v>
      </c>
    </row>
    <row r="1747" spans="1:32" ht="39" hidden="1" x14ac:dyDescent="0.25">
      <c r="A1747" s="322" t="s">
        <v>4612</v>
      </c>
      <c r="B1747" s="93" t="str">
        <f t="shared" si="379"/>
        <v>YES</v>
      </c>
      <c r="C1747" s="93" t="s">
        <v>5503</v>
      </c>
      <c r="D1747" s="4">
        <v>41354</v>
      </c>
      <c r="E1747" s="2">
        <v>41791</v>
      </c>
      <c r="F1747" s="2">
        <f t="shared" si="373"/>
        <v>45444</v>
      </c>
      <c r="G1747" s="6">
        <v>454</v>
      </c>
      <c r="H1747" s="7" t="s">
        <v>3750</v>
      </c>
      <c r="I1747" s="7" t="s">
        <v>86</v>
      </c>
      <c r="J1747" s="109"/>
      <c r="K1747" s="266">
        <f t="shared" si="380"/>
        <v>2024</v>
      </c>
      <c r="L1747" s="417" t="s">
        <v>5519</v>
      </c>
      <c r="M1747" s="301" t="s">
        <v>5683</v>
      </c>
      <c r="N1747" s="32" t="s">
        <v>7785</v>
      </c>
      <c r="O1747" s="32" t="s">
        <v>4614</v>
      </c>
      <c r="P1747" s="278"/>
      <c r="Q1747" s="233" t="s">
        <v>4613</v>
      </c>
      <c r="R1747" s="75">
        <v>1739</v>
      </c>
      <c r="S1747" s="75">
        <v>0</v>
      </c>
      <c r="T1747" s="75">
        <v>1739</v>
      </c>
      <c r="U1747" s="200">
        <v>681</v>
      </c>
      <c r="V1747" s="287">
        <f t="shared" ca="1" si="381"/>
        <v>6</v>
      </c>
      <c r="W1747" s="75">
        <f t="shared" ca="1" si="382"/>
        <v>4313</v>
      </c>
      <c r="X1747" s="200">
        <f t="shared" ca="1" si="383"/>
        <v>5371</v>
      </c>
      <c r="Y1747" s="1"/>
      <c r="Z1747" s="31">
        <v>0.1</v>
      </c>
      <c r="AA1747" s="223">
        <v>0.09</v>
      </c>
      <c r="AB1747" s="302" t="s">
        <v>7327</v>
      </c>
      <c r="AC1747" s="308">
        <v>43539</v>
      </c>
      <c r="AD1747" s="309">
        <v>0.25</v>
      </c>
      <c r="AE1747" s="302" t="s">
        <v>7516</v>
      </c>
      <c r="AF1747">
        <f t="shared" si="372"/>
        <v>0</v>
      </c>
    </row>
    <row r="1748" spans="1:32" ht="25.5" hidden="1" x14ac:dyDescent="0.25">
      <c r="A1748" s="322" t="s">
        <v>4615</v>
      </c>
      <c r="B1748" s="93" t="str">
        <f t="shared" si="379"/>
        <v>YES</v>
      </c>
      <c r="C1748" s="93" t="s">
        <v>5503</v>
      </c>
      <c r="D1748" s="4">
        <v>41354</v>
      </c>
      <c r="E1748" s="2">
        <v>41791</v>
      </c>
      <c r="F1748" s="2">
        <f t="shared" si="373"/>
        <v>45444</v>
      </c>
      <c r="G1748" s="6">
        <v>22.78</v>
      </c>
      <c r="H1748" s="7" t="s">
        <v>3750</v>
      </c>
      <c r="I1748" s="7" t="s">
        <v>86</v>
      </c>
      <c r="J1748" s="109"/>
      <c r="K1748" s="266">
        <f t="shared" si="380"/>
        <v>2024</v>
      </c>
      <c r="L1748" s="417" t="s">
        <v>5519</v>
      </c>
      <c r="M1748" s="301" t="s">
        <v>5683</v>
      </c>
      <c r="N1748" s="32" t="s">
        <v>7785</v>
      </c>
      <c r="O1748" s="32" t="s">
        <v>4617</v>
      </c>
      <c r="P1748" s="278"/>
      <c r="Q1748" s="233" t="s">
        <v>4616</v>
      </c>
      <c r="R1748" s="75">
        <v>230.5</v>
      </c>
      <c r="S1748" s="75">
        <v>0</v>
      </c>
      <c r="T1748" s="75">
        <v>230.5</v>
      </c>
      <c r="U1748" s="200">
        <v>34.5</v>
      </c>
      <c r="V1748" s="287">
        <f t="shared" ca="1" si="381"/>
        <v>6</v>
      </c>
      <c r="W1748" s="75">
        <f t="shared" ca="1" si="382"/>
        <v>218.5</v>
      </c>
      <c r="X1748" s="200">
        <f t="shared" ca="1" si="383"/>
        <v>414.5</v>
      </c>
      <c r="Y1748" s="1"/>
      <c r="Z1748" s="31">
        <v>0.1</v>
      </c>
      <c r="AA1748" s="223">
        <v>0.09</v>
      </c>
      <c r="AB1748" s="302" t="s">
        <v>7328</v>
      </c>
      <c r="AC1748" s="308">
        <v>43539</v>
      </c>
      <c r="AD1748" s="309">
        <v>0.25</v>
      </c>
      <c r="AE1748" s="302" t="s">
        <v>7516</v>
      </c>
      <c r="AF1748">
        <f t="shared" si="372"/>
        <v>0</v>
      </c>
    </row>
    <row r="1749" spans="1:32" ht="90" hidden="1" x14ac:dyDescent="0.25">
      <c r="A1749" s="322" t="s">
        <v>4618</v>
      </c>
      <c r="B1749" s="93" t="str">
        <f t="shared" si="379"/>
        <v>YES</v>
      </c>
      <c r="C1749" s="93" t="s">
        <v>5503</v>
      </c>
      <c r="D1749" s="4">
        <v>41354</v>
      </c>
      <c r="E1749" s="2">
        <v>41791</v>
      </c>
      <c r="F1749" s="2">
        <f t="shared" si="373"/>
        <v>45444</v>
      </c>
      <c r="G1749" s="6">
        <v>17.22</v>
      </c>
      <c r="H1749" s="7" t="s">
        <v>3750</v>
      </c>
      <c r="I1749" s="7" t="s">
        <v>86</v>
      </c>
      <c r="J1749" s="109"/>
      <c r="K1749" s="266">
        <f t="shared" si="380"/>
        <v>2024</v>
      </c>
      <c r="L1749" s="417" t="s">
        <v>5519</v>
      </c>
      <c r="M1749" s="301" t="s">
        <v>5683</v>
      </c>
      <c r="N1749" s="32" t="s">
        <v>7785</v>
      </c>
      <c r="O1749" s="32" t="s">
        <v>4620</v>
      </c>
      <c r="P1749" s="278"/>
      <c r="Q1749" s="233" t="s">
        <v>4619</v>
      </c>
      <c r="R1749" s="75">
        <v>213</v>
      </c>
      <c r="S1749" s="75">
        <v>0</v>
      </c>
      <c r="T1749" s="75">
        <v>213</v>
      </c>
      <c r="U1749" s="200">
        <v>27</v>
      </c>
      <c r="V1749" s="287">
        <f t="shared" ca="1" si="381"/>
        <v>6</v>
      </c>
      <c r="W1749" s="75">
        <f t="shared" ca="1" si="382"/>
        <v>171</v>
      </c>
      <c r="X1749" s="200">
        <f t="shared" ca="1" si="383"/>
        <v>357</v>
      </c>
      <c r="Y1749" s="1"/>
      <c r="Z1749" s="31">
        <v>0.1</v>
      </c>
      <c r="AA1749" s="223">
        <v>0.09</v>
      </c>
      <c r="AB1749" s="302" t="s">
        <v>7329</v>
      </c>
      <c r="AC1749" s="308">
        <v>43539</v>
      </c>
      <c r="AD1749" s="309">
        <v>0.25</v>
      </c>
      <c r="AE1749" s="302" t="s">
        <v>7516</v>
      </c>
      <c r="AF1749">
        <f t="shared" si="372"/>
        <v>0</v>
      </c>
    </row>
    <row r="1750" spans="1:32" ht="39" hidden="1" x14ac:dyDescent="0.25">
      <c r="A1750" s="322" t="s">
        <v>4621</v>
      </c>
      <c r="B1750" s="93" t="str">
        <f t="shared" si="379"/>
        <v>YES</v>
      </c>
      <c r="C1750" s="93" t="s">
        <v>5503</v>
      </c>
      <c r="D1750" s="4">
        <v>41354</v>
      </c>
      <c r="E1750" s="2">
        <v>41791</v>
      </c>
      <c r="F1750" s="2">
        <f t="shared" si="373"/>
        <v>45444</v>
      </c>
      <c r="G1750" s="6">
        <v>228.51</v>
      </c>
      <c r="H1750" s="7" t="s">
        <v>3750</v>
      </c>
      <c r="I1750" s="7" t="s">
        <v>86</v>
      </c>
      <c r="J1750" s="109"/>
      <c r="K1750" s="266">
        <f t="shared" si="380"/>
        <v>2024</v>
      </c>
      <c r="L1750" s="417" t="s">
        <v>5519</v>
      </c>
      <c r="M1750" s="301" t="s">
        <v>5683</v>
      </c>
      <c r="N1750" s="32" t="s">
        <v>7785</v>
      </c>
      <c r="O1750" s="32" t="s">
        <v>4623</v>
      </c>
      <c r="P1750" s="278"/>
      <c r="Q1750" s="233" t="s">
        <v>4622</v>
      </c>
      <c r="R1750" s="75">
        <v>951.5</v>
      </c>
      <c r="S1750" s="75">
        <v>0</v>
      </c>
      <c r="T1750" s="75">
        <v>951.5</v>
      </c>
      <c r="U1750" s="200">
        <v>343.5</v>
      </c>
      <c r="V1750" s="287">
        <f t="shared" ca="1" si="381"/>
        <v>6</v>
      </c>
      <c r="W1750" s="75">
        <f t="shared" ca="1" si="382"/>
        <v>2175.5</v>
      </c>
      <c r="X1750" s="200">
        <f t="shared" ca="1" si="383"/>
        <v>2783.5</v>
      </c>
      <c r="Y1750" s="1"/>
      <c r="Z1750" s="31">
        <v>0.1</v>
      </c>
      <c r="AA1750" s="223">
        <v>0.09</v>
      </c>
      <c r="AB1750" s="302" t="s">
        <v>7330</v>
      </c>
      <c r="AC1750" s="308">
        <v>43539</v>
      </c>
      <c r="AD1750" s="309">
        <v>0.25</v>
      </c>
      <c r="AE1750" s="302" t="s">
        <v>7516</v>
      </c>
      <c r="AF1750">
        <f t="shared" si="372"/>
        <v>0</v>
      </c>
    </row>
    <row r="1751" spans="1:32" hidden="1" x14ac:dyDescent="0.25">
      <c r="A1751" s="322" t="s">
        <v>4624</v>
      </c>
      <c r="B1751" s="93" t="str">
        <f t="shared" si="379"/>
        <v>YES</v>
      </c>
      <c r="C1751" s="93" t="s">
        <v>5503</v>
      </c>
      <c r="D1751" s="4">
        <v>41354</v>
      </c>
      <c r="E1751" s="2">
        <v>41791</v>
      </c>
      <c r="F1751" s="2">
        <f t="shared" si="373"/>
        <v>45444</v>
      </c>
      <c r="G1751" s="6">
        <v>40</v>
      </c>
      <c r="H1751" s="7" t="s">
        <v>453</v>
      </c>
      <c r="I1751" s="7" t="s">
        <v>86</v>
      </c>
      <c r="J1751" s="109"/>
      <c r="K1751" s="266">
        <f t="shared" si="380"/>
        <v>2024</v>
      </c>
      <c r="L1751" s="417" t="s">
        <v>5514</v>
      </c>
      <c r="M1751" s="301" t="s">
        <v>7593</v>
      </c>
      <c r="N1751" s="32" t="s">
        <v>7785</v>
      </c>
      <c r="O1751" s="32" t="s">
        <v>1343</v>
      </c>
      <c r="P1751" s="278"/>
      <c r="Q1751" s="233" t="s">
        <v>4625</v>
      </c>
      <c r="R1751" s="75">
        <v>290</v>
      </c>
      <c r="S1751" s="75">
        <v>0</v>
      </c>
      <c r="T1751" s="75">
        <v>290</v>
      </c>
      <c r="U1751" s="200">
        <v>60</v>
      </c>
      <c r="V1751" s="287">
        <f t="shared" ca="1" si="381"/>
        <v>6</v>
      </c>
      <c r="W1751" s="75">
        <f t="shared" ca="1" si="382"/>
        <v>380</v>
      </c>
      <c r="X1751" s="200">
        <f t="shared" ca="1" si="383"/>
        <v>610</v>
      </c>
      <c r="Y1751" s="1"/>
      <c r="Z1751" s="31">
        <v>0.1</v>
      </c>
      <c r="AA1751" s="223">
        <v>0.09</v>
      </c>
      <c r="AB1751" s="302" t="s">
        <v>7331</v>
      </c>
      <c r="AC1751" s="302"/>
      <c r="AD1751" s="302"/>
      <c r="AE1751" s="302"/>
      <c r="AF1751">
        <f t="shared" si="372"/>
        <v>0</v>
      </c>
    </row>
    <row r="1752" spans="1:32" hidden="1" x14ac:dyDescent="0.25">
      <c r="A1752" s="322" t="s">
        <v>4626</v>
      </c>
      <c r="B1752" s="93" t="str">
        <f t="shared" si="379"/>
        <v>YES</v>
      </c>
      <c r="C1752" s="93" t="s">
        <v>5503</v>
      </c>
      <c r="D1752" s="4">
        <v>41354</v>
      </c>
      <c r="E1752" s="2">
        <v>41791</v>
      </c>
      <c r="F1752" s="2">
        <f t="shared" si="373"/>
        <v>45444</v>
      </c>
      <c r="G1752" s="6">
        <v>40</v>
      </c>
      <c r="H1752" s="7" t="s">
        <v>453</v>
      </c>
      <c r="I1752" s="7" t="s">
        <v>86</v>
      </c>
      <c r="J1752" s="109"/>
      <c r="K1752" s="266">
        <f t="shared" si="380"/>
        <v>2024</v>
      </c>
      <c r="L1752" s="417" t="s">
        <v>5834</v>
      </c>
      <c r="M1752" s="301" t="s">
        <v>6133</v>
      </c>
      <c r="N1752" s="32" t="s">
        <v>7785</v>
      </c>
      <c r="O1752" s="32" t="s">
        <v>4628</v>
      </c>
      <c r="P1752" s="278"/>
      <c r="Q1752" s="233" t="s">
        <v>4627</v>
      </c>
      <c r="R1752" s="75">
        <v>290</v>
      </c>
      <c r="S1752" s="75">
        <v>960</v>
      </c>
      <c r="T1752" s="75">
        <v>1250</v>
      </c>
      <c r="U1752" s="200">
        <v>60</v>
      </c>
      <c r="V1752" s="287">
        <f t="shared" ca="1" si="381"/>
        <v>6</v>
      </c>
      <c r="W1752" s="75">
        <f t="shared" ca="1" si="382"/>
        <v>380</v>
      </c>
      <c r="X1752" s="200">
        <f t="shared" ca="1" si="383"/>
        <v>1570</v>
      </c>
      <c r="Y1752" s="1"/>
      <c r="Z1752" s="31">
        <v>0.1</v>
      </c>
      <c r="AA1752" s="223">
        <v>0.09</v>
      </c>
      <c r="AB1752" s="302" t="s">
        <v>7332</v>
      </c>
      <c r="AC1752" s="302"/>
      <c r="AD1752" s="302"/>
      <c r="AE1752" s="302"/>
      <c r="AF1752">
        <f t="shared" si="372"/>
        <v>0</v>
      </c>
    </row>
    <row r="1753" spans="1:32" ht="15.75" hidden="1" thickBot="1" x14ac:dyDescent="0.3">
      <c r="A1753" s="322"/>
      <c r="D1753" s="4"/>
      <c r="E1753" s="2"/>
      <c r="F1753" s="2"/>
      <c r="G1753" s="6"/>
      <c r="H1753" s="7"/>
      <c r="I1753" s="7"/>
      <c r="J1753" s="186"/>
      <c r="K1753" s="186"/>
      <c r="L1753" s="386"/>
      <c r="M1753" s="386"/>
      <c r="N1753" s="32"/>
      <c r="O1753" s="32"/>
      <c r="P1753" s="278"/>
      <c r="Q1753" s="233"/>
      <c r="R1753" s="76">
        <v>114810.5</v>
      </c>
      <c r="S1753" s="76">
        <v>153742</v>
      </c>
      <c r="T1753" s="76">
        <v>268552.5</v>
      </c>
      <c r="U1753" s="200"/>
      <c r="V1753" s="75"/>
      <c r="W1753" s="75"/>
      <c r="X1753" s="200"/>
      <c r="Y1753" s="1"/>
      <c r="Z1753" s="77"/>
      <c r="AA1753" s="225"/>
      <c r="AB1753" s="302"/>
      <c r="AC1753" s="302"/>
      <c r="AD1753" s="302"/>
      <c r="AE1753" s="302"/>
      <c r="AF1753">
        <f t="shared" si="372"/>
        <v>0</v>
      </c>
    </row>
    <row r="1754" spans="1:32" hidden="1" x14ac:dyDescent="0.25">
      <c r="A1754" s="322"/>
      <c r="D1754" s="7"/>
      <c r="E1754" s="8"/>
      <c r="F1754" s="2"/>
      <c r="G1754" s="6"/>
      <c r="H1754" s="7"/>
      <c r="I1754" s="7"/>
      <c r="J1754" s="186"/>
      <c r="K1754" s="186"/>
      <c r="L1754" s="386"/>
      <c r="M1754" s="386"/>
      <c r="N1754" s="32"/>
      <c r="O1754" s="32"/>
      <c r="P1754" s="278"/>
      <c r="Q1754" s="233"/>
      <c r="R1754" s="75"/>
      <c r="S1754" s="75"/>
      <c r="T1754" s="75"/>
      <c r="U1754" s="200"/>
      <c r="V1754" s="75"/>
      <c r="W1754" s="75"/>
      <c r="X1754" s="200"/>
      <c r="Y1754" s="1"/>
      <c r="Z1754" s="1"/>
      <c r="AA1754" s="219"/>
      <c r="AB1754" s="302"/>
      <c r="AC1754" s="302"/>
      <c r="AD1754" s="302"/>
      <c r="AE1754" s="302"/>
      <c r="AF1754">
        <f t="shared" si="372"/>
        <v>0</v>
      </c>
    </row>
    <row r="1755" spans="1:32" hidden="1" x14ac:dyDescent="0.25">
      <c r="A1755" s="322" t="s">
        <v>4629</v>
      </c>
      <c r="B1755" s="93" t="str">
        <f t="shared" ref="B1755:B1775" si="384">IF(COUNTIF(GIS,A1755),"YES","NO")</f>
        <v>YES</v>
      </c>
      <c r="C1755" s="93" t="s">
        <v>5503</v>
      </c>
      <c r="D1755" s="4">
        <v>41529</v>
      </c>
      <c r="E1755" s="2">
        <v>41609</v>
      </c>
      <c r="F1755" s="2">
        <f t="shared" si="373"/>
        <v>45261</v>
      </c>
      <c r="G1755" s="6">
        <v>403.34</v>
      </c>
      <c r="H1755" s="3" t="s">
        <v>332</v>
      </c>
      <c r="I1755" s="7" t="s">
        <v>86</v>
      </c>
      <c r="J1755" s="186"/>
      <c r="K1755" s="266">
        <f t="shared" ref="K1755:K1772" si="385">YEAR(F1755)</f>
        <v>2023</v>
      </c>
      <c r="L1755" s="301" t="s">
        <v>5910</v>
      </c>
      <c r="M1755" s="301" t="s">
        <v>7593</v>
      </c>
      <c r="N1755" s="32" t="s">
        <v>7785</v>
      </c>
      <c r="O1755" s="32" t="s">
        <v>4631</v>
      </c>
      <c r="P1755" s="278"/>
      <c r="Q1755" s="233" t="s">
        <v>4630</v>
      </c>
      <c r="R1755" s="75">
        <v>1564</v>
      </c>
      <c r="S1755" s="75">
        <v>4040</v>
      </c>
      <c r="T1755" s="75">
        <v>5604</v>
      </c>
      <c r="U1755" s="205">
        <v>606</v>
      </c>
      <c r="V1755" s="287">
        <f t="shared" ref="V1755:V1772" ca="1" si="386">IF(YEAR($W$3)-YEAR(E1755)&gt;9,10,IF(MONTH($W$3)&lt;MONTH(E1755),YEAR($W$3)-YEAR(E1755),YEAR($W$3)-YEAR(E1755)+1))</f>
        <v>7</v>
      </c>
      <c r="W1755" s="75">
        <f t="shared" ref="W1755:W1772" ca="1" si="387">IF(V1755&lt;6, ROUNDUP(G1755,0)*$W$6*V1755, ROUNDUP(G1755,0)*($W$6*5 + (V1755-5)*$W$7))</f>
        <v>4646</v>
      </c>
      <c r="X1755" s="200">
        <f t="shared" ref="X1755:X1772" ca="1" si="388">IF(V1755=0,T1755,((T1755-ROUNDUP(G1755,0)*1.5)+W1755))</f>
        <v>9644</v>
      </c>
      <c r="Y1755" s="1"/>
      <c r="Z1755" s="31">
        <v>0.1</v>
      </c>
      <c r="AA1755" s="223">
        <v>0.09</v>
      </c>
      <c r="AB1755" s="302" t="s">
        <v>7333</v>
      </c>
      <c r="AC1755" s="302"/>
      <c r="AD1755" s="302"/>
      <c r="AE1755" s="302"/>
      <c r="AF1755">
        <f t="shared" si="372"/>
        <v>0</v>
      </c>
    </row>
    <row r="1756" spans="1:32" hidden="1" x14ac:dyDescent="0.25">
      <c r="A1756" s="322" t="s">
        <v>4632</v>
      </c>
      <c r="B1756" s="93" t="str">
        <f t="shared" si="384"/>
        <v>YES</v>
      </c>
      <c r="C1756" s="93" t="s">
        <v>5503</v>
      </c>
      <c r="D1756" s="4">
        <v>41529</v>
      </c>
      <c r="E1756" s="2">
        <v>41609</v>
      </c>
      <c r="F1756" s="2">
        <f t="shared" si="373"/>
        <v>45261</v>
      </c>
      <c r="G1756" s="78">
        <v>80</v>
      </c>
      <c r="H1756" s="7" t="s">
        <v>4220</v>
      </c>
      <c r="I1756" s="7" t="s">
        <v>86</v>
      </c>
      <c r="J1756" s="189"/>
      <c r="K1756" s="266">
        <f t="shared" si="385"/>
        <v>2023</v>
      </c>
      <c r="L1756" s="417" t="s">
        <v>5885</v>
      </c>
      <c r="M1756" s="301" t="s">
        <v>7575</v>
      </c>
      <c r="N1756" s="32" t="s">
        <v>7786</v>
      </c>
      <c r="O1756" s="32" t="s">
        <v>4634</v>
      </c>
      <c r="P1756" s="278"/>
      <c r="Q1756" s="233" t="s">
        <v>4633</v>
      </c>
      <c r="R1756" s="75">
        <v>430</v>
      </c>
      <c r="S1756" s="75">
        <v>55840</v>
      </c>
      <c r="T1756" s="75">
        <v>56270</v>
      </c>
      <c r="U1756" s="200">
        <v>120</v>
      </c>
      <c r="V1756" s="287">
        <f t="shared" ca="1" si="386"/>
        <v>7</v>
      </c>
      <c r="W1756" s="75">
        <f t="shared" ca="1" si="387"/>
        <v>920</v>
      </c>
      <c r="X1756" s="200">
        <f t="shared" ca="1" si="388"/>
        <v>57070</v>
      </c>
      <c r="Y1756" s="1"/>
      <c r="Z1756" s="31">
        <v>0.1</v>
      </c>
      <c r="AA1756" s="223">
        <v>0.09</v>
      </c>
      <c r="AB1756" s="302" t="s">
        <v>7334</v>
      </c>
      <c r="AC1756" s="302"/>
      <c r="AD1756" s="302"/>
      <c r="AE1756" s="302"/>
      <c r="AF1756">
        <f t="shared" ref="AF1756:AF1819" si="389">COUNTIF(FilterList,A1756)</f>
        <v>0</v>
      </c>
    </row>
    <row r="1757" spans="1:32" hidden="1" x14ac:dyDescent="0.25">
      <c r="A1757" s="322" t="s">
        <v>4635</v>
      </c>
      <c r="B1757" s="93" t="str">
        <f t="shared" si="384"/>
        <v>YES</v>
      </c>
      <c r="C1757" s="93" t="s">
        <v>5503</v>
      </c>
      <c r="D1757" s="4">
        <v>41529</v>
      </c>
      <c r="E1757" s="11">
        <v>42675</v>
      </c>
      <c r="F1757" s="2">
        <f t="shared" ref="F1757:F1820" si="390">DATE(YEAR(E1757)+10,MONTH(E1757),DAY(E1757))</f>
        <v>46327</v>
      </c>
      <c r="G1757" s="6">
        <v>106.3</v>
      </c>
      <c r="H1757" s="7" t="s">
        <v>5227</v>
      </c>
      <c r="I1757" s="9" t="s">
        <v>1050</v>
      </c>
      <c r="J1757" s="109"/>
      <c r="K1757" s="266">
        <f t="shared" si="385"/>
        <v>2026</v>
      </c>
      <c r="L1757" s="391" t="s">
        <v>5910</v>
      </c>
      <c r="M1757" s="390" t="s">
        <v>6026</v>
      </c>
      <c r="N1757" s="32" t="s">
        <v>7784</v>
      </c>
      <c r="O1757" s="32" t="s">
        <v>5228</v>
      </c>
      <c r="P1757" s="278"/>
      <c r="Q1757" s="233" t="s">
        <v>5226</v>
      </c>
      <c r="R1757" s="75">
        <v>524.5</v>
      </c>
      <c r="S1757" s="75">
        <v>214</v>
      </c>
      <c r="T1757" s="75">
        <v>738.5</v>
      </c>
      <c r="U1757" s="200">
        <v>160.5</v>
      </c>
      <c r="V1757" s="287">
        <f t="shared" ca="1" si="386"/>
        <v>4</v>
      </c>
      <c r="W1757" s="75">
        <f t="shared" ca="1" si="387"/>
        <v>642</v>
      </c>
      <c r="X1757" s="200">
        <f t="shared" ca="1" si="388"/>
        <v>1220</v>
      </c>
      <c r="Y1757" s="1"/>
      <c r="Z1757" s="31">
        <v>0.1</v>
      </c>
      <c r="AA1757" s="223">
        <v>0.09</v>
      </c>
      <c r="AB1757" s="302" t="s">
        <v>7828</v>
      </c>
      <c r="AC1757" s="302"/>
      <c r="AD1757" s="302"/>
      <c r="AE1757" s="302"/>
      <c r="AF1757">
        <f t="shared" si="389"/>
        <v>0</v>
      </c>
    </row>
    <row r="1758" spans="1:32" ht="30" hidden="1" x14ac:dyDescent="0.25">
      <c r="A1758" s="322" t="s">
        <v>4636</v>
      </c>
      <c r="B1758" s="93" t="str">
        <f t="shared" si="384"/>
        <v>YES</v>
      </c>
      <c r="C1758" s="93" t="s">
        <v>5503</v>
      </c>
      <c r="D1758" s="4">
        <v>41529</v>
      </c>
      <c r="E1758" s="2">
        <v>42644</v>
      </c>
      <c r="F1758" s="2">
        <f t="shared" si="390"/>
        <v>46296</v>
      </c>
      <c r="G1758" s="6">
        <v>935</v>
      </c>
      <c r="H1758" s="7" t="s">
        <v>5227</v>
      </c>
      <c r="I1758" s="9" t="s">
        <v>1050</v>
      </c>
      <c r="J1758" s="433" t="s">
        <v>8100</v>
      </c>
      <c r="K1758" s="266">
        <f t="shared" si="385"/>
        <v>2026</v>
      </c>
      <c r="L1758" s="391" t="s">
        <v>5910</v>
      </c>
      <c r="M1758" s="390" t="s">
        <v>5577</v>
      </c>
      <c r="N1758" s="32" t="s">
        <v>7784</v>
      </c>
      <c r="O1758" s="32" t="s">
        <v>5233</v>
      </c>
      <c r="P1758" s="278" t="s">
        <v>5234</v>
      </c>
      <c r="Q1758" s="233" t="s">
        <v>5232</v>
      </c>
      <c r="R1758" s="75">
        <v>3422.5</v>
      </c>
      <c r="S1758" s="75">
        <v>7480</v>
      </c>
      <c r="T1758" s="75">
        <v>10902.5</v>
      </c>
      <c r="U1758" s="200">
        <v>1402.5</v>
      </c>
      <c r="V1758" s="287">
        <f t="shared" ca="1" si="386"/>
        <v>4</v>
      </c>
      <c r="W1758" s="75">
        <f t="shared" ca="1" si="387"/>
        <v>5610</v>
      </c>
      <c r="X1758" s="200">
        <f t="shared" ca="1" si="388"/>
        <v>15110</v>
      </c>
      <c r="Y1758" s="1"/>
      <c r="Z1758" s="31">
        <v>0.1</v>
      </c>
      <c r="AA1758" s="223">
        <v>0.09</v>
      </c>
      <c r="AB1758" s="302" t="s">
        <v>7828</v>
      </c>
      <c r="AC1758" s="302"/>
      <c r="AD1758" s="302"/>
      <c r="AE1758" s="302"/>
      <c r="AF1758">
        <f t="shared" si="389"/>
        <v>0</v>
      </c>
    </row>
    <row r="1759" spans="1:32" ht="30" hidden="1" x14ac:dyDescent="0.25">
      <c r="A1759" s="322" t="s">
        <v>4637</v>
      </c>
      <c r="B1759" s="93" t="str">
        <f t="shared" si="384"/>
        <v>YES</v>
      </c>
      <c r="C1759" s="93" t="s">
        <v>5503</v>
      </c>
      <c r="D1759" s="4">
        <v>41529</v>
      </c>
      <c r="E1759" s="2">
        <v>42644</v>
      </c>
      <c r="F1759" s="2">
        <f t="shared" si="390"/>
        <v>46296</v>
      </c>
      <c r="G1759" s="6">
        <v>1578.34</v>
      </c>
      <c r="H1759" s="7" t="s">
        <v>5227</v>
      </c>
      <c r="I1759" s="9" t="s">
        <v>1050</v>
      </c>
      <c r="J1759" s="433" t="s">
        <v>8100</v>
      </c>
      <c r="K1759" s="266">
        <f t="shared" si="385"/>
        <v>2026</v>
      </c>
      <c r="L1759" s="391" t="s">
        <v>5885</v>
      </c>
      <c r="M1759" s="390" t="s">
        <v>6026</v>
      </c>
      <c r="N1759" s="32" t="s">
        <v>7784</v>
      </c>
      <c r="O1759" s="32" t="s">
        <v>5230</v>
      </c>
      <c r="P1759" s="278" t="s">
        <v>5231</v>
      </c>
      <c r="Q1759" s="233" t="s">
        <v>5229</v>
      </c>
      <c r="R1759" s="75">
        <v>5676.5</v>
      </c>
      <c r="S1759" s="75">
        <v>50528</v>
      </c>
      <c r="T1759" s="75">
        <v>56204.5</v>
      </c>
      <c r="U1759" s="200">
        <v>2368.5</v>
      </c>
      <c r="V1759" s="287">
        <f t="shared" ca="1" si="386"/>
        <v>4</v>
      </c>
      <c r="W1759" s="75">
        <f t="shared" ca="1" si="387"/>
        <v>9474</v>
      </c>
      <c r="X1759" s="200">
        <f t="shared" ca="1" si="388"/>
        <v>63310</v>
      </c>
      <c r="Y1759" s="1"/>
      <c r="Z1759" s="31">
        <v>0.1</v>
      </c>
      <c r="AA1759" s="223">
        <v>0.09</v>
      </c>
      <c r="AB1759" s="302" t="s">
        <v>7828</v>
      </c>
      <c r="AC1759" s="302"/>
      <c r="AD1759" s="302"/>
      <c r="AE1759" s="302"/>
      <c r="AF1759">
        <f t="shared" si="389"/>
        <v>0</v>
      </c>
    </row>
    <row r="1760" spans="1:32" ht="30" hidden="1" x14ac:dyDescent="0.25">
      <c r="A1760" s="322" t="s">
        <v>4638</v>
      </c>
      <c r="B1760" s="93" t="str">
        <f t="shared" si="384"/>
        <v>YES</v>
      </c>
      <c r="C1760" s="93" t="s">
        <v>5503</v>
      </c>
      <c r="D1760" s="4">
        <v>41529</v>
      </c>
      <c r="E1760" s="2">
        <v>42644</v>
      </c>
      <c r="F1760" s="2">
        <f t="shared" si="390"/>
        <v>46296</v>
      </c>
      <c r="G1760" s="6">
        <v>1850</v>
      </c>
      <c r="H1760" s="7" t="s">
        <v>5227</v>
      </c>
      <c r="I1760" s="9" t="s">
        <v>1050</v>
      </c>
      <c r="J1760" s="433" t="s">
        <v>8100</v>
      </c>
      <c r="K1760" s="266">
        <f t="shared" si="385"/>
        <v>2026</v>
      </c>
      <c r="L1760" s="391" t="s">
        <v>5885</v>
      </c>
      <c r="M1760" s="390" t="s">
        <v>6026</v>
      </c>
      <c r="N1760" s="32" t="s">
        <v>7784</v>
      </c>
      <c r="O1760" s="32" t="s">
        <v>5212</v>
      </c>
      <c r="P1760" s="278"/>
      <c r="Q1760" s="233" t="s">
        <v>5235</v>
      </c>
      <c r="R1760" s="75">
        <v>6625</v>
      </c>
      <c r="S1760" s="75">
        <v>59200</v>
      </c>
      <c r="T1760" s="75">
        <v>65825</v>
      </c>
      <c r="U1760" s="200">
        <v>2750</v>
      </c>
      <c r="V1760" s="287">
        <f t="shared" ca="1" si="386"/>
        <v>4</v>
      </c>
      <c r="W1760" s="75">
        <f t="shared" ca="1" si="387"/>
        <v>11100</v>
      </c>
      <c r="X1760" s="200">
        <f t="shared" ca="1" si="388"/>
        <v>74150</v>
      </c>
      <c r="Y1760" s="1"/>
      <c r="Z1760" s="31">
        <v>0.1</v>
      </c>
      <c r="AA1760" s="223">
        <v>0.09</v>
      </c>
      <c r="AB1760" s="302" t="s">
        <v>7828</v>
      </c>
      <c r="AC1760" s="302"/>
      <c r="AD1760" s="302"/>
      <c r="AE1760" s="302"/>
      <c r="AF1760">
        <f t="shared" si="389"/>
        <v>0</v>
      </c>
    </row>
    <row r="1761" spans="1:32" ht="64.5" hidden="1" x14ac:dyDescent="0.25">
      <c r="A1761" s="322" t="s">
        <v>4639</v>
      </c>
      <c r="B1761" s="93" t="str">
        <f t="shared" si="384"/>
        <v>YES</v>
      </c>
      <c r="C1761" s="93" t="s">
        <v>5503</v>
      </c>
      <c r="D1761" s="4">
        <v>41529</v>
      </c>
      <c r="E1761" s="2">
        <v>42644</v>
      </c>
      <c r="F1761" s="2">
        <f t="shared" si="390"/>
        <v>46296</v>
      </c>
      <c r="G1761" s="6">
        <v>79.849999999999994</v>
      </c>
      <c r="H1761" s="7" t="s">
        <v>5227</v>
      </c>
      <c r="I1761" s="9" t="s">
        <v>1050</v>
      </c>
      <c r="J1761" s="433" t="s">
        <v>8100</v>
      </c>
      <c r="K1761" s="266">
        <f t="shared" si="385"/>
        <v>2026</v>
      </c>
      <c r="L1761" s="391" t="s">
        <v>5885</v>
      </c>
      <c r="M1761" s="390" t="s">
        <v>6026</v>
      </c>
      <c r="N1761" s="32" t="s">
        <v>7784</v>
      </c>
      <c r="O1761" s="32" t="s">
        <v>5237</v>
      </c>
      <c r="P1761" s="278" t="s">
        <v>5238</v>
      </c>
      <c r="Q1761" s="233" t="s">
        <v>5236</v>
      </c>
      <c r="R1761" s="75">
        <v>430</v>
      </c>
      <c r="S1761" s="75">
        <v>2560</v>
      </c>
      <c r="T1761" s="75">
        <v>2990</v>
      </c>
      <c r="U1761" s="200">
        <v>120</v>
      </c>
      <c r="V1761" s="287">
        <f t="shared" ca="1" si="386"/>
        <v>4</v>
      </c>
      <c r="W1761" s="75">
        <f t="shared" ca="1" si="387"/>
        <v>480</v>
      </c>
      <c r="X1761" s="200">
        <f t="shared" ca="1" si="388"/>
        <v>3350</v>
      </c>
      <c r="Y1761" s="1"/>
      <c r="Z1761" s="31">
        <v>0.1</v>
      </c>
      <c r="AA1761" s="223">
        <v>0.09</v>
      </c>
      <c r="AB1761" s="302" t="s">
        <v>7828</v>
      </c>
      <c r="AC1761" s="302"/>
      <c r="AD1761" s="302"/>
      <c r="AE1761" s="302"/>
      <c r="AF1761">
        <f t="shared" si="389"/>
        <v>0</v>
      </c>
    </row>
    <row r="1762" spans="1:32" ht="30" hidden="1" x14ac:dyDescent="0.25">
      <c r="A1762" s="322" t="s">
        <v>4640</v>
      </c>
      <c r="B1762" s="93" t="str">
        <f t="shared" si="384"/>
        <v>YES</v>
      </c>
      <c r="C1762" s="93" t="s">
        <v>5503</v>
      </c>
      <c r="D1762" s="4">
        <v>41529</v>
      </c>
      <c r="E1762" s="2">
        <v>42644</v>
      </c>
      <c r="F1762" s="2">
        <f t="shared" si="390"/>
        <v>46296</v>
      </c>
      <c r="G1762" s="6">
        <v>1715.53</v>
      </c>
      <c r="H1762" s="7" t="s">
        <v>5227</v>
      </c>
      <c r="I1762" s="9" t="s">
        <v>1050</v>
      </c>
      <c r="J1762" s="433" t="s">
        <v>8100</v>
      </c>
      <c r="K1762" s="266">
        <f t="shared" si="385"/>
        <v>2026</v>
      </c>
      <c r="L1762" s="391" t="s">
        <v>5885</v>
      </c>
      <c r="M1762" s="390" t="s">
        <v>6026</v>
      </c>
      <c r="N1762" s="32" t="s">
        <v>7784</v>
      </c>
      <c r="O1762" s="32" t="s">
        <v>5212</v>
      </c>
      <c r="P1762" s="278"/>
      <c r="Q1762" s="233" t="s">
        <v>5239</v>
      </c>
      <c r="R1762" s="75">
        <v>6156</v>
      </c>
      <c r="S1762" s="75">
        <v>61776</v>
      </c>
      <c r="T1762" s="75">
        <v>67932</v>
      </c>
      <c r="U1762" s="200">
        <v>2574</v>
      </c>
      <c r="V1762" s="287">
        <f t="shared" ca="1" si="386"/>
        <v>4</v>
      </c>
      <c r="W1762" s="75">
        <f t="shared" ca="1" si="387"/>
        <v>10296</v>
      </c>
      <c r="X1762" s="200">
        <f t="shared" ca="1" si="388"/>
        <v>75654</v>
      </c>
      <c r="Y1762" s="1"/>
      <c r="Z1762" s="31">
        <v>0.1</v>
      </c>
      <c r="AA1762" s="223">
        <v>0.09</v>
      </c>
      <c r="AB1762" s="302" t="s">
        <v>7828</v>
      </c>
      <c r="AC1762" s="302"/>
      <c r="AD1762" s="302"/>
      <c r="AE1762" s="302"/>
      <c r="AF1762">
        <f t="shared" si="389"/>
        <v>0</v>
      </c>
    </row>
    <row r="1763" spans="1:32" ht="30" hidden="1" x14ac:dyDescent="0.25">
      <c r="A1763" s="322" t="s">
        <v>4641</v>
      </c>
      <c r="B1763" s="93" t="str">
        <f t="shared" si="384"/>
        <v>YES</v>
      </c>
      <c r="C1763" s="93" t="s">
        <v>5503</v>
      </c>
      <c r="D1763" s="4">
        <v>41529</v>
      </c>
      <c r="E1763" s="2">
        <v>42644</v>
      </c>
      <c r="F1763" s="2">
        <f t="shared" si="390"/>
        <v>46296</v>
      </c>
      <c r="G1763" s="6">
        <v>1680</v>
      </c>
      <c r="H1763" s="7" t="s">
        <v>5227</v>
      </c>
      <c r="I1763" s="9" t="s">
        <v>1050</v>
      </c>
      <c r="J1763" s="433" t="s">
        <v>8100</v>
      </c>
      <c r="K1763" s="266">
        <f t="shared" si="385"/>
        <v>2026</v>
      </c>
      <c r="L1763" s="391" t="s">
        <v>5885</v>
      </c>
      <c r="M1763" s="390" t="s">
        <v>6026</v>
      </c>
      <c r="N1763" s="32" t="s">
        <v>7784</v>
      </c>
      <c r="O1763" s="32" t="s">
        <v>5241</v>
      </c>
      <c r="P1763" s="278"/>
      <c r="Q1763" s="233" t="s">
        <v>5240</v>
      </c>
      <c r="R1763" s="75">
        <v>6030</v>
      </c>
      <c r="S1763" s="75">
        <v>20160</v>
      </c>
      <c r="T1763" s="75">
        <v>26190</v>
      </c>
      <c r="U1763" s="200">
        <v>2520</v>
      </c>
      <c r="V1763" s="287">
        <f t="shared" ca="1" si="386"/>
        <v>4</v>
      </c>
      <c r="W1763" s="75">
        <f t="shared" ca="1" si="387"/>
        <v>10080</v>
      </c>
      <c r="X1763" s="200">
        <f t="shared" ca="1" si="388"/>
        <v>33750</v>
      </c>
      <c r="Y1763" s="1"/>
      <c r="Z1763" s="31">
        <v>0.1</v>
      </c>
      <c r="AA1763" s="223">
        <v>0.09</v>
      </c>
      <c r="AB1763" s="302" t="s">
        <v>7828</v>
      </c>
      <c r="AC1763" s="302"/>
      <c r="AD1763" s="302"/>
      <c r="AE1763" s="302"/>
      <c r="AF1763">
        <f t="shared" si="389"/>
        <v>0</v>
      </c>
    </row>
    <row r="1764" spans="1:32" ht="30" hidden="1" x14ac:dyDescent="0.25">
      <c r="A1764" s="322" t="s">
        <v>4642</v>
      </c>
      <c r="B1764" s="93" t="str">
        <f t="shared" si="384"/>
        <v>YES</v>
      </c>
      <c r="C1764" s="93" t="s">
        <v>5503</v>
      </c>
      <c r="D1764" s="4">
        <v>41529</v>
      </c>
      <c r="E1764" s="2">
        <v>42644</v>
      </c>
      <c r="F1764" s="2">
        <f t="shared" si="390"/>
        <v>46296</v>
      </c>
      <c r="G1764" s="6">
        <v>1270</v>
      </c>
      <c r="H1764" s="7" t="s">
        <v>5227</v>
      </c>
      <c r="I1764" s="9" t="s">
        <v>1050</v>
      </c>
      <c r="J1764" s="433" t="s">
        <v>8100</v>
      </c>
      <c r="K1764" s="266">
        <f t="shared" si="385"/>
        <v>2026</v>
      </c>
      <c r="L1764" s="391" t="s">
        <v>5885</v>
      </c>
      <c r="M1764" s="390" t="s">
        <v>6026</v>
      </c>
      <c r="N1764" s="32" t="s">
        <v>7784</v>
      </c>
      <c r="O1764" s="32" t="s">
        <v>5212</v>
      </c>
      <c r="P1764" s="278"/>
      <c r="Q1764" s="233" t="s">
        <v>5242</v>
      </c>
      <c r="R1764" s="75">
        <v>4595</v>
      </c>
      <c r="S1764" s="75">
        <v>15240</v>
      </c>
      <c r="T1764" s="75">
        <v>19835</v>
      </c>
      <c r="U1764" s="200">
        <v>1905</v>
      </c>
      <c r="V1764" s="287">
        <f t="shared" ca="1" si="386"/>
        <v>4</v>
      </c>
      <c r="W1764" s="75">
        <f t="shared" ca="1" si="387"/>
        <v>7620</v>
      </c>
      <c r="X1764" s="200">
        <f t="shared" ca="1" si="388"/>
        <v>25550</v>
      </c>
      <c r="Y1764" s="1"/>
      <c r="Z1764" s="31">
        <v>0.1</v>
      </c>
      <c r="AA1764" s="223">
        <v>0.09</v>
      </c>
      <c r="AB1764" s="302" t="s">
        <v>7828</v>
      </c>
      <c r="AC1764" s="302"/>
      <c r="AD1764" s="302"/>
      <c r="AE1764" s="302"/>
      <c r="AF1764">
        <f t="shared" si="389"/>
        <v>0</v>
      </c>
    </row>
    <row r="1765" spans="1:32" ht="39" hidden="1" x14ac:dyDescent="0.25">
      <c r="A1765" s="322" t="s">
        <v>4643</v>
      </c>
      <c r="B1765" s="114" t="str">
        <f t="shared" si="384"/>
        <v>YES</v>
      </c>
      <c r="C1765" s="93" t="s">
        <v>5503</v>
      </c>
      <c r="D1765" s="4">
        <v>41529</v>
      </c>
      <c r="E1765" s="97">
        <v>42705</v>
      </c>
      <c r="F1765" s="2">
        <f t="shared" si="390"/>
        <v>46357</v>
      </c>
      <c r="G1765" s="6">
        <v>1675</v>
      </c>
      <c r="H1765" s="7" t="s">
        <v>5227</v>
      </c>
      <c r="I1765" s="9" t="s">
        <v>1050</v>
      </c>
      <c r="J1765" s="433" t="s">
        <v>8100</v>
      </c>
      <c r="K1765" s="266">
        <f t="shared" si="385"/>
        <v>2026</v>
      </c>
      <c r="L1765" s="391" t="s">
        <v>5885</v>
      </c>
      <c r="M1765" s="390" t="s">
        <v>6026</v>
      </c>
      <c r="N1765" s="32" t="s">
        <v>7784</v>
      </c>
      <c r="O1765" s="32" t="s">
        <v>5260</v>
      </c>
      <c r="P1765" s="278" t="s">
        <v>5261</v>
      </c>
      <c r="Q1765" s="233" t="s">
        <v>5259</v>
      </c>
      <c r="R1765" s="75">
        <v>6012.5</v>
      </c>
      <c r="S1765" s="75">
        <v>20100</v>
      </c>
      <c r="T1765" s="75">
        <v>26112.5</v>
      </c>
      <c r="U1765" s="200">
        <v>2512.5</v>
      </c>
      <c r="V1765" s="287">
        <f t="shared" ca="1" si="386"/>
        <v>4</v>
      </c>
      <c r="W1765" s="75">
        <f t="shared" ca="1" si="387"/>
        <v>10050</v>
      </c>
      <c r="X1765" s="200">
        <f t="shared" ca="1" si="388"/>
        <v>33650</v>
      </c>
      <c r="Y1765" s="1"/>
      <c r="Z1765" s="31">
        <v>0.1</v>
      </c>
      <c r="AA1765" s="223">
        <v>0.09</v>
      </c>
      <c r="AB1765" s="302" t="s">
        <v>7828</v>
      </c>
      <c r="AC1765" s="302"/>
      <c r="AD1765" s="302"/>
      <c r="AE1765" s="302"/>
      <c r="AF1765">
        <f t="shared" si="389"/>
        <v>0</v>
      </c>
    </row>
    <row r="1766" spans="1:32" ht="30" hidden="1" x14ac:dyDescent="0.25">
      <c r="A1766" s="322" t="s">
        <v>4644</v>
      </c>
      <c r="B1766" s="93" t="str">
        <f t="shared" si="384"/>
        <v>YES</v>
      </c>
      <c r="C1766" s="93" t="s">
        <v>5503</v>
      </c>
      <c r="D1766" s="4">
        <v>41529</v>
      </c>
      <c r="E1766" s="2">
        <v>42644</v>
      </c>
      <c r="F1766" s="2">
        <f t="shared" si="390"/>
        <v>46296</v>
      </c>
      <c r="G1766" s="6">
        <v>1215.18</v>
      </c>
      <c r="H1766" s="7" t="s">
        <v>5227</v>
      </c>
      <c r="I1766" s="9" t="s">
        <v>1050</v>
      </c>
      <c r="J1766" s="433" t="s">
        <v>8100</v>
      </c>
      <c r="K1766" s="266">
        <f t="shared" si="385"/>
        <v>2026</v>
      </c>
      <c r="L1766" s="391" t="s">
        <v>5885</v>
      </c>
      <c r="M1766" s="390" t="s">
        <v>5577</v>
      </c>
      <c r="N1766" s="32" t="s">
        <v>7784</v>
      </c>
      <c r="O1766" s="32" t="s">
        <v>5244</v>
      </c>
      <c r="P1766" s="278" t="s">
        <v>5245</v>
      </c>
      <c r="Q1766" s="233" t="s">
        <v>5243</v>
      </c>
      <c r="R1766" s="75">
        <v>4406</v>
      </c>
      <c r="S1766" s="75">
        <v>38912</v>
      </c>
      <c r="T1766" s="75">
        <v>43318</v>
      </c>
      <c r="U1766" s="200">
        <v>1824</v>
      </c>
      <c r="V1766" s="287">
        <f t="shared" ca="1" si="386"/>
        <v>4</v>
      </c>
      <c r="W1766" s="75">
        <f t="shared" ca="1" si="387"/>
        <v>7296</v>
      </c>
      <c r="X1766" s="200">
        <f t="shared" ca="1" si="388"/>
        <v>48790</v>
      </c>
      <c r="Y1766" s="1"/>
      <c r="Z1766" s="31">
        <v>0.1</v>
      </c>
      <c r="AA1766" s="223">
        <v>0.09</v>
      </c>
      <c r="AB1766" s="302" t="s">
        <v>7828</v>
      </c>
      <c r="AC1766" s="302"/>
      <c r="AD1766" s="302"/>
      <c r="AE1766" s="302"/>
      <c r="AF1766">
        <f t="shared" si="389"/>
        <v>0</v>
      </c>
    </row>
    <row r="1767" spans="1:32" ht="30" hidden="1" x14ac:dyDescent="0.25">
      <c r="A1767" s="322" t="s">
        <v>4645</v>
      </c>
      <c r="B1767" s="93" t="str">
        <f t="shared" si="384"/>
        <v>YES</v>
      </c>
      <c r="C1767" s="93" t="s">
        <v>5503</v>
      </c>
      <c r="D1767" s="4">
        <v>41529</v>
      </c>
      <c r="E1767" s="2">
        <v>42644</v>
      </c>
      <c r="F1767" s="2">
        <f t="shared" si="390"/>
        <v>46296</v>
      </c>
      <c r="G1767" s="6">
        <v>889.33</v>
      </c>
      <c r="H1767" s="7" t="s">
        <v>5227</v>
      </c>
      <c r="I1767" s="9" t="s">
        <v>1050</v>
      </c>
      <c r="J1767" s="433" t="s">
        <v>8100</v>
      </c>
      <c r="K1767" s="266">
        <f t="shared" si="385"/>
        <v>2026</v>
      </c>
      <c r="L1767" s="391" t="s">
        <v>5793</v>
      </c>
      <c r="M1767" s="390" t="s">
        <v>7542</v>
      </c>
      <c r="N1767" s="32" t="s">
        <v>7784</v>
      </c>
      <c r="O1767" s="32" t="s">
        <v>5247</v>
      </c>
      <c r="P1767" s="278"/>
      <c r="Q1767" s="233" t="s">
        <v>5246</v>
      </c>
      <c r="R1767" s="75">
        <v>3265</v>
      </c>
      <c r="S1767" s="75">
        <v>28480</v>
      </c>
      <c r="T1767" s="75">
        <v>31745</v>
      </c>
      <c r="U1767" s="200">
        <v>1335</v>
      </c>
      <c r="V1767" s="287">
        <f t="shared" ca="1" si="386"/>
        <v>4</v>
      </c>
      <c r="W1767" s="75">
        <f t="shared" ca="1" si="387"/>
        <v>5340</v>
      </c>
      <c r="X1767" s="200">
        <f t="shared" ca="1" si="388"/>
        <v>35750</v>
      </c>
      <c r="Y1767" s="1"/>
      <c r="Z1767" s="31">
        <v>0.1</v>
      </c>
      <c r="AA1767" s="223">
        <v>0.09</v>
      </c>
      <c r="AB1767" s="302" t="s">
        <v>7828</v>
      </c>
      <c r="AC1767" s="302"/>
      <c r="AD1767" s="302"/>
      <c r="AE1767" s="302"/>
      <c r="AF1767">
        <f t="shared" si="389"/>
        <v>0</v>
      </c>
    </row>
    <row r="1768" spans="1:32" ht="30" hidden="1" x14ac:dyDescent="0.25">
      <c r="A1768" s="322" t="s">
        <v>4646</v>
      </c>
      <c r="B1768" s="93" t="str">
        <f t="shared" si="384"/>
        <v>YES</v>
      </c>
      <c r="C1768" s="93" t="s">
        <v>5503</v>
      </c>
      <c r="D1768" s="4">
        <v>41529</v>
      </c>
      <c r="E1768" s="2">
        <v>42644</v>
      </c>
      <c r="F1768" s="2">
        <f t="shared" si="390"/>
        <v>46296</v>
      </c>
      <c r="G1768" s="6">
        <v>513.92999999999995</v>
      </c>
      <c r="H1768" s="7" t="s">
        <v>5227</v>
      </c>
      <c r="I1768" s="9" t="s">
        <v>1050</v>
      </c>
      <c r="J1768" s="433" t="s">
        <v>8100</v>
      </c>
      <c r="K1768" s="266">
        <f t="shared" si="385"/>
        <v>2026</v>
      </c>
      <c r="L1768" s="391" t="s">
        <v>5793</v>
      </c>
      <c r="M1768" s="390" t="s">
        <v>6026</v>
      </c>
      <c r="N1768" s="32" t="s">
        <v>7784</v>
      </c>
      <c r="O1768" s="32" t="s">
        <v>5212</v>
      </c>
      <c r="P1768" s="278"/>
      <c r="Q1768" s="233" t="s">
        <v>5248</v>
      </c>
      <c r="R1768" s="75">
        <v>1949</v>
      </c>
      <c r="S1768" s="75">
        <v>18504</v>
      </c>
      <c r="T1768" s="75">
        <v>20453</v>
      </c>
      <c r="U1768" s="200">
        <v>771</v>
      </c>
      <c r="V1768" s="287">
        <f t="shared" ca="1" si="386"/>
        <v>4</v>
      </c>
      <c r="W1768" s="75">
        <f t="shared" ca="1" si="387"/>
        <v>3084</v>
      </c>
      <c r="X1768" s="200">
        <f t="shared" ca="1" si="388"/>
        <v>22766</v>
      </c>
      <c r="Y1768" s="1"/>
      <c r="Z1768" s="31">
        <v>0.1</v>
      </c>
      <c r="AA1768" s="223">
        <v>0.09</v>
      </c>
      <c r="AB1768" s="302" t="s">
        <v>7828</v>
      </c>
      <c r="AC1768" s="302"/>
      <c r="AD1768" s="302"/>
      <c r="AE1768" s="302"/>
      <c r="AF1768">
        <f t="shared" si="389"/>
        <v>0</v>
      </c>
    </row>
    <row r="1769" spans="1:32" ht="51.75" hidden="1" x14ac:dyDescent="0.25">
      <c r="A1769" s="322" t="s">
        <v>4647</v>
      </c>
      <c r="B1769" s="93" t="str">
        <f t="shared" si="384"/>
        <v>YES</v>
      </c>
      <c r="C1769" s="93" t="s">
        <v>5503</v>
      </c>
      <c r="D1769" s="4">
        <v>41529</v>
      </c>
      <c r="E1769" s="2">
        <v>42644</v>
      </c>
      <c r="F1769" s="2">
        <f t="shared" si="390"/>
        <v>46296</v>
      </c>
      <c r="G1769" s="6">
        <v>2052.5</v>
      </c>
      <c r="H1769" s="7" t="s">
        <v>5227</v>
      </c>
      <c r="I1769" s="9" t="s">
        <v>1050</v>
      </c>
      <c r="J1769" s="433" t="s">
        <v>8100</v>
      </c>
      <c r="K1769" s="266">
        <f t="shared" si="385"/>
        <v>2026</v>
      </c>
      <c r="L1769" s="391" t="s">
        <v>5793</v>
      </c>
      <c r="M1769" s="390" t="s">
        <v>6026</v>
      </c>
      <c r="N1769" s="32" t="s">
        <v>7784</v>
      </c>
      <c r="O1769" s="32" t="s">
        <v>5250</v>
      </c>
      <c r="P1769" s="278" t="s">
        <v>5251</v>
      </c>
      <c r="Q1769" s="233" t="s">
        <v>5249</v>
      </c>
      <c r="R1769" s="75">
        <v>7335.5</v>
      </c>
      <c r="S1769" s="75">
        <v>65696</v>
      </c>
      <c r="T1769" s="75">
        <v>73031.5</v>
      </c>
      <c r="U1769" s="200">
        <v>3079.5</v>
      </c>
      <c r="V1769" s="287">
        <f t="shared" ca="1" si="386"/>
        <v>4</v>
      </c>
      <c r="W1769" s="75">
        <f t="shared" ca="1" si="387"/>
        <v>12318</v>
      </c>
      <c r="X1769" s="200">
        <f t="shared" ca="1" si="388"/>
        <v>82270</v>
      </c>
      <c r="Y1769" s="1"/>
      <c r="Z1769" s="31">
        <v>0.1</v>
      </c>
      <c r="AA1769" s="223">
        <v>0.09</v>
      </c>
      <c r="AB1769" s="302" t="s">
        <v>7828</v>
      </c>
      <c r="AC1769" s="302"/>
      <c r="AD1769" s="302"/>
      <c r="AE1769" s="302"/>
      <c r="AF1769">
        <f t="shared" si="389"/>
        <v>0</v>
      </c>
    </row>
    <row r="1770" spans="1:32" ht="30" hidden="1" x14ac:dyDescent="0.25">
      <c r="A1770" s="322" t="s">
        <v>4648</v>
      </c>
      <c r="B1770" s="93" t="str">
        <f t="shared" si="384"/>
        <v>YES</v>
      </c>
      <c r="C1770" s="93" t="s">
        <v>5503</v>
      </c>
      <c r="D1770" s="4">
        <v>41529</v>
      </c>
      <c r="E1770" s="2">
        <v>42644</v>
      </c>
      <c r="F1770" s="2">
        <f t="shared" si="390"/>
        <v>46296</v>
      </c>
      <c r="G1770" s="6">
        <v>990</v>
      </c>
      <c r="H1770" s="7" t="s">
        <v>5227</v>
      </c>
      <c r="I1770" s="9" t="s">
        <v>1050</v>
      </c>
      <c r="J1770" s="433" t="s">
        <v>8100</v>
      </c>
      <c r="K1770" s="266">
        <f t="shared" si="385"/>
        <v>2026</v>
      </c>
      <c r="L1770" s="391" t="s">
        <v>5793</v>
      </c>
      <c r="M1770" s="390" t="s">
        <v>5577</v>
      </c>
      <c r="N1770" s="32" t="s">
        <v>7784</v>
      </c>
      <c r="O1770" s="32" t="s">
        <v>5253</v>
      </c>
      <c r="P1770" s="278" t="s">
        <v>5254</v>
      </c>
      <c r="Q1770" s="233" t="s">
        <v>5252</v>
      </c>
      <c r="R1770" s="75">
        <v>3615</v>
      </c>
      <c r="S1770" s="75">
        <v>3960</v>
      </c>
      <c r="T1770" s="75">
        <v>7575</v>
      </c>
      <c r="U1770" s="200">
        <v>1485</v>
      </c>
      <c r="V1770" s="287">
        <f t="shared" ca="1" si="386"/>
        <v>4</v>
      </c>
      <c r="W1770" s="75">
        <f t="shared" ca="1" si="387"/>
        <v>5940</v>
      </c>
      <c r="X1770" s="200">
        <f t="shared" ca="1" si="388"/>
        <v>12030</v>
      </c>
      <c r="Y1770" s="1"/>
      <c r="Z1770" s="31">
        <v>0.1</v>
      </c>
      <c r="AA1770" s="223">
        <v>0.09</v>
      </c>
      <c r="AB1770" s="302" t="s">
        <v>7828</v>
      </c>
      <c r="AC1770" s="302"/>
      <c r="AD1770" s="302"/>
      <c r="AE1770" s="302"/>
      <c r="AF1770">
        <f t="shared" si="389"/>
        <v>0</v>
      </c>
    </row>
    <row r="1771" spans="1:32" ht="30" hidden="1" x14ac:dyDescent="0.25">
      <c r="A1771" s="322" t="s">
        <v>4649</v>
      </c>
      <c r="B1771" s="93" t="str">
        <f t="shared" si="384"/>
        <v>YES</v>
      </c>
      <c r="C1771" s="93" t="s">
        <v>5503</v>
      </c>
      <c r="D1771" s="4">
        <v>41529</v>
      </c>
      <c r="E1771" s="2">
        <v>42644</v>
      </c>
      <c r="F1771" s="2">
        <f t="shared" si="390"/>
        <v>46296</v>
      </c>
      <c r="G1771" s="6">
        <v>2007.17</v>
      </c>
      <c r="H1771" s="7" t="s">
        <v>5227</v>
      </c>
      <c r="I1771" s="9" t="s">
        <v>1050</v>
      </c>
      <c r="J1771" s="433" t="s">
        <v>8100</v>
      </c>
      <c r="K1771" s="266">
        <f t="shared" si="385"/>
        <v>2026</v>
      </c>
      <c r="L1771" s="391" t="s">
        <v>5793</v>
      </c>
      <c r="M1771" s="390" t="s">
        <v>5577</v>
      </c>
      <c r="N1771" s="32" t="s">
        <v>7784</v>
      </c>
      <c r="O1771" s="32" t="s">
        <v>5212</v>
      </c>
      <c r="P1771" s="278"/>
      <c r="Q1771" s="233" t="s">
        <v>5255</v>
      </c>
      <c r="R1771" s="75">
        <v>7178</v>
      </c>
      <c r="S1771" s="75">
        <v>4016</v>
      </c>
      <c r="T1771" s="75">
        <v>11194</v>
      </c>
      <c r="U1771" s="200">
        <v>3012</v>
      </c>
      <c r="V1771" s="287">
        <f t="shared" ca="1" si="386"/>
        <v>4</v>
      </c>
      <c r="W1771" s="75">
        <f t="shared" ca="1" si="387"/>
        <v>12048</v>
      </c>
      <c r="X1771" s="200">
        <f t="shared" ca="1" si="388"/>
        <v>20230</v>
      </c>
      <c r="Y1771" s="1"/>
      <c r="Z1771" s="31">
        <v>0.1</v>
      </c>
      <c r="AA1771" s="223">
        <v>0.09</v>
      </c>
      <c r="AB1771" s="302" t="s">
        <v>7828</v>
      </c>
      <c r="AC1771" s="302"/>
      <c r="AD1771" s="302"/>
      <c r="AE1771" s="302"/>
      <c r="AF1771">
        <f t="shared" si="389"/>
        <v>0</v>
      </c>
    </row>
    <row r="1772" spans="1:32" ht="51.75" hidden="1" x14ac:dyDescent="0.25">
      <c r="A1772" s="322" t="s">
        <v>4650</v>
      </c>
      <c r="B1772" s="93" t="str">
        <f t="shared" si="384"/>
        <v>YES</v>
      </c>
      <c r="C1772" s="93" t="s">
        <v>5503</v>
      </c>
      <c r="D1772" s="4">
        <v>41529</v>
      </c>
      <c r="E1772" s="2">
        <v>42644</v>
      </c>
      <c r="F1772" s="2">
        <f t="shared" si="390"/>
        <v>46296</v>
      </c>
      <c r="G1772" s="6">
        <v>620</v>
      </c>
      <c r="H1772" s="7" t="s">
        <v>5227</v>
      </c>
      <c r="I1772" s="9" t="s">
        <v>1050</v>
      </c>
      <c r="J1772" s="433" t="s">
        <v>8100</v>
      </c>
      <c r="K1772" s="266">
        <f t="shared" si="385"/>
        <v>2026</v>
      </c>
      <c r="L1772" s="391" t="s">
        <v>5793</v>
      </c>
      <c r="M1772" s="390" t="s">
        <v>5577</v>
      </c>
      <c r="N1772" s="32" t="s">
        <v>7784</v>
      </c>
      <c r="O1772" s="32" t="s">
        <v>5257</v>
      </c>
      <c r="P1772" s="278" t="s">
        <v>5258</v>
      </c>
      <c r="Q1772" s="233" t="s">
        <v>5256</v>
      </c>
      <c r="R1772" s="75">
        <v>2320</v>
      </c>
      <c r="S1772" s="75">
        <v>22320</v>
      </c>
      <c r="T1772" s="75">
        <v>24640</v>
      </c>
      <c r="U1772" s="200">
        <v>930</v>
      </c>
      <c r="V1772" s="287">
        <f t="shared" ca="1" si="386"/>
        <v>4</v>
      </c>
      <c r="W1772" s="75">
        <f t="shared" ca="1" si="387"/>
        <v>3720</v>
      </c>
      <c r="X1772" s="200">
        <f t="shared" ca="1" si="388"/>
        <v>27430</v>
      </c>
      <c r="Y1772" s="1"/>
      <c r="Z1772" s="31">
        <v>0.1</v>
      </c>
      <c r="AA1772" s="223">
        <v>0.09</v>
      </c>
      <c r="AB1772" s="302" t="s">
        <v>7828</v>
      </c>
      <c r="AC1772" s="302"/>
      <c r="AD1772" s="302"/>
      <c r="AE1772" s="302"/>
      <c r="AF1772">
        <f t="shared" si="389"/>
        <v>0</v>
      </c>
    </row>
    <row r="1773" spans="1:32" ht="26.25" hidden="1" x14ac:dyDescent="0.25">
      <c r="A1773" s="322" t="s">
        <v>4651</v>
      </c>
      <c r="B1773" s="93" t="str">
        <f t="shared" si="384"/>
        <v>NO</v>
      </c>
      <c r="C1773" s="93" t="s">
        <v>5503</v>
      </c>
      <c r="D1773" s="4">
        <v>41529</v>
      </c>
      <c r="E1773" s="8"/>
      <c r="F1773" s="2"/>
      <c r="G1773" s="6">
        <v>40</v>
      </c>
      <c r="H1773" s="7"/>
      <c r="I1773" s="7"/>
      <c r="J1773" s="109" t="s">
        <v>4867</v>
      </c>
      <c r="K1773" s="266"/>
      <c r="L1773" s="385"/>
      <c r="M1773" s="385"/>
      <c r="N1773" s="32"/>
      <c r="O1773" s="32"/>
      <c r="P1773" s="278"/>
      <c r="Q1773" s="233"/>
      <c r="R1773" s="75">
        <v>290</v>
      </c>
      <c r="S1773" s="75">
        <v>259920</v>
      </c>
      <c r="T1773" s="75">
        <v>260210</v>
      </c>
      <c r="U1773" s="200"/>
      <c r="V1773" s="75"/>
      <c r="W1773" s="75"/>
      <c r="X1773" s="200"/>
      <c r="Y1773" s="1"/>
      <c r="Z1773" s="31">
        <v>0.1</v>
      </c>
      <c r="AA1773" s="223">
        <v>0.09</v>
      </c>
      <c r="AB1773" s="302"/>
      <c r="AC1773" s="302"/>
      <c r="AD1773" s="302"/>
      <c r="AE1773" s="302"/>
      <c r="AF1773">
        <f t="shared" si="389"/>
        <v>0</v>
      </c>
    </row>
    <row r="1774" spans="1:32" ht="26.25" hidden="1" x14ac:dyDescent="0.25">
      <c r="A1774" s="322" t="s">
        <v>4652</v>
      </c>
      <c r="B1774" s="93" t="str">
        <f t="shared" si="384"/>
        <v>NO</v>
      </c>
      <c r="C1774" s="93" t="s">
        <v>5503</v>
      </c>
      <c r="D1774" s="4">
        <v>41529</v>
      </c>
      <c r="E1774" s="8"/>
      <c r="F1774" s="2"/>
      <c r="G1774" s="6">
        <v>40</v>
      </c>
      <c r="H1774" s="7"/>
      <c r="I1774" s="7"/>
      <c r="J1774" s="109" t="s">
        <v>4867</v>
      </c>
      <c r="K1774" s="266"/>
      <c r="L1774" s="385"/>
      <c r="M1774" s="385"/>
      <c r="N1774" s="32"/>
      <c r="O1774" s="32"/>
      <c r="P1774" s="278"/>
      <c r="Q1774" s="233"/>
      <c r="R1774" s="75">
        <v>290</v>
      </c>
      <c r="S1774" s="75">
        <v>1199920</v>
      </c>
      <c r="T1774" s="75">
        <v>1200210</v>
      </c>
      <c r="U1774" s="200"/>
      <c r="V1774" s="75"/>
      <c r="W1774" s="75"/>
      <c r="X1774" s="200"/>
      <c r="Y1774" s="1"/>
      <c r="Z1774" s="31">
        <v>0.1</v>
      </c>
      <c r="AA1774" s="223">
        <v>0.09</v>
      </c>
      <c r="AB1774" s="302"/>
      <c r="AC1774" s="302"/>
      <c r="AD1774" s="302"/>
      <c r="AE1774" s="302"/>
      <c r="AF1774">
        <f t="shared" si="389"/>
        <v>0</v>
      </c>
    </row>
    <row r="1775" spans="1:32" ht="26.25" hidden="1" x14ac:dyDescent="0.25">
      <c r="A1775" s="322" t="s">
        <v>4653</v>
      </c>
      <c r="B1775" s="93" t="str">
        <f t="shared" si="384"/>
        <v>NO</v>
      </c>
      <c r="C1775" s="93" t="s">
        <v>5503</v>
      </c>
      <c r="D1775" s="4">
        <v>41529</v>
      </c>
      <c r="E1775" s="8"/>
      <c r="F1775" s="2"/>
      <c r="G1775" s="6">
        <v>40</v>
      </c>
      <c r="H1775" s="7"/>
      <c r="I1775" s="7"/>
      <c r="J1775" s="109" t="s">
        <v>4867</v>
      </c>
      <c r="K1775" s="266"/>
      <c r="L1775" s="385"/>
      <c r="M1775" s="385"/>
      <c r="N1775" s="32"/>
      <c r="O1775" s="32"/>
      <c r="P1775" s="278"/>
      <c r="Q1775" s="233"/>
      <c r="R1775" s="75">
        <v>290</v>
      </c>
      <c r="S1775" s="75">
        <v>639920</v>
      </c>
      <c r="T1775" s="75">
        <v>640210</v>
      </c>
      <c r="U1775" s="200"/>
      <c r="V1775" s="75"/>
      <c r="W1775" s="75"/>
      <c r="X1775" s="200"/>
      <c r="Y1775" s="1"/>
      <c r="Z1775" s="31">
        <v>0.1</v>
      </c>
      <c r="AA1775" s="223">
        <v>0.09</v>
      </c>
      <c r="AB1775" s="302"/>
      <c r="AC1775" s="302"/>
      <c r="AD1775" s="302"/>
      <c r="AE1775" s="302"/>
      <c r="AF1775">
        <f t="shared" si="389"/>
        <v>0</v>
      </c>
    </row>
    <row r="1776" spans="1:32" ht="15.75" hidden="1" thickBot="1" x14ac:dyDescent="0.3">
      <c r="A1776" s="322"/>
      <c r="D1776" s="4"/>
      <c r="E1776" s="8"/>
      <c r="F1776" s="2"/>
      <c r="G1776" s="6"/>
      <c r="H1776" s="7"/>
      <c r="I1776" s="7"/>
      <c r="J1776" s="186"/>
      <c r="K1776" s="186"/>
      <c r="L1776" s="386"/>
      <c r="M1776" s="386"/>
      <c r="N1776" s="32"/>
      <c r="O1776" s="32"/>
      <c r="P1776" s="278"/>
      <c r="Q1776" s="233"/>
      <c r="R1776" s="76">
        <f>72404.5-SUM(R1773:R1775)</f>
        <v>71534.5</v>
      </c>
      <c r="S1776" s="76">
        <f>2578786-SUM(S1773:S1775)</f>
        <v>479026</v>
      </c>
      <c r="T1776" s="76">
        <f>2651190.5-SUM(T1773:T1775)</f>
        <v>550560.5</v>
      </c>
      <c r="U1776" s="200"/>
      <c r="V1776" s="75"/>
      <c r="W1776" s="75"/>
      <c r="X1776" s="200"/>
      <c r="Y1776" s="1"/>
      <c r="Z1776" s="77"/>
      <c r="AA1776" s="225"/>
      <c r="AB1776" s="302"/>
      <c r="AC1776" s="302"/>
      <c r="AD1776" s="302"/>
      <c r="AE1776" s="302"/>
      <c r="AF1776">
        <f t="shared" si="389"/>
        <v>0</v>
      </c>
    </row>
    <row r="1777" spans="1:32" hidden="1" x14ac:dyDescent="0.25">
      <c r="A1777" s="322"/>
      <c r="D1777" s="4"/>
      <c r="E1777" s="8"/>
      <c r="F1777" s="2"/>
      <c r="G1777" s="6"/>
      <c r="H1777" s="7"/>
      <c r="I1777" s="7"/>
      <c r="J1777" s="186"/>
      <c r="K1777" s="186"/>
      <c r="L1777" s="386"/>
      <c r="M1777" s="386"/>
      <c r="N1777" s="32"/>
      <c r="O1777" s="32"/>
      <c r="P1777" s="278"/>
      <c r="Q1777" s="233"/>
      <c r="R1777" s="75"/>
      <c r="S1777" s="75"/>
      <c r="T1777" s="75"/>
      <c r="U1777" s="200"/>
      <c r="V1777" s="75"/>
      <c r="W1777" s="75"/>
      <c r="X1777" s="200"/>
      <c r="Y1777" s="1"/>
      <c r="Z1777" s="77"/>
      <c r="AA1777" s="225"/>
      <c r="AB1777" s="302"/>
      <c r="AC1777" s="302"/>
      <c r="AD1777" s="302"/>
      <c r="AE1777" s="302"/>
      <c r="AF1777">
        <f t="shared" si="389"/>
        <v>0</v>
      </c>
    </row>
    <row r="1778" spans="1:32" hidden="1" x14ac:dyDescent="0.25">
      <c r="A1778" s="322" t="s">
        <v>4654</v>
      </c>
      <c r="B1778" s="93" t="str">
        <f t="shared" ref="B1778:B1792" si="391">IF(COUNTIF(GIS,A1778),"YES","NO")</f>
        <v>YES</v>
      </c>
      <c r="C1778" s="93" t="s">
        <v>5503</v>
      </c>
      <c r="D1778" s="4">
        <v>41620</v>
      </c>
      <c r="E1778" s="2">
        <v>41699</v>
      </c>
      <c r="F1778" s="2">
        <f t="shared" si="390"/>
        <v>45352</v>
      </c>
      <c r="G1778" s="6">
        <v>161.41999999999999</v>
      </c>
      <c r="H1778" s="7" t="s">
        <v>248</v>
      </c>
      <c r="I1778" s="7" t="s">
        <v>308</v>
      </c>
      <c r="J1778" s="186"/>
      <c r="K1778" s="266">
        <f t="shared" ref="K1778:K1792" si="392">YEAR(F1778)</f>
        <v>2024</v>
      </c>
      <c r="L1778" s="391" t="s">
        <v>5793</v>
      </c>
      <c r="M1778" s="390" t="s">
        <v>7595</v>
      </c>
      <c r="N1778" s="32" t="s">
        <v>7782</v>
      </c>
      <c r="O1778" s="32" t="s">
        <v>4656</v>
      </c>
      <c r="P1778" s="278"/>
      <c r="Q1778" s="233" t="s">
        <v>4655</v>
      </c>
      <c r="R1778" s="75">
        <v>722</v>
      </c>
      <c r="S1778" s="75">
        <v>113076</v>
      </c>
      <c r="T1778" s="75">
        <v>113798</v>
      </c>
      <c r="U1778" s="200">
        <v>243</v>
      </c>
      <c r="V1778" s="287">
        <f t="shared" ref="V1778:V1792" ca="1" si="393">IF(YEAR($W$3)-YEAR(E1778)&gt;9,10,IF(MONTH($W$3)&lt;MONTH(E1778),YEAR($W$3)-YEAR(E1778),YEAR($W$3)-YEAR(E1778)+1))</f>
        <v>6</v>
      </c>
      <c r="W1778" s="75">
        <f t="shared" ref="W1778:W1792" ca="1" si="394">IF(V1778&lt;6, ROUNDUP(G1778,0)*$W$6*V1778, ROUNDUP(G1778,0)*($W$6*5 + (V1778-5)*$W$7))</f>
        <v>1539</v>
      </c>
      <c r="X1778" s="200">
        <f t="shared" ref="X1778:X1792" ca="1" si="395">IF(V1778=0,T1778,((T1778-ROUNDUP(G1778,0)*1.5)+W1778))</f>
        <v>115094</v>
      </c>
      <c r="Y1778" s="1"/>
      <c r="Z1778" s="31">
        <v>0.1</v>
      </c>
      <c r="AA1778" s="223">
        <v>0.09</v>
      </c>
      <c r="AB1778" s="302" t="s">
        <v>6329</v>
      </c>
      <c r="AC1778" s="308">
        <v>43536</v>
      </c>
      <c r="AD1778" s="309">
        <v>0.25</v>
      </c>
      <c r="AE1778" s="302" t="s">
        <v>7509</v>
      </c>
      <c r="AF1778">
        <f t="shared" si="389"/>
        <v>0</v>
      </c>
    </row>
    <row r="1779" spans="1:32" ht="26.25" hidden="1" x14ac:dyDescent="0.25">
      <c r="A1779" s="322" t="s">
        <v>4657</v>
      </c>
      <c r="B1779" s="93" t="str">
        <f t="shared" si="391"/>
        <v>YES</v>
      </c>
      <c r="C1779" s="93" t="s">
        <v>5503</v>
      </c>
      <c r="D1779" s="4">
        <v>41620</v>
      </c>
      <c r="E1779" s="2">
        <v>41699</v>
      </c>
      <c r="F1779" s="2">
        <f t="shared" si="390"/>
        <v>45352</v>
      </c>
      <c r="G1779" s="6">
        <v>1.84</v>
      </c>
      <c r="H1779" s="7" t="s">
        <v>4659</v>
      </c>
      <c r="I1779" s="7" t="s">
        <v>79</v>
      </c>
      <c r="J1779" s="186"/>
      <c r="K1779" s="266">
        <f t="shared" si="392"/>
        <v>2024</v>
      </c>
      <c r="L1779" s="391" t="s">
        <v>5793</v>
      </c>
      <c r="M1779" s="390" t="s">
        <v>6133</v>
      </c>
      <c r="N1779" s="32" t="s">
        <v>7783</v>
      </c>
      <c r="O1779" s="32" t="s">
        <v>4660</v>
      </c>
      <c r="P1779" s="278"/>
      <c r="Q1779" s="233" t="s">
        <v>4658</v>
      </c>
      <c r="R1779" s="75">
        <v>162</v>
      </c>
      <c r="S1779" s="75">
        <v>116</v>
      </c>
      <c r="T1779" s="75">
        <v>278</v>
      </c>
      <c r="U1779" s="200">
        <v>3</v>
      </c>
      <c r="V1779" s="287">
        <f t="shared" ca="1" si="393"/>
        <v>6</v>
      </c>
      <c r="W1779" s="75">
        <f t="shared" ca="1" si="394"/>
        <v>19</v>
      </c>
      <c r="X1779" s="200">
        <f t="shared" ca="1" si="395"/>
        <v>294</v>
      </c>
      <c r="Y1779" s="1"/>
      <c r="Z1779" s="31">
        <v>0.1</v>
      </c>
      <c r="AA1779" s="223">
        <v>0.09</v>
      </c>
      <c r="AB1779" s="302" t="s">
        <v>7335</v>
      </c>
      <c r="AC1779" s="302"/>
      <c r="AD1779" s="302"/>
      <c r="AE1779" s="302"/>
      <c r="AF1779">
        <f t="shared" si="389"/>
        <v>0</v>
      </c>
    </row>
    <row r="1780" spans="1:32" hidden="1" x14ac:dyDescent="0.25">
      <c r="A1780" s="322" t="s">
        <v>4661</v>
      </c>
      <c r="B1780" s="93" t="str">
        <f t="shared" si="391"/>
        <v>YES</v>
      </c>
      <c r="C1780" s="93" t="s">
        <v>5503</v>
      </c>
      <c r="D1780" s="4">
        <v>41620</v>
      </c>
      <c r="E1780" s="2">
        <v>41699</v>
      </c>
      <c r="F1780" s="2">
        <f t="shared" si="390"/>
        <v>45352</v>
      </c>
      <c r="G1780" s="6">
        <v>7.08</v>
      </c>
      <c r="H1780" s="7" t="s">
        <v>4659</v>
      </c>
      <c r="I1780" s="7" t="s">
        <v>79</v>
      </c>
      <c r="J1780" s="186"/>
      <c r="K1780" s="266">
        <f t="shared" si="392"/>
        <v>2024</v>
      </c>
      <c r="L1780" s="391" t="s">
        <v>5793</v>
      </c>
      <c r="M1780" s="390" t="s">
        <v>6133</v>
      </c>
      <c r="N1780" s="32" t="s">
        <v>7783</v>
      </c>
      <c r="O1780" s="32" t="s">
        <v>4663</v>
      </c>
      <c r="P1780" s="278"/>
      <c r="Q1780" s="233" t="s">
        <v>4662</v>
      </c>
      <c r="R1780" s="75">
        <v>183</v>
      </c>
      <c r="S1780" s="75">
        <v>624</v>
      </c>
      <c r="T1780" s="75">
        <v>807</v>
      </c>
      <c r="U1780" s="200">
        <v>12</v>
      </c>
      <c r="V1780" s="287">
        <f t="shared" ca="1" si="393"/>
        <v>6</v>
      </c>
      <c r="W1780" s="75">
        <f t="shared" ca="1" si="394"/>
        <v>76</v>
      </c>
      <c r="X1780" s="200">
        <f t="shared" ca="1" si="395"/>
        <v>871</v>
      </c>
      <c r="Y1780" s="1"/>
      <c r="Z1780" s="31">
        <v>0.1</v>
      </c>
      <c r="AA1780" s="223">
        <v>0.09</v>
      </c>
      <c r="AB1780" s="302" t="s">
        <v>7336</v>
      </c>
      <c r="AC1780" s="302"/>
      <c r="AD1780" s="302"/>
      <c r="AE1780" s="302"/>
      <c r="AF1780">
        <f t="shared" si="389"/>
        <v>0</v>
      </c>
    </row>
    <row r="1781" spans="1:32" hidden="1" x14ac:dyDescent="0.25">
      <c r="A1781" s="322" t="s">
        <v>4664</v>
      </c>
      <c r="B1781" s="93" t="str">
        <f t="shared" si="391"/>
        <v>YES</v>
      </c>
      <c r="C1781" s="93" t="s">
        <v>5503</v>
      </c>
      <c r="D1781" s="4">
        <v>41620</v>
      </c>
      <c r="E1781" s="2">
        <v>41699</v>
      </c>
      <c r="F1781" s="2">
        <f t="shared" si="390"/>
        <v>45352</v>
      </c>
      <c r="G1781" s="6">
        <v>40</v>
      </c>
      <c r="H1781" s="7" t="s">
        <v>4659</v>
      </c>
      <c r="I1781" s="7" t="s">
        <v>79</v>
      </c>
      <c r="J1781" s="186"/>
      <c r="K1781" s="266">
        <f t="shared" si="392"/>
        <v>2024</v>
      </c>
      <c r="L1781" s="390" t="s">
        <v>5910</v>
      </c>
      <c r="M1781" s="390" t="s">
        <v>7593</v>
      </c>
      <c r="N1781" s="32" t="s">
        <v>7783</v>
      </c>
      <c r="O1781" s="32" t="s">
        <v>4666</v>
      </c>
      <c r="P1781" s="278"/>
      <c r="Q1781" s="233" t="s">
        <v>4665</v>
      </c>
      <c r="R1781" s="75">
        <v>295</v>
      </c>
      <c r="S1781" s="75">
        <v>520</v>
      </c>
      <c r="T1781" s="75">
        <v>815</v>
      </c>
      <c r="U1781" s="200">
        <v>60</v>
      </c>
      <c r="V1781" s="287">
        <f t="shared" ca="1" si="393"/>
        <v>6</v>
      </c>
      <c r="W1781" s="75">
        <f t="shared" ca="1" si="394"/>
        <v>380</v>
      </c>
      <c r="X1781" s="200">
        <f t="shared" ca="1" si="395"/>
        <v>1135</v>
      </c>
      <c r="Y1781" s="1"/>
      <c r="Z1781" s="31">
        <v>0.1</v>
      </c>
      <c r="AA1781" s="223">
        <v>0.09</v>
      </c>
      <c r="AB1781" s="302" t="s">
        <v>7913</v>
      </c>
      <c r="AC1781" s="302"/>
      <c r="AD1781" s="302"/>
      <c r="AE1781" s="302"/>
      <c r="AF1781">
        <f t="shared" si="389"/>
        <v>0</v>
      </c>
    </row>
    <row r="1782" spans="1:32" hidden="1" x14ac:dyDescent="0.25">
      <c r="A1782" s="322" t="s">
        <v>4667</v>
      </c>
      <c r="B1782" s="93" t="str">
        <f t="shared" si="391"/>
        <v>YES</v>
      </c>
      <c r="C1782" s="93" t="s">
        <v>5503</v>
      </c>
      <c r="D1782" s="4">
        <v>41620</v>
      </c>
      <c r="E1782" s="2">
        <v>41699</v>
      </c>
      <c r="F1782" s="2">
        <f t="shared" si="390"/>
        <v>45352</v>
      </c>
      <c r="G1782" s="6">
        <v>79.84</v>
      </c>
      <c r="H1782" s="7" t="s">
        <v>4659</v>
      </c>
      <c r="I1782" s="7" t="s">
        <v>79</v>
      </c>
      <c r="J1782" s="186"/>
      <c r="K1782" s="266">
        <f t="shared" si="392"/>
        <v>2024</v>
      </c>
      <c r="L1782" s="390" t="s">
        <v>5885</v>
      </c>
      <c r="M1782" s="390" t="s">
        <v>6133</v>
      </c>
      <c r="N1782" s="32" t="s">
        <v>7783</v>
      </c>
      <c r="O1782" s="32" t="s">
        <v>4669</v>
      </c>
      <c r="P1782" s="278"/>
      <c r="Q1782" s="233" t="s">
        <v>4668</v>
      </c>
      <c r="R1782" s="75">
        <v>435</v>
      </c>
      <c r="S1782" s="75">
        <v>1840</v>
      </c>
      <c r="T1782" s="75">
        <v>2275</v>
      </c>
      <c r="U1782" s="200">
        <v>120</v>
      </c>
      <c r="V1782" s="287">
        <f t="shared" ca="1" si="393"/>
        <v>6</v>
      </c>
      <c r="W1782" s="75">
        <f t="shared" ca="1" si="394"/>
        <v>760</v>
      </c>
      <c r="X1782" s="200">
        <f t="shared" ca="1" si="395"/>
        <v>2915</v>
      </c>
      <c r="Y1782" s="1"/>
      <c r="Z1782" s="31">
        <v>0.1</v>
      </c>
      <c r="AA1782" s="223">
        <v>0.09</v>
      </c>
      <c r="AB1782" s="302" t="s">
        <v>7913</v>
      </c>
      <c r="AC1782" s="302"/>
      <c r="AD1782" s="302"/>
      <c r="AE1782" s="302"/>
      <c r="AF1782">
        <f t="shared" si="389"/>
        <v>0</v>
      </c>
    </row>
    <row r="1783" spans="1:32" ht="26.25" hidden="1" x14ac:dyDescent="0.25">
      <c r="A1783" s="322" t="s">
        <v>4670</v>
      </c>
      <c r="B1783" s="93" t="str">
        <f t="shared" si="391"/>
        <v>YES</v>
      </c>
      <c r="C1783" s="93" t="s">
        <v>5503</v>
      </c>
      <c r="D1783" s="4">
        <v>41620</v>
      </c>
      <c r="E1783" s="2">
        <v>41699</v>
      </c>
      <c r="F1783" s="2">
        <f t="shared" si="390"/>
        <v>45352</v>
      </c>
      <c r="G1783" s="6">
        <v>3.8</v>
      </c>
      <c r="H1783" s="7" t="s">
        <v>4659</v>
      </c>
      <c r="I1783" s="7" t="s">
        <v>79</v>
      </c>
      <c r="J1783" s="186"/>
      <c r="K1783" s="266">
        <f t="shared" si="392"/>
        <v>2024</v>
      </c>
      <c r="L1783" s="390" t="s">
        <v>5793</v>
      </c>
      <c r="M1783" s="390" t="s">
        <v>6133</v>
      </c>
      <c r="N1783" s="32" t="s">
        <v>7783</v>
      </c>
      <c r="O1783" s="32" t="s">
        <v>4672</v>
      </c>
      <c r="P1783" s="278"/>
      <c r="Q1783" s="233" t="s">
        <v>4671</v>
      </c>
      <c r="R1783" s="75">
        <v>169</v>
      </c>
      <c r="S1783" s="75">
        <v>192</v>
      </c>
      <c r="T1783" s="75">
        <v>361</v>
      </c>
      <c r="U1783" s="200">
        <v>6</v>
      </c>
      <c r="V1783" s="287">
        <f t="shared" ca="1" si="393"/>
        <v>6</v>
      </c>
      <c r="W1783" s="75">
        <f t="shared" ca="1" si="394"/>
        <v>38</v>
      </c>
      <c r="X1783" s="200">
        <f t="shared" ca="1" si="395"/>
        <v>393</v>
      </c>
      <c r="Y1783" s="1"/>
      <c r="Z1783" s="31">
        <v>0.1</v>
      </c>
      <c r="AA1783" s="223">
        <v>0.09</v>
      </c>
      <c r="AB1783" s="302" t="s">
        <v>7913</v>
      </c>
      <c r="AC1783" s="302"/>
      <c r="AD1783" s="302"/>
      <c r="AE1783" s="302"/>
      <c r="AF1783">
        <f t="shared" si="389"/>
        <v>0</v>
      </c>
    </row>
    <row r="1784" spans="1:32" ht="128.25" hidden="1" x14ac:dyDescent="0.25">
      <c r="A1784" s="322" t="s">
        <v>4673</v>
      </c>
      <c r="B1784" s="93" t="str">
        <f t="shared" si="391"/>
        <v>YES</v>
      </c>
      <c r="C1784" s="93" t="s">
        <v>5503</v>
      </c>
      <c r="D1784" s="4">
        <v>41620</v>
      </c>
      <c r="E1784" s="2">
        <v>41699</v>
      </c>
      <c r="F1784" s="2">
        <f t="shared" si="390"/>
        <v>45352</v>
      </c>
      <c r="G1784" s="6">
        <v>70.680000000000007</v>
      </c>
      <c r="H1784" s="7" t="s">
        <v>1703</v>
      </c>
      <c r="I1784" s="9" t="s">
        <v>1050</v>
      </c>
      <c r="J1784" s="186"/>
      <c r="K1784" s="266">
        <f t="shared" si="392"/>
        <v>2024</v>
      </c>
      <c r="L1784" s="390" t="s">
        <v>5555</v>
      </c>
      <c r="M1784" s="390" t="s">
        <v>6026</v>
      </c>
      <c r="N1784" s="32" t="s">
        <v>7771</v>
      </c>
      <c r="O1784" s="32" t="s">
        <v>4675</v>
      </c>
      <c r="P1784" s="278"/>
      <c r="Q1784" s="233" t="s">
        <v>4674</v>
      </c>
      <c r="R1784" s="75">
        <v>403.5</v>
      </c>
      <c r="S1784" s="75">
        <v>0</v>
      </c>
      <c r="T1784" s="75">
        <v>403.5</v>
      </c>
      <c r="U1784" s="200">
        <v>106.5</v>
      </c>
      <c r="V1784" s="287">
        <f t="shared" ca="1" si="393"/>
        <v>6</v>
      </c>
      <c r="W1784" s="75">
        <f t="shared" ca="1" si="394"/>
        <v>674.5</v>
      </c>
      <c r="X1784" s="200">
        <f t="shared" ca="1" si="395"/>
        <v>971.5</v>
      </c>
      <c r="Y1784" s="1"/>
      <c r="Z1784" s="31">
        <v>0.1</v>
      </c>
      <c r="AA1784" s="223">
        <v>0.09</v>
      </c>
      <c r="AB1784" s="302" t="s">
        <v>7337</v>
      </c>
      <c r="AC1784" s="302"/>
      <c r="AD1784" s="302"/>
      <c r="AE1784" s="302"/>
      <c r="AF1784">
        <f t="shared" si="389"/>
        <v>0</v>
      </c>
    </row>
    <row r="1785" spans="1:32" hidden="1" x14ac:dyDescent="0.25">
      <c r="A1785" s="322" t="s">
        <v>4676</v>
      </c>
      <c r="B1785" s="93" t="str">
        <f t="shared" si="391"/>
        <v>YES</v>
      </c>
      <c r="C1785" s="93" t="s">
        <v>5503</v>
      </c>
      <c r="D1785" s="4">
        <v>41620</v>
      </c>
      <c r="E1785" s="2">
        <v>41699</v>
      </c>
      <c r="F1785" s="2">
        <f t="shared" si="390"/>
        <v>45352</v>
      </c>
      <c r="G1785" s="6">
        <v>80</v>
      </c>
      <c r="H1785" s="7" t="s">
        <v>1703</v>
      </c>
      <c r="I1785" s="9" t="s">
        <v>1050</v>
      </c>
      <c r="J1785" s="186"/>
      <c r="K1785" s="266">
        <f t="shared" si="392"/>
        <v>2024</v>
      </c>
      <c r="L1785" s="390" t="s">
        <v>5555</v>
      </c>
      <c r="M1785" s="390" t="s">
        <v>6026</v>
      </c>
      <c r="N1785" s="32" t="s">
        <v>7771</v>
      </c>
      <c r="O1785" s="32" t="s">
        <v>4678</v>
      </c>
      <c r="P1785" s="278"/>
      <c r="Q1785" s="233" t="s">
        <v>4677</v>
      </c>
      <c r="R1785" s="75">
        <v>435</v>
      </c>
      <c r="S1785" s="75">
        <v>5040</v>
      </c>
      <c r="T1785" s="75">
        <v>5475</v>
      </c>
      <c r="U1785" s="200">
        <v>120</v>
      </c>
      <c r="V1785" s="287">
        <f t="shared" ca="1" si="393"/>
        <v>6</v>
      </c>
      <c r="W1785" s="75">
        <f t="shared" ca="1" si="394"/>
        <v>760</v>
      </c>
      <c r="X1785" s="200">
        <f t="shared" ca="1" si="395"/>
        <v>6115</v>
      </c>
      <c r="Y1785" s="1"/>
      <c r="Z1785" s="31">
        <v>0.1</v>
      </c>
      <c r="AA1785" s="223">
        <v>0.09</v>
      </c>
      <c r="AB1785" s="302" t="s">
        <v>7338</v>
      </c>
      <c r="AC1785" s="302"/>
      <c r="AD1785" s="302"/>
      <c r="AE1785" s="302"/>
      <c r="AF1785">
        <f t="shared" si="389"/>
        <v>0</v>
      </c>
    </row>
    <row r="1786" spans="1:32" hidden="1" x14ac:dyDescent="0.25">
      <c r="A1786" s="322" t="s">
        <v>4679</v>
      </c>
      <c r="B1786" s="93" t="str">
        <f t="shared" si="391"/>
        <v>YES</v>
      </c>
      <c r="C1786" s="93" t="s">
        <v>5503</v>
      </c>
      <c r="D1786" s="4">
        <v>41620</v>
      </c>
      <c r="E1786" s="2">
        <v>41699</v>
      </c>
      <c r="F1786" s="2">
        <f t="shared" si="390"/>
        <v>45352</v>
      </c>
      <c r="G1786" s="6">
        <v>60</v>
      </c>
      <c r="H1786" s="7" t="s">
        <v>1703</v>
      </c>
      <c r="I1786" s="9" t="s">
        <v>1050</v>
      </c>
      <c r="J1786" s="186"/>
      <c r="K1786" s="266">
        <f t="shared" si="392"/>
        <v>2024</v>
      </c>
      <c r="L1786" s="390" t="s">
        <v>5555</v>
      </c>
      <c r="M1786" s="390" t="s">
        <v>5577</v>
      </c>
      <c r="N1786" s="32" t="s">
        <v>7771</v>
      </c>
      <c r="O1786" s="32" t="s">
        <v>4681</v>
      </c>
      <c r="P1786" s="278"/>
      <c r="Q1786" s="233" t="s">
        <v>4680</v>
      </c>
      <c r="R1786" s="75">
        <v>365</v>
      </c>
      <c r="S1786" s="75">
        <v>2880</v>
      </c>
      <c r="T1786" s="75">
        <v>3245</v>
      </c>
      <c r="U1786" s="200">
        <v>90</v>
      </c>
      <c r="V1786" s="287">
        <f t="shared" ca="1" si="393"/>
        <v>6</v>
      </c>
      <c r="W1786" s="75">
        <f t="shared" ca="1" si="394"/>
        <v>570</v>
      </c>
      <c r="X1786" s="200">
        <f t="shared" ca="1" si="395"/>
        <v>3725</v>
      </c>
      <c r="Y1786" s="1"/>
      <c r="Z1786" s="31">
        <v>0.1</v>
      </c>
      <c r="AA1786" s="223">
        <v>0.09</v>
      </c>
      <c r="AB1786" s="302" t="s">
        <v>7339</v>
      </c>
      <c r="AC1786" s="302"/>
      <c r="AD1786" s="302"/>
      <c r="AE1786" s="302"/>
      <c r="AF1786">
        <f t="shared" si="389"/>
        <v>0</v>
      </c>
    </row>
    <row r="1787" spans="1:32" hidden="1" x14ac:dyDescent="0.25">
      <c r="A1787" s="322" t="s">
        <v>4682</v>
      </c>
      <c r="B1787" s="93" t="str">
        <f t="shared" si="391"/>
        <v>YES</v>
      </c>
      <c r="C1787" s="93" t="s">
        <v>5503</v>
      </c>
      <c r="D1787" s="4">
        <v>41620</v>
      </c>
      <c r="E1787" s="2">
        <v>41699</v>
      </c>
      <c r="F1787" s="2">
        <f t="shared" si="390"/>
        <v>45352</v>
      </c>
      <c r="G1787" s="6">
        <v>80</v>
      </c>
      <c r="H1787" s="7" t="s">
        <v>4684</v>
      </c>
      <c r="I1787" s="9" t="s">
        <v>1050</v>
      </c>
      <c r="J1787" s="186"/>
      <c r="K1787" s="266">
        <f t="shared" si="392"/>
        <v>2024</v>
      </c>
      <c r="L1787" s="390" t="s">
        <v>7602</v>
      </c>
      <c r="M1787" s="390" t="s">
        <v>5790</v>
      </c>
      <c r="N1787" s="32" t="s">
        <v>7771</v>
      </c>
      <c r="O1787" s="32" t="s">
        <v>4685</v>
      </c>
      <c r="P1787" s="278"/>
      <c r="Q1787" s="233" t="s">
        <v>4683</v>
      </c>
      <c r="R1787" s="75">
        <v>435</v>
      </c>
      <c r="S1787" s="75">
        <v>43840</v>
      </c>
      <c r="T1787" s="75">
        <v>44275</v>
      </c>
      <c r="U1787" s="200">
        <v>120</v>
      </c>
      <c r="V1787" s="287">
        <f t="shared" ca="1" si="393"/>
        <v>6</v>
      </c>
      <c r="W1787" s="75">
        <f t="shared" ca="1" si="394"/>
        <v>760</v>
      </c>
      <c r="X1787" s="200">
        <f t="shared" ca="1" si="395"/>
        <v>44915</v>
      </c>
      <c r="Y1787" s="1"/>
      <c r="Z1787" s="31">
        <v>0.1</v>
      </c>
      <c r="AA1787" s="223">
        <v>0.09</v>
      </c>
      <c r="AB1787" s="302" t="s">
        <v>7501</v>
      </c>
      <c r="AC1787" s="302"/>
      <c r="AD1787" s="302"/>
      <c r="AE1787" s="302"/>
      <c r="AF1787">
        <f t="shared" si="389"/>
        <v>0</v>
      </c>
    </row>
    <row r="1788" spans="1:32" ht="26.25" hidden="1" x14ac:dyDescent="0.25">
      <c r="A1788" s="322" t="s">
        <v>4686</v>
      </c>
      <c r="B1788" s="93" t="str">
        <f t="shared" si="391"/>
        <v>YES</v>
      </c>
      <c r="C1788" s="93" t="s">
        <v>5503</v>
      </c>
      <c r="D1788" s="4">
        <v>41620</v>
      </c>
      <c r="E1788" s="2">
        <v>41699</v>
      </c>
      <c r="F1788" s="2">
        <f t="shared" si="390"/>
        <v>45352</v>
      </c>
      <c r="G1788" s="6">
        <v>234.7</v>
      </c>
      <c r="H1788" s="7" t="s">
        <v>2455</v>
      </c>
      <c r="I1788" s="9" t="s">
        <v>1050</v>
      </c>
      <c r="J1788" s="186"/>
      <c r="K1788" s="266">
        <f t="shared" si="392"/>
        <v>2024</v>
      </c>
      <c r="L1788" s="390" t="s">
        <v>7602</v>
      </c>
      <c r="M1788" s="390" t="s">
        <v>7589</v>
      </c>
      <c r="N1788" s="32" t="s">
        <v>7771</v>
      </c>
      <c r="O1788" s="32" t="s">
        <v>4688</v>
      </c>
      <c r="P1788" s="278"/>
      <c r="Q1788" s="233" t="s">
        <v>4687</v>
      </c>
      <c r="R1788" s="75">
        <v>977.5</v>
      </c>
      <c r="S1788" s="75">
        <v>11280</v>
      </c>
      <c r="T1788" s="75">
        <v>12257.5</v>
      </c>
      <c r="U1788" s="200">
        <v>352.5</v>
      </c>
      <c r="V1788" s="287">
        <f t="shared" ca="1" si="393"/>
        <v>6</v>
      </c>
      <c r="W1788" s="75">
        <f t="shared" ca="1" si="394"/>
        <v>2232.5</v>
      </c>
      <c r="X1788" s="200">
        <f t="shared" ca="1" si="395"/>
        <v>14137.5</v>
      </c>
      <c r="Y1788" s="1"/>
      <c r="Z1788" s="31">
        <v>0.1</v>
      </c>
      <c r="AA1788" s="223">
        <v>0.09</v>
      </c>
      <c r="AB1788" s="302" t="s">
        <v>7340</v>
      </c>
      <c r="AC1788" s="302"/>
      <c r="AD1788" s="302"/>
      <c r="AE1788" s="302"/>
      <c r="AF1788">
        <f t="shared" si="389"/>
        <v>0</v>
      </c>
    </row>
    <row r="1789" spans="1:32" hidden="1" x14ac:dyDescent="0.25">
      <c r="A1789" s="322" t="s">
        <v>4689</v>
      </c>
      <c r="B1789" s="93" t="str">
        <f t="shared" si="391"/>
        <v>YES</v>
      </c>
      <c r="C1789" s="93" t="s">
        <v>5503</v>
      </c>
      <c r="D1789" s="4">
        <v>41620</v>
      </c>
      <c r="E1789" s="2">
        <v>41699</v>
      </c>
      <c r="F1789" s="2">
        <f t="shared" si="390"/>
        <v>45352</v>
      </c>
      <c r="G1789" s="6">
        <v>20</v>
      </c>
      <c r="H1789" s="7" t="s">
        <v>2455</v>
      </c>
      <c r="I1789" s="9" t="s">
        <v>1050</v>
      </c>
      <c r="J1789" s="186"/>
      <c r="K1789" s="266">
        <f t="shared" si="392"/>
        <v>2024</v>
      </c>
      <c r="L1789" s="390" t="s">
        <v>5631</v>
      </c>
      <c r="M1789" s="390" t="s">
        <v>5562</v>
      </c>
      <c r="N1789" s="32" t="s">
        <v>7771</v>
      </c>
      <c r="O1789" s="32" t="s">
        <v>4691</v>
      </c>
      <c r="P1789" s="278"/>
      <c r="Q1789" s="233" t="s">
        <v>4690</v>
      </c>
      <c r="R1789" s="75">
        <v>225</v>
      </c>
      <c r="S1789" s="75">
        <v>1460</v>
      </c>
      <c r="T1789" s="75">
        <v>1685</v>
      </c>
      <c r="U1789" s="200">
        <v>30</v>
      </c>
      <c r="V1789" s="287">
        <f t="shared" ca="1" si="393"/>
        <v>6</v>
      </c>
      <c r="W1789" s="75">
        <f t="shared" ca="1" si="394"/>
        <v>190</v>
      </c>
      <c r="X1789" s="200">
        <f t="shared" ca="1" si="395"/>
        <v>1845</v>
      </c>
      <c r="Y1789" s="1"/>
      <c r="Z1789" s="31">
        <v>0.1</v>
      </c>
      <c r="AA1789" s="223">
        <v>0.09</v>
      </c>
      <c r="AB1789" s="302" t="s">
        <v>7341</v>
      </c>
      <c r="AC1789" s="302"/>
      <c r="AD1789" s="302"/>
      <c r="AE1789" s="302"/>
      <c r="AF1789">
        <f t="shared" si="389"/>
        <v>0</v>
      </c>
    </row>
    <row r="1790" spans="1:32" hidden="1" x14ac:dyDescent="0.25">
      <c r="A1790" s="322" t="s">
        <v>4692</v>
      </c>
      <c r="B1790" s="93" t="str">
        <f t="shared" si="391"/>
        <v>YES</v>
      </c>
      <c r="C1790" s="93" t="s">
        <v>5503</v>
      </c>
      <c r="D1790" s="4">
        <v>41620</v>
      </c>
      <c r="E1790" s="2">
        <v>41699</v>
      </c>
      <c r="F1790" s="2">
        <f t="shared" si="390"/>
        <v>45352</v>
      </c>
      <c r="G1790" s="6">
        <v>80</v>
      </c>
      <c r="H1790" s="7" t="s">
        <v>2455</v>
      </c>
      <c r="I1790" s="9" t="s">
        <v>1050</v>
      </c>
      <c r="J1790" s="186"/>
      <c r="K1790" s="266">
        <f t="shared" si="392"/>
        <v>2024</v>
      </c>
      <c r="L1790" s="390" t="s">
        <v>5623</v>
      </c>
      <c r="M1790" s="390" t="s">
        <v>5556</v>
      </c>
      <c r="N1790" s="32" t="s">
        <v>7771</v>
      </c>
      <c r="O1790" s="32" t="s">
        <v>4694</v>
      </c>
      <c r="P1790" s="278"/>
      <c r="Q1790" s="233" t="s">
        <v>4693</v>
      </c>
      <c r="R1790" s="75">
        <v>435</v>
      </c>
      <c r="S1790" s="75">
        <v>5440</v>
      </c>
      <c r="T1790" s="75">
        <v>5875</v>
      </c>
      <c r="U1790" s="200">
        <v>120</v>
      </c>
      <c r="V1790" s="287">
        <f t="shared" ca="1" si="393"/>
        <v>6</v>
      </c>
      <c r="W1790" s="75">
        <f t="shared" ca="1" si="394"/>
        <v>760</v>
      </c>
      <c r="X1790" s="200">
        <f t="shared" ca="1" si="395"/>
        <v>6515</v>
      </c>
      <c r="Y1790" s="1"/>
      <c r="Z1790" s="31">
        <v>0.1</v>
      </c>
      <c r="AA1790" s="223">
        <v>0.09</v>
      </c>
      <c r="AB1790" s="302" t="s">
        <v>7342</v>
      </c>
      <c r="AC1790" s="302"/>
      <c r="AD1790" s="302"/>
      <c r="AE1790" s="302"/>
      <c r="AF1790">
        <f t="shared" si="389"/>
        <v>0</v>
      </c>
    </row>
    <row r="1791" spans="1:32" hidden="1" x14ac:dyDescent="0.25">
      <c r="A1791" s="322" t="s">
        <v>4695</v>
      </c>
      <c r="B1791" s="93" t="str">
        <f t="shared" si="391"/>
        <v>YES</v>
      </c>
      <c r="C1791" s="93" t="s">
        <v>5503</v>
      </c>
      <c r="D1791" s="4">
        <v>41620</v>
      </c>
      <c r="E1791" s="2">
        <v>41699</v>
      </c>
      <c r="F1791" s="2">
        <f t="shared" si="390"/>
        <v>45352</v>
      </c>
      <c r="G1791" s="6">
        <v>80</v>
      </c>
      <c r="H1791" s="7" t="s">
        <v>2455</v>
      </c>
      <c r="I1791" s="9" t="s">
        <v>1050</v>
      </c>
      <c r="J1791" s="186"/>
      <c r="K1791" s="266">
        <f t="shared" si="392"/>
        <v>2024</v>
      </c>
      <c r="L1791" s="390" t="s">
        <v>5623</v>
      </c>
      <c r="M1791" s="390" t="s">
        <v>5562</v>
      </c>
      <c r="N1791" s="32" t="s">
        <v>7771</v>
      </c>
      <c r="O1791" s="32" t="s">
        <v>4697</v>
      </c>
      <c r="P1791" s="278"/>
      <c r="Q1791" s="233" t="s">
        <v>4696</v>
      </c>
      <c r="R1791" s="75">
        <v>435</v>
      </c>
      <c r="S1791" s="75">
        <v>5040</v>
      </c>
      <c r="T1791" s="75">
        <v>5475</v>
      </c>
      <c r="U1791" s="200">
        <v>120</v>
      </c>
      <c r="V1791" s="287">
        <f t="shared" ca="1" si="393"/>
        <v>6</v>
      </c>
      <c r="W1791" s="75">
        <f t="shared" ca="1" si="394"/>
        <v>760</v>
      </c>
      <c r="X1791" s="200">
        <f t="shared" ca="1" si="395"/>
        <v>6115</v>
      </c>
      <c r="Y1791" s="1"/>
      <c r="Z1791" s="31">
        <v>0.1</v>
      </c>
      <c r="AA1791" s="223">
        <v>0.09</v>
      </c>
      <c r="AB1791" s="302" t="s">
        <v>7343</v>
      </c>
      <c r="AC1791" s="302"/>
      <c r="AD1791" s="302"/>
      <c r="AE1791" s="302"/>
      <c r="AF1791">
        <f t="shared" si="389"/>
        <v>0</v>
      </c>
    </row>
    <row r="1792" spans="1:32" hidden="1" x14ac:dyDescent="0.25">
      <c r="A1792" s="322" t="s">
        <v>4698</v>
      </c>
      <c r="B1792" s="93" t="str">
        <f t="shared" si="391"/>
        <v>YES</v>
      </c>
      <c r="C1792" s="93" t="s">
        <v>5503</v>
      </c>
      <c r="D1792" s="4">
        <v>41620</v>
      </c>
      <c r="E1792" s="2">
        <v>41699</v>
      </c>
      <c r="F1792" s="2">
        <f t="shared" si="390"/>
        <v>45352</v>
      </c>
      <c r="G1792" s="6">
        <v>40</v>
      </c>
      <c r="H1792" s="7" t="s">
        <v>2455</v>
      </c>
      <c r="I1792" s="9" t="s">
        <v>1050</v>
      </c>
      <c r="J1792" s="186"/>
      <c r="K1792" s="266">
        <f t="shared" si="392"/>
        <v>2024</v>
      </c>
      <c r="L1792" s="390" t="s">
        <v>5623</v>
      </c>
      <c r="M1792" s="390" t="s">
        <v>7589</v>
      </c>
      <c r="N1792" s="32" t="s">
        <v>7771</v>
      </c>
      <c r="O1792" s="32" t="s">
        <v>4700</v>
      </c>
      <c r="P1792" s="278"/>
      <c r="Q1792" s="233" t="s">
        <v>4699</v>
      </c>
      <c r="R1792" s="75">
        <v>295</v>
      </c>
      <c r="S1792" s="75">
        <v>2320</v>
      </c>
      <c r="T1792" s="75">
        <v>2615</v>
      </c>
      <c r="U1792" s="200">
        <v>60</v>
      </c>
      <c r="V1792" s="287">
        <f t="shared" ca="1" si="393"/>
        <v>6</v>
      </c>
      <c r="W1792" s="75">
        <f t="shared" ca="1" si="394"/>
        <v>380</v>
      </c>
      <c r="X1792" s="200">
        <f t="shared" ca="1" si="395"/>
        <v>2935</v>
      </c>
      <c r="Y1792" s="1"/>
      <c r="Z1792" s="31">
        <v>0.1</v>
      </c>
      <c r="AA1792" s="223">
        <v>0.09</v>
      </c>
      <c r="AB1792" s="302" t="s">
        <v>7344</v>
      </c>
      <c r="AC1792" s="302"/>
      <c r="AD1792" s="302"/>
      <c r="AE1792" s="302"/>
      <c r="AF1792">
        <f t="shared" si="389"/>
        <v>0</v>
      </c>
    </row>
    <row r="1793" spans="1:32" ht="15.75" hidden="1" thickBot="1" x14ac:dyDescent="0.3">
      <c r="A1793" s="322"/>
      <c r="D1793" s="4"/>
      <c r="E1793" s="8"/>
      <c r="F1793" s="2"/>
      <c r="G1793" s="6"/>
      <c r="H1793" s="7"/>
      <c r="I1793" s="7"/>
      <c r="J1793" s="186"/>
      <c r="K1793" s="186"/>
      <c r="L1793" s="386"/>
      <c r="M1793" s="386"/>
      <c r="N1793" s="32"/>
      <c r="O1793" s="32"/>
      <c r="P1793" s="278"/>
      <c r="Q1793" s="233"/>
      <c r="R1793" s="76">
        <v>5972</v>
      </c>
      <c r="S1793" s="76">
        <v>193668</v>
      </c>
      <c r="T1793" s="76">
        <v>199640</v>
      </c>
      <c r="U1793" s="200"/>
      <c r="V1793" s="75"/>
      <c r="W1793" s="75"/>
      <c r="X1793" s="200"/>
      <c r="Y1793" s="1"/>
      <c r="Z1793" s="77"/>
      <c r="AA1793" s="225"/>
      <c r="AB1793" s="302"/>
      <c r="AC1793" s="302"/>
      <c r="AD1793" s="302"/>
      <c r="AE1793" s="302"/>
      <c r="AF1793">
        <f t="shared" si="389"/>
        <v>0</v>
      </c>
    </row>
    <row r="1794" spans="1:32" hidden="1" x14ac:dyDescent="0.25">
      <c r="A1794" s="322"/>
      <c r="D1794" s="7"/>
      <c r="E1794" s="8"/>
      <c r="F1794" s="2"/>
      <c r="G1794" s="6"/>
      <c r="H1794" s="7"/>
      <c r="I1794" s="7"/>
      <c r="J1794" s="186"/>
      <c r="K1794" s="186"/>
      <c r="L1794" s="386"/>
      <c r="M1794" s="386"/>
      <c r="N1794" s="32"/>
      <c r="O1794" s="32"/>
      <c r="P1794" s="278"/>
      <c r="Q1794" s="233"/>
      <c r="R1794" s="75"/>
      <c r="S1794" s="75"/>
      <c r="T1794" s="75"/>
      <c r="U1794" s="200"/>
      <c r="V1794" s="75"/>
      <c r="W1794" s="75"/>
      <c r="X1794" s="200"/>
      <c r="Y1794" s="1"/>
      <c r="Z1794" s="1"/>
      <c r="AA1794" s="219"/>
      <c r="AB1794" s="302"/>
      <c r="AC1794" s="302"/>
      <c r="AD1794" s="302"/>
      <c r="AE1794" s="302"/>
      <c r="AF1794">
        <f t="shared" si="389"/>
        <v>0</v>
      </c>
    </row>
    <row r="1795" spans="1:32" hidden="1" x14ac:dyDescent="0.25">
      <c r="A1795" s="322" t="s">
        <v>4701</v>
      </c>
      <c r="B1795" s="93" t="str">
        <f t="shared" ref="B1795:B1813" si="396">IF(COUNTIF(GIS,A1795),"YES","NO")</f>
        <v>YES</v>
      </c>
      <c r="C1795" s="93" t="s">
        <v>5503</v>
      </c>
      <c r="D1795" s="4">
        <v>41718</v>
      </c>
      <c r="E1795" s="2">
        <v>41760</v>
      </c>
      <c r="F1795" s="2">
        <f t="shared" si="390"/>
        <v>45413</v>
      </c>
      <c r="G1795" s="6">
        <v>80</v>
      </c>
      <c r="H1795" s="7" t="s">
        <v>1625</v>
      </c>
      <c r="I1795" s="7" t="s">
        <v>308</v>
      </c>
      <c r="J1795" s="186"/>
      <c r="K1795" s="266">
        <f t="shared" ref="K1795:K1813" si="397">YEAR(F1795)</f>
        <v>2024</v>
      </c>
      <c r="L1795" s="390" t="s">
        <v>5793</v>
      </c>
      <c r="M1795" s="390" t="s">
        <v>5562</v>
      </c>
      <c r="N1795" s="32" t="s">
        <v>7782</v>
      </c>
      <c r="O1795" s="32" t="s">
        <v>4703</v>
      </c>
      <c r="P1795" s="278"/>
      <c r="Q1795" s="233" t="s">
        <v>4702</v>
      </c>
      <c r="R1795" s="75">
        <v>435</v>
      </c>
      <c r="S1795" s="75">
        <v>319840</v>
      </c>
      <c r="T1795" s="75">
        <v>320275</v>
      </c>
      <c r="U1795" s="200">
        <v>120</v>
      </c>
      <c r="V1795" s="287">
        <f t="shared" ref="V1795:V1813" ca="1" si="398">IF(YEAR($W$3)-YEAR(E1795)&gt;9,10,IF(MONTH($W$3)&lt;MONTH(E1795),YEAR($W$3)-YEAR(E1795),YEAR($W$3)-YEAR(E1795)+1))</f>
        <v>6</v>
      </c>
      <c r="W1795" s="75">
        <f t="shared" ref="W1795:W1813" ca="1" si="399">IF(V1795&lt;6, ROUNDUP(G1795,0)*$W$6*V1795, ROUNDUP(G1795,0)*($W$6*5 + (V1795-5)*$W$7))</f>
        <v>760</v>
      </c>
      <c r="X1795" s="200">
        <f t="shared" ref="X1795:X1813" ca="1" si="400">IF(V1795=0,T1795,((T1795-ROUNDUP(G1795,0)*1.5)+W1795))</f>
        <v>320915</v>
      </c>
      <c r="Y1795" s="1"/>
      <c r="Z1795" s="31">
        <v>0.1</v>
      </c>
      <c r="AA1795" s="223">
        <v>0.09</v>
      </c>
      <c r="AB1795" s="302" t="s">
        <v>6340</v>
      </c>
      <c r="AC1795" s="302"/>
      <c r="AD1795" s="302"/>
      <c r="AE1795" s="302"/>
      <c r="AF1795">
        <f t="shared" si="389"/>
        <v>0</v>
      </c>
    </row>
    <row r="1796" spans="1:32" ht="128.25" hidden="1" customHeight="1" x14ac:dyDescent="0.25">
      <c r="A1796" s="322" t="s">
        <v>4836</v>
      </c>
      <c r="B1796" s="93" t="str">
        <f t="shared" si="396"/>
        <v>YES</v>
      </c>
      <c r="C1796" s="93" t="s">
        <v>5503</v>
      </c>
      <c r="D1796" s="4">
        <v>41718</v>
      </c>
      <c r="E1796" s="11">
        <v>41730</v>
      </c>
      <c r="F1796" s="2">
        <f t="shared" si="390"/>
        <v>45383</v>
      </c>
      <c r="G1796" s="6">
        <v>150</v>
      </c>
      <c r="H1796" s="7" t="s">
        <v>1625</v>
      </c>
      <c r="I1796" s="7" t="s">
        <v>308</v>
      </c>
      <c r="J1796" s="115" t="s">
        <v>7654</v>
      </c>
      <c r="K1796" s="266">
        <f t="shared" si="397"/>
        <v>2024</v>
      </c>
      <c r="L1796" s="390" t="s">
        <v>5793</v>
      </c>
      <c r="M1796" s="390" t="s">
        <v>7583</v>
      </c>
      <c r="N1796" s="32" t="s">
        <v>7782</v>
      </c>
      <c r="O1796" s="32" t="s">
        <v>4838</v>
      </c>
      <c r="P1796" s="278"/>
      <c r="Q1796" s="233" t="s">
        <v>4837</v>
      </c>
      <c r="R1796" s="75">
        <v>680</v>
      </c>
      <c r="S1796" s="75">
        <f>+T1796-R1796</f>
        <v>0</v>
      </c>
      <c r="T1796" s="75">
        <v>680</v>
      </c>
      <c r="U1796" s="200">
        <v>225</v>
      </c>
      <c r="V1796" s="287">
        <f t="shared" ca="1" si="398"/>
        <v>6</v>
      </c>
      <c r="W1796" s="75">
        <f t="shared" ca="1" si="399"/>
        <v>1425</v>
      </c>
      <c r="X1796" s="200">
        <f t="shared" ca="1" si="400"/>
        <v>1880</v>
      </c>
      <c r="Y1796" s="1"/>
      <c r="Z1796" s="31">
        <f>(0.5*0.1)</f>
        <v>0.05</v>
      </c>
      <c r="AA1796" s="223">
        <f>(0.5*0.09)</f>
        <v>4.4999999999999998E-2</v>
      </c>
      <c r="AB1796" s="313"/>
      <c r="AC1796" s="313"/>
      <c r="AD1796" s="313"/>
      <c r="AE1796" s="313"/>
      <c r="AF1796">
        <f t="shared" si="389"/>
        <v>0</v>
      </c>
    </row>
    <row r="1797" spans="1:32" hidden="1" x14ac:dyDescent="0.25">
      <c r="A1797" s="322" t="s">
        <v>4704</v>
      </c>
      <c r="B1797" s="93" t="str">
        <f t="shared" si="396"/>
        <v>YES</v>
      </c>
      <c r="C1797" s="93" t="s">
        <v>5503</v>
      </c>
      <c r="D1797" s="4">
        <v>41718</v>
      </c>
      <c r="E1797" s="2">
        <v>41760</v>
      </c>
      <c r="F1797" s="2">
        <f t="shared" si="390"/>
        <v>45413</v>
      </c>
      <c r="G1797" s="6">
        <v>145</v>
      </c>
      <c r="H1797" s="7" t="s">
        <v>1034</v>
      </c>
      <c r="I1797" s="7" t="s">
        <v>72</v>
      </c>
      <c r="J1797" s="105" t="s">
        <v>4864</v>
      </c>
      <c r="K1797" s="266">
        <f t="shared" si="397"/>
        <v>2024</v>
      </c>
      <c r="L1797" s="390" t="s">
        <v>5863</v>
      </c>
      <c r="M1797" s="390" t="s">
        <v>6145</v>
      </c>
      <c r="N1797" s="32" t="s">
        <v>7781</v>
      </c>
      <c r="O1797" s="32" t="s">
        <v>4863</v>
      </c>
      <c r="P1797" s="278"/>
      <c r="Q1797" s="233" t="s">
        <v>4705</v>
      </c>
      <c r="R1797" s="75">
        <v>662.5</v>
      </c>
      <c r="S1797" s="75">
        <v>1015</v>
      </c>
      <c r="T1797" s="75">
        <v>1677.5</v>
      </c>
      <c r="U1797" s="200">
        <v>217.5</v>
      </c>
      <c r="V1797" s="287">
        <f t="shared" ca="1" si="398"/>
        <v>6</v>
      </c>
      <c r="W1797" s="75">
        <f t="shared" ca="1" si="399"/>
        <v>1377.5</v>
      </c>
      <c r="X1797" s="200">
        <f t="shared" ca="1" si="400"/>
        <v>2837.5</v>
      </c>
      <c r="Y1797" s="1"/>
      <c r="Z1797" s="31">
        <v>0.1</v>
      </c>
      <c r="AA1797" s="223">
        <v>0.09</v>
      </c>
      <c r="AB1797" s="302" t="s">
        <v>6384</v>
      </c>
      <c r="AC1797" s="302"/>
      <c r="AD1797" s="302"/>
      <c r="AE1797" s="302"/>
      <c r="AF1797">
        <f t="shared" si="389"/>
        <v>0</v>
      </c>
    </row>
    <row r="1798" spans="1:32" hidden="1" x14ac:dyDescent="0.25">
      <c r="A1798" s="322" t="s">
        <v>4706</v>
      </c>
      <c r="B1798" s="93" t="str">
        <f t="shared" si="396"/>
        <v>YES</v>
      </c>
      <c r="C1798" s="93" t="s">
        <v>5503</v>
      </c>
      <c r="D1798" s="4">
        <v>41718</v>
      </c>
      <c r="E1798" s="2">
        <v>41760</v>
      </c>
      <c r="F1798" s="2">
        <f t="shared" si="390"/>
        <v>45413</v>
      </c>
      <c r="G1798" s="6">
        <v>170</v>
      </c>
      <c r="H1798" s="7" t="s">
        <v>1034</v>
      </c>
      <c r="I1798" s="7" t="s">
        <v>72</v>
      </c>
      <c r="J1798" s="186"/>
      <c r="K1798" s="266">
        <f t="shared" si="397"/>
        <v>2024</v>
      </c>
      <c r="L1798" s="390" t="s">
        <v>5507</v>
      </c>
      <c r="M1798" s="390" t="s">
        <v>7542</v>
      </c>
      <c r="N1798" s="32" t="s">
        <v>7781</v>
      </c>
      <c r="O1798" s="32" t="s">
        <v>4708</v>
      </c>
      <c r="P1798" s="278"/>
      <c r="Q1798" s="233" t="s">
        <v>4707</v>
      </c>
      <c r="R1798" s="75">
        <v>750</v>
      </c>
      <c r="S1798" s="75">
        <v>510</v>
      </c>
      <c r="T1798" s="75">
        <v>1260</v>
      </c>
      <c r="U1798" s="200">
        <v>255</v>
      </c>
      <c r="V1798" s="287">
        <f t="shared" ca="1" si="398"/>
        <v>6</v>
      </c>
      <c r="W1798" s="75">
        <f t="shared" ca="1" si="399"/>
        <v>1615</v>
      </c>
      <c r="X1798" s="200">
        <f t="shared" ca="1" si="400"/>
        <v>2620</v>
      </c>
      <c r="Y1798" s="1"/>
      <c r="Z1798" s="31">
        <v>0.1</v>
      </c>
      <c r="AA1798" s="223">
        <v>0.09</v>
      </c>
      <c r="AB1798" s="302" t="s">
        <v>6385</v>
      </c>
      <c r="AC1798" s="302"/>
      <c r="AD1798" s="302"/>
      <c r="AE1798" s="302"/>
      <c r="AF1798">
        <f t="shared" si="389"/>
        <v>0</v>
      </c>
    </row>
    <row r="1799" spans="1:32" hidden="1" x14ac:dyDescent="0.25">
      <c r="A1799" s="322" t="s">
        <v>4709</v>
      </c>
      <c r="B1799" s="93" t="str">
        <f t="shared" si="396"/>
        <v>YES</v>
      </c>
      <c r="C1799" s="93" t="s">
        <v>5503</v>
      </c>
      <c r="D1799" s="4">
        <v>41718</v>
      </c>
      <c r="E1799" s="2">
        <v>41760</v>
      </c>
      <c r="F1799" s="2">
        <f t="shared" si="390"/>
        <v>45413</v>
      </c>
      <c r="G1799" s="6">
        <v>200</v>
      </c>
      <c r="H1799" s="7" t="s">
        <v>1034</v>
      </c>
      <c r="I1799" s="7" t="s">
        <v>72</v>
      </c>
      <c r="J1799" s="186"/>
      <c r="K1799" s="266">
        <f t="shared" si="397"/>
        <v>2024</v>
      </c>
      <c r="L1799" s="390" t="s">
        <v>5507</v>
      </c>
      <c r="M1799" s="390" t="s">
        <v>6026</v>
      </c>
      <c r="N1799" s="32" t="s">
        <v>7781</v>
      </c>
      <c r="O1799" s="32" t="s">
        <v>4711</v>
      </c>
      <c r="P1799" s="278"/>
      <c r="Q1799" s="233" t="s">
        <v>4710</v>
      </c>
      <c r="R1799" s="75">
        <v>855</v>
      </c>
      <c r="S1799" s="75">
        <v>1600</v>
      </c>
      <c r="T1799" s="75">
        <v>2455</v>
      </c>
      <c r="U1799" s="200">
        <v>300</v>
      </c>
      <c r="V1799" s="287">
        <f t="shared" ca="1" si="398"/>
        <v>6</v>
      </c>
      <c r="W1799" s="75">
        <f t="shared" ca="1" si="399"/>
        <v>1900</v>
      </c>
      <c r="X1799" s="200">
        <f t="shared" ca="1" si="400"/>
        <v>4055</v>
      </c>
      <c r="Y1799" s="1"/>
      <c r="Z1799" s="31">
        <v>0.1</v>
      </c>
      <c r="AA1799" s="223">
        <v>0.09</v>
      </c>
      <c r="AB1799" s="302" t="s">
        <v>6386</v>
      </c>
      <c r="AC1799" s="302"/>
      <c r="AD1799" s="302"/>
      <c r="AE1799" s="302"/>
      <c r="AF1799">
        <f t="shared" si="389"/>
        <v>0</v>
      </c>
    </row>
    <row r="1800" spans="1:32" hidden="1" x14ac:dyDescent="0.25">
      <c r="A1800" s="322" t="s">
        <v>4712</v>
      </c>
      <c r="B1800" s="93" t="str">
        <f t="shared" si="396"/>
        <v>YES</v>
      </c>
      <c r="C1800" s="93" t="s">
        <v>5503</v>
      </c>
      <c r="D1800" s="4">
        <v>41718</v>
      </c>
      <c r="E1800" s="2">
        <v>41760</v>
      </c>
      <c r="F1800" s="2">
        <f t="shared" si="390"/>
        <v>45413</v>
      </c>
      <c r="G1800" s="6">
        <v>145</v>
      </c>
      <c r="H1800" s="7" t="s">
        <v>1034</v>
      </c>
      <c r="I1800" s="7" t="s">
        <v>72</v>
      </c>
      <c r="J1800" s="186"/>
      <c r="K1800" s="266">
        <f t="shared" si="397"/>
        <v>2024</v>
      </c>
      <c r="L1800" s="390" t="s">
        <v>5507</v>
      </c>
      <c r="M1800" s="390" t="s">
        <v>5796</v>
      </c>
      <c r="N1800" s="32" t="s">
        <v>7781</v>
      </c>
      <c r="O1800" s="32" t="s">
        <v>4714</v>
      </c>
      <c r="P1800" s="278"/>
      <c r="Q1800" s="233" t="s">
        <v>4713</v>
      </c>
      <c r="R1800" s="75">
        <v>662.5</v>
      </c>
      <c r="S1800" s="75">
        <v>0</v>
      </c>
      <c r="T1800" s="75">
        <v>662.5</v>
      </c>
      <c r="U1800" s="200">
        <v>217.5</v>
      </c>
      <c r="V1800" s="287">
        <f t="shared" ca="1" si="398"/>
        <v>6</v>
      </c>
      <c r="W1800" s="75">
        <f t="shared" ca="1" si="399"/>
        <v>1377.5</v>
      </c>
      <c r="X1800" s="200">
        <f t="shared" ca="1" si="400"/>
        <v>1822.5</v>
      </c>
      <c r="Y1800" s="1"/>
      <c r="Z1800" s="31">
        <v>0.1</v>
      </c>
      <c r="AA1800" s="223">
        <v>0.09</v>
      </c>
      <c r="AB1800" s="302" t="s">
        <v>6387</v>
      </c>
      <c r="AC1800" s="302"/>
      <c r="AD1800" s="302"/>
      <c r="AE1800" s="302"/>
      <c r="AF1800">
        <f t="shared" si="389"/>
        <v>0</v>
      </c>
    </row>
    <row r="1801" spans="1:32" hidden="1" x14ac:dyDescent="0.25">
      <c r="A1801" s="322" t="s">
        <v>4715</v>
      </c>
      <c r="B1801" s="93" t="str">
        <f t="shared" si="396"/>
        <v>YES</v>
      </c>
      <c r="C1801" s="93" t="s">
        <v>5503</v>
      </c>
      <c r="D1801" s="4">
        <v>41718</v>
      </c>
      <c r="E1801" s="2">
        <v>41760</v>
      </c>
      <c r="F1801" s="2">
        <f t="shared" si="390"/>
        <v>45413</v>
      </c>
      <c r="G1801" s="6">
        <v>2.86</v>
      </c>
      <c r="H1801" s="7" t="s">
        <v>4717</v>
      </c>
      <c r="I1801" s="7" t="s">
        <v>79</v>
      </c>
      <c r="J1801" s="186"/>
      <c r="K1801" s="266">
        <f t="shared" si="397"/>
        <v>2024</v>
      </c>
      <c r="L1801" s="390" t="s">
        <v>7591</v>
      </c>
      <c r="M1801" s="390" t="s">
        <v>6145</v>
      </c>
      <c r="N1801" s="32" t="s">
        <v>7780</v>
      </c>
      <c r="O1801" s="32" t="s">
        <v>4718</v>
      </c>
      <c r="P1801" s="278"/>
      <c r="Q1801" s="233" t="s">
        <v>4716</v>
      </c>
      <c r="R1801" s="75">
        <v>165.5</v>
      </c>
      <c r="S1801" s="75">
        <v>30</v>
      </c>
      <c r="T1801" s="75">
        <v>195.5</v>
      </c>
      <c r="U1801" s="200">
        <v>4.5</v>
      </c>
      <c r="V1801" s="287">
        <f t="shared" ca="1" si="398"/>
        <v>6</v>
      </c>
      <c r="W1801" s="75">
        <f t="shared" ca="1" si="399"/>
        <v>28.5</v>
      </c>
      <c r="X1801" s="200">
        <f t="shared" ca="1" si="400"/>
        <v>219.5</v>
      </c>
      <c r="Y1801" s="1"/>
      <c r="Z1801" s="31">
        <v>0.1</v>
      </c>
      <c r="AA1801" s="223">
        <v>0.09</v>
      </c>
      <c r="AB1801" s="302" t="s">
        <v>7345</v>
      </c>
      <c r="AC1801" s="302"/>
      <c r="AD1801" s="302"/>
      <c r="AE1801" s="302"/>
      <c r="AF1801">
        <f t="shared" si="389"/>
        <v>0</v>
      </c>
    </row>
    <row r="1802" spans="1:32" hidden="1" x14ac:dyDescent="0.25">
      <c r="A1802" s="322" t="s">
        <v>4719</v>
      </c>
      <c r="B1802" s="93" t="str">
        <f t="shared" si="396"/>
        <v>YES</v>
      </c>
      <c r="C1802" s="93" t="s">
        <v>5503</v>
      </c>
      <c r="D1802" s="4">
        <v>41718</v>
      </c>
      <c r="E1802" s="2">
        <v>41760</v>
      </c>
      <c r="F1802" s="2">
        <f t="shared" si="390"/>
        <v>45413</v>
      </c>
      <c r="G1802" s="6">
        <v>199.88</v>
      </c>
      <c r="H1802" s="7" t="s">
        <v>1469</v>
      </c>
      <c r="I1802" s="7" t="s">
        <v>79</v>
      </c>
      <c r="J1802" s="186"/>
      <c r="K1802" s="266">
        <f t="shared" si="397"/>
        <v>2024</v>
      </c>
      <c r="L1802" s="390" t="s">
        <v>7603</v>
      </c>
      <c r="M1802" s="390" t="s">
        <v>6140</v>
      </c>
      <c r="N1802" s="32" t="s">
        <v>7780</v>
      </c>
      <c r="O1802" s="32" t="s">
        <v>4721</v>
      </c>
      <c r="P1802" s="278"/>
      <c r="Q1802" s="233" t="s">
        <v>4720</v>
      </c>
      <c r="R1802" s="75">
        <v>855</v>
      </c>
      <c r="S1802" s="75">
        <v>3200</v>
      </c>
      <c r="T1802" s="75">
        <v>4055</v>
      </c>
      <c r="U1802" s="200">
        <v>300</v>
      </c>
      <c r="V1802" s="287">
        <f t="shared" ca="1" si="398"/>
        <v>6</v>
      </c>
      <c r="W1802" s="75">
        <f t="shared" ca="1" si="399"/>
        <v>1900</v>
      </c>
      <c r="X1802" s="200">
        <f t="shared" ca="1" si="400"/>
        <v>5655</v>
      </c>
      <c r="Y1802" s="1"/>
      <c r="Z1802" s="31">
        <v>0.1</v>
      </c>
      <c r="AA1802" s="223">
        <v>0.09</v>
      </c>
      <c r="AB1802" s="302" t="s">
        <v>7346</v>
      </c>
      <c r="AC1802" s="308">
        <v>43816</v>
      </c>
      <c r="AD1802" s="309">
        <v>0.25</v>
      </c>
      <c r="AE1802" s="302" t="s">
        <v>8134</v>
      </c>
      <c r="AF1802">
        <f t="shared" si="389"/>
        <v>0</v>
      </c>
    </row>
    <row r="1803" spans="1:32" ht="39" hidden="1" customHeight="1" x14ac:dyDescent="0.25">
      <c r="A1803" s="322" t="s">
        <v>4722</v>
      </c>
      <c r="B1803" s="93" t="str">
        <f t="shared" si="396"/>
        <v>YES</v>
      </c>
      <c r="C1803" s="93" t="s">
        <v>5503</v>
      </c>
      <c r="D1803" s="4">
        <v>41718</v>
      </c>
      <c r="E1803" s="2">
        <v>41760</v>
      </c>
      <c r="F1803" s="2">
        <f t="shared" si="390"/>
        <v>45413</v>
      </c>
      <c r="G1803" s="6">
        <v>409.22</v>
      </c>
      <c r="H1803" s="7" t="s">
        <v>1437</v>
      </c>
      <c r="I1803" s="7" t="s">
        <v>79</v>
      </c>
      <c r="J1803" s="186"/>
      <c r="K1803" s="266">
        <f t="shared" si="397"/>
        <v>2024</v>
      </c>
      <c r="L1803" s="390" t="s">
        <v>7603</v>
      </c>
      <c r="M1803" s="390" t="s">
        <v>5577</v>
      </c>
      <c r="N1803" s="32" t="s">
        <v>7780</v>
      </c>
      <c r="O1803" s="32" t="s">
        <v>4724</v>
      </c>
      <c r="P1803" s="278"/>
      <c r="Q1803" s="233" t="s">
        <v>4723</v>
      </c>
      <c r="R1803" s="75">
        <v>1590</v>
      </c>
      <c r="S1803" s="75">
        <v>5330</v>
      </c>
      <c r="T1803" s="75">
        <v>6920</v>
      </c>
      <c r="U1803" s="200">
        <v>615</v>
      </c>
      <c r="V1803" s="287">
        <f t="shared" ca="1" si="398"/>
        <v>6</v>
      </c>
      <c r="W1803" s="75">
        <f t="shared" ca="1" si="399"/>
        <v>3895</v>
      </c>
      <c r="X1803" s="200">
        <f t="shared" ca="1" si="400"/>
        <v>10200</v>
      </c>
      <c r="Y1803" s="1"/>
      <c r="Z1803" s="31">
        <v>0.1</v>
      </c>
      <c r="AA1803" s="223">
        <v>0.09</v>
      </c>
      <c r="AB1803" s="302" t="s">
        <v>7347</v>
      </c>
      <c r="AC1803" s="308">
        <v>43535</v>
      </c>
      <c r="AD1803" s="309">
        <v>0.25</v>
      </c>
      <c r="AE1803" s="302" t="s">
        <v>7511</v>
      </c>
      <c r="AF1803">
        <f t="shared" si="389"/>
        <v>0</v>
      </c>
    </row>
    <row r="1804" spans="1:32" ht="26.25" hidden="1" x14ac:dyDescent="0.25">
      <c r="A1804" s="322" t="s">
        <v>4725</v>
      </c>
      <c r="B1804" s="93" t="str">
        <f t="shared" si="396"/>
        <v>YES</v>
      </c>
      <c r="C1804" s="93" t="s">
        <v>5503</v>
      </c>
      <c r="D1804" s="4">
        <v>41718</v>
      </c>
      <c r="E1804" s="2">
        <v>41760</v>
      </c>
      <c r="F1804" s="2">
        <f t="shared" si="390"/>
        <v>45413</v>
      </c>
      <c r="G1804" s="6">
        <v>2193</v>
      </c>
      <c r="H1804" s="7" t="s">
        <v>1469</v>
      </c>
      <c r="I1804" s="7" t="s">
        <v>79</v>
      </c>
      <c r="J1804" s="186"/>
      <c r="K1804" s="266">
        <f t="shared" si="397"/>
        <v>2024</v>
      </c>
      <c r="L1804" s="390" t="s">
        <v>7603</v>
      </c>
      <c r="M1804" s="390" t="s">
        <v>7537</v>
      </c>
      <c r="N1804" s="32" t="s">
        <v>7780</v>
      </c>
      <c r="O1804" s="32" t="s">
        <v>4727</v>
      </c>
      <c r="P1804" s="278"/>
      <c r="Q1804" s="233" t="s">
        <v>4726</v>
      </c>
      <c r="R1804" s="75">
        <v>7830.5</v>
      </c>
      <c r="S1804" s="75">
        <v>0</v>
      </c>
      <c r="T1804" s="75">
        <v>7830.5</v>
      </c>
      <c r="U1804" s="200">
        <v>3289.5</v>
      </c>
      <c r="V1804" s="287">
        <f t="shared" ca="1" si="398"/>
        <v>6</v>
      </c>
      <c r="W1804" s="75">
        <f t="shared" ca="1" si="399"/>
        <v>20833.5</v>
      </c>
      <c r="X1804" s="200">
        <f t="shared" ca="1" si="400"/>
        <v>25374.5</v>
      </c>
      <c r="Y1804" s="1"/>
      <c r="Z1804" s="31">
        <v>0.1</v>
      </c>
      <c r="AA1804" s="223">
        <v>0.09</v>
      </c>
      <c r="AB1804" s="302" t="s">
        <v>7348</v>
      </c>
      <c r="AC1804" s="308">
        <v>43816</v>
      </c>
      <c r="AD1804" s="309">
        <v>0.25</v>
      </c>
      <c r="AE1804" s="302" t="s">
        <v>8134</v>
      </c>
      <c r="AF1804">
        <f t="shared" si="389"/>
        <v>0</v>
      </c>
    </row>
    <row r="1805" spans="1:32" ht="39" hidden="1" x14ac:dyDescent="0.25">
      <c r="A1805" s="322" t="s">
        <v>4728</v>
      </c>
      <c r="B1805" s="93" t="str">
        <f t="shared" si="396"/>
        <v>YES</v>
      </c>
      <c r="C1805" s="93" t="s">
        <v>5503</v>
      </c>
      <c r="D1805" s="4">
        <v>41718</v>
      </c>
      <c r="E1805" s="11">
        <v>41730</v>
      </c>
      <c r="F1805" s="2">
        <f t="shared" si="390"/>
        <v>45383</v>
      </c>
      <c r="G1805" s="6">
        <v>2040</v>
      </c>
      <c r="H1805" s="7" t="s">
        <v>1469</v>
      </c>
      <c r="I1805" s="7" t="s">
        <v>79</v>
      </c>
      <c r="J1805" s="186"/>
      <c r="K1805" s="266">
        <f t="shared" si="397"/>
        <v>2024</v>
      </c>
      <c r="L1805" s="390" t="s">
        <v>7603</v>
      </c>
      <c r="M1805" s="390" t="s">
        <v>6140</v>
      </c>
      <c r="N1805" s="32" t="s">
        <v>7780</v>
      </c>
      <c r="O1805" s="32" t="s">
        <v>4730</v>
      </c>
      <c r="P1805" s="278"/>
      <c r="Q1805" s="233" t="s">
        <v>4729</v>
      </c>
      <c r="R1805" s="75">
        <v>7295</v>
      </c>
      <c r="S1805" s="75">
        <v>0</v>
      </c>
      <c r="T1805" s="75">
        <v>7295</v>
      </c>
      <c r="U1805" s="200">
        <v>3060</v>
      </c>
      <c r="V1805" s="287">
        <f t="shared" ca="1" si="398"/>
        <v>6</v>
      </c>
      <c r="W1805" s="75">
        <f t="shared" ca="1" si="399"/>
        <v>19380</v>
      </c>
      <c r="X1805" s="200">
        <f t="shared" ca="1" si="400"/>
        <v>23615</v>
      </c>
      <c r="Y1805" s="1"/>
      <c r="Z1805" s="31">
        <v>0.1</v>
      </c>
      <c r="AA1805" s="223">
        <v>0.09</v>
      </c>
      <c r="AB1805" s="302" t="s">
        <v>7349</v>
      </c>
      <c r="AC1805" s="308">
        <v>43816</v>
      </c>
      <c r="AD1805" s="309">
        <v>0.25</v>
      </c>
      <c r="AE1805" s="302" t="s">
        <v>8134</v>
      </c>
      <c r="AF1805">
        <f t="shared" si="389"/>
        <v>0</v>
      </c>
    </row>
    <row r="1806" spans="1:32" ht="39" hidden="1" x14ac:dyDescent="0.25">
      <c r="A1806" s="322" t="s">
        <v>4731</v>
      </c>
      <c r="B1806" s="93" t="str">
        <f t="shared" si="396"/>
        <v>YES</v>
      </c>
      <c r="C1806" s="93" t="s">
        <v>5503</v>
      </c>
      <c r="D1806" s="4">
        <v>41718</v>
      </c>
      <c r="E1806" s="11">
        <v>41730</v>
      </c>
      <c r="F1806" s="2">
        <f t="shared" si="390"/>
        <v>45383</v>
      </c>
      <c r="G1806" s="6">
        <v>1860</v>
      </c>
      <c r="H1806" s="7" t="s">
        <v>1469</v>
      </c>
      <c r="I1806" s="7" t="s">
        <v>79</v>
      </c>
      <c r="J1806" s="186"/>
      <c r="K1806" s="266">
        <f t="shared" si="397"/>
        <v>2024</v>
      </c>
      <c r="L1806" s="390" t="s">
        <v>7603</v>
      </c>
      <c r="M1806" s="390" t="s">
        <v>6140</v>
      </c>
      <c r="N1806" s="32" t="s">
        <v>7780</v>
      </c>
      <c r="O1806" s="32" t="s">
        <v>4733</v>
      </c>
      <c r="P1806" s="278"/>
      <c r="Q1806" s="233" t="s">
        <v>4732</v>
      </c>
      <c r="R1806" s="75">
        <v>6665</v>
      </c>
      <c r="S1806" s="75">
        <v>0</v>
      </c>
      <c r="T1806" s="75">
        <v>6665</v>
      </c>
      <c r="U1806" s="200">
        <v>2790</v>
      </c>
      <c r="V1806" s="287">
        <f t="shared" ca="1" si="398"/>
        <v>6</v>
      </c>
      <c r="W1806" s="75">
        <f t="shared" ca="1" si="399"/>
        <v>17670</v>
      </c>
      <c r="X1806" s="200">
        <f t="shared" ca="1" si="400"/>
        <v>21545</v>
      </c>
      <c r="Y1806" s="1"/>
      <c r="Z1806" s="31">
        <v>0.1</v>
      </c>
      <c r="AA1806" s="223">
        <v>0.09</v>
      </c>
      <c r="AB1806" s="302" t="s">
        <v>7350</v>
      </c>
      <c r="AC1806" s="308">
        <v>43816</v>
      </c>
      <c r="AD1806" s="309">
        <v>0.25</v>
      </c>
      <c r="AE1806" s="302" t="s">
        <v>8134</v>
      </c>
      <c r="AF1806">
        <f t="shared" si="389"/>
        <v>0</v>
      </c>
    </row>
    <row r="1807" spans="1:32" ht="39" hidden="1" x14ac:dyDescent="0.25">
      <c r="A1807" s="322" t="s">
        <v>4734</v>
      </c>
      <c r="B1807" s="93" t="str">
        <f t="shared" si="396"/>
        <v>YES</v>
      </c>
      <c r="C1807" s="93" t="s">
        <v>5503</v>
      </c>
      <c r="D1807" s="4">
        <v>41718</v>
      </c>
      <c r="E1807" s="11">
        <v>41730</v>
      </c>
      <c r="F1807" s="2">
        <f t="shared" si="390"/>
        <v>45383</v>
      </c>
      <c r="G1807" s="6">
        <v>2461</v>
      </c>
      <c r="H1807" s="7" t="s">
        <v>1469</v>
      </c>
      <c r="I1807" s="7" t="s">
        <v>79</v>
      </c>
      <c r="J1807" s="186"/>
      <c r="K1807" s="266">
        <f t="shared" si="397"/>
        <v>2024</v>
      </c>
      <c r="L1807" s="390" t="s">
        <v>7603</v>
      </c>
      <c r="M1807" s="390" t="s">
        <v>6140</v>
      </c>
      <c r="N1807" s="32" t="s">
        <v>7780</v>
      </c>
      <c r="O1807" s="32" t="s">
        <v>4736</v>
      </c>
      <c r="P1807" s="278"/>
      <c r="Q1807" s="233" t="s">
        <v>4735</v>
      </c>
      <c r="R1807" s="75">
        <v>8768.5</v>
      </c>
      <c r="S1807" s="75">
        <v>0</v>
      </c>
      <c r="T1807" s="75">
        <v>8768.5</v>
      </c>
      <c r="U1807" s="200">
        <v>3691.5</v>
      </c>
      <c r="V1807" s="287">
        <f t="shared" ca="1" si="398"/>
        <v>6</v>
      </c>
      <c r="W1807" s="75">
        <f t="shared" ca="1" si="399"/>
        <v>23379.5</v>
      </c>
      <c r="X1807" s="200">
        <f t="shared" ca="1" si="400"/>
        <v>28456.5</v>
      </c>
      <c r="Y1807" s="1"/>
      <c r="Z1807" s="31">
        <v>0.1</v>
      </c>
      <c r="AA1807" s="223">
        <v>0.09</v>
      </c>
      <c r="AB1807" s="302" t="s">
        <v>7351</v>
      </c>
      <c r="AC1807" s="308">
        <v>43816</v>
      </c>
      <c r="AD1807" s="309">
        <v>0.25</v>
      </c>
      <c r="AE1807" s="302" t="s">
        <v>8134</v>
      </c>
      <c r="AF1807">
        <f t="shared" si="389"/>
        <v>0</v>
      </c>
    </row>
    <row r="1808" spans="1:32" ht="39" hidden="1" x14ac:dyDescent="0.25">
      <c r="A1808" s="322" t="s">
        <v>4737</v>
      </c>
      <c r="B1808" s="93" t="str">
        <f t="shared" si="396"/>
        <v>YES</v>
      </c>
      <c r="C1808" s="93" t="s">
        <v>5503</v>
      </c>
      <c r="D1808" s="4">
        <v>41718</v>
      </c>
      <c r="E1808" s="11">
        <v>41730</v>
      </c>
      <c r="F1808" s="2">
        <f t="shared" si="390"/>
        <v>45383</v>
      </c>
      <c r="G1808" s="6">
        <v>2325</v>
      </c>
      <c r="H1808" s="7" t="s">
        <v>1469</v>
      </c>
      <c r="I1808" s="7" t="s">
        <v>79</v>
      </c>
      <c r="J1808" s="186"/>
      <c r="K1808" s="266">
        <f t="shared" si="397"/>
        <v>2024</v>
      </c>
      <c r="L1808" s="390" t="s">
        <v>7603</v>
      </c>
      <c r="M1808" s="390" t="s">
        <v>6140</v>
      </c>
      <c r="N1808" s="32" t="s">
        <v>7780</v>
      </c>
      <c r="O1808" s="32" t="s">
        <v>4739</v>
      </c>
      <c r="P1808" s="278"/>
      <c r="Q1808" s="233" t="s">
        <v>4738</v>
      </c>
      <c r="R1808" s="75">
        <v>8292.5</v>
      </c>
      <c r="S1808" s="75">
        <v>0</v>
      </c>
      <c r="T1808" s="75">
        <v>8292.5</v>
      </c>
      <c r="U1808" s="200">
        <v>3487.5</v>
      </c>
      <c r="V1808" s="287">
        <f t="shared" ca="1" si="398"/>
        <v>6</v>
      </c>
      <c r="W1808" s="75">
        <f t="shared" ca="1" si="399"/>
        <v>22087.5</v>
      </c>
      <c r="X1808" s="200">
        <f t="shared" ca="1" si="400"/>
        <v>26892.5</v>
      </c>
      <c r="Y1808" s="1"/>
      <c r="Z1808" s="31">
        <v>0.1</v>
      </c>
      <c r="AA1808" s="223">
        <v>0.09</v>
      </c>
      <c r="AB1808" s="302" t="s">
        <v>7352</v>
      </c>
      <c r="AC1808" s="308">
        <v>43816</v>
      </c>
      <c r="AD1808" s="309">
        <v>0.25</v>
      </c>
      <c r="AE1808" s="302" t="s">
        <v>8134</v>
      </c>
      <c r="AF1808">
        <f t="shared" si="389"/>
        <v>0</v>
      </c>
    </row>
    <row r="1809" spans="1:32" ht="26.25" hidden="1" x14ac:dyDescent="0.25">
      <c r="A1809" s="322" t="s">
        <v>4740</v>
      </c>
      <c r="B1809" s="93" t="str">
        <f t="shared" si="396"/>
        <v>YES</v>
      </c>
      <c r="C1809" s="93" t="s">
        <v>5503</v>
      </c>
      <c r="D1809" s="4">
        <v>41718</v>
      </c>
      <c r="E1809" s="2">
        <v>41760</v>
      </c>
      <c r="F1809" s="2">
        <f t="shared" si="390"/>
        <v>45413</v>
      </c>
      <c r="G1809" s="6">
        <v>1304.98</v>
      </c>
      <c r="H1809" s="7" t="s">
        <v>1469</v>
      </c>
      <c r="I1809" s="7" t="s">
        <v>79</v>
      </c>
      <c r="J1809" s="186"/>
      <c r="K1809" s="266">
        <f t="shared" si="397"/>
        <v>2024</v>
      </c>
      <c r="L1809" s="390" t="s">
        <v>7603</v>
      </c>
      <c r="M1809" s="390" t="s">
        <v>6140</v>
      </c>
      <c r="N1809" s="32" t="s">
        <v>7780</v>
      </c>
      <c r="O1809" s="32" t="s">
        <v>4742</v>
      </c>
      <c r="P1809" s="278"/>
      <c r="Q1809" s="233" t="s">
        <v>4741</v>
      </c>
      <c r="R1809" s="75">
        <v>4722.5</v>
      </c>
      <c r="S1809" s="75">
        <v>0</v>
      </c>
      <c r="T1809" s="75">
        <v>4722.5</v>
      </c>
      <c r="U1809" s="200">
        <v>1957.5</v>
      </c>
      <c r="V1809" s="287">
        <f t="shared" ca="1" si="398"/>
        <v>6</v>
      </c>
      <c r="W1809" s="75">
        <f t="shared" ca="1" si="399"/>
        <v>12397.5</v>
      </c>
      <c r="X1809" s="200">
        <f t="shared" ca="1" si="400"/>
        <v>15162.5</v>
      </c>
      <c r="Y1809" s="1"/>
      <c r="Z1809" s="31">
        <v>0.1</v>
      </c>
      <c r="AA1809" s="223">
        <v>0.09</v>
      </c>
      <c r="AB1809" s="302" t="s">
        <v>7353</v>
      </c>
      <c r="AC1809" s="308">
        <v>43816</v>
      </c>
      <c r="AD1809" s="309">
        <v>0.25</v>
      </c>
      <c r="AE1809" s="302" t="s">
        <v>8134</v>
      </c>
      <c r="AF1809">
        <f t="shared" si="389"/>
        <v>0</v>
      </c>
    </row>
    <row r="1810" spans="1:32" hidden="1" x14ac:dyDescent="0.25">
      <c r="A1810" s="322" t="s">
        <v>4743</v>
      </c>
      <c r="B1810" s="93" t="str">
        <f t="shared" si="396"/>
        <v>YES</v>
      </c>
      <c r="C1810" s="93" t="s">
        <v>5503</v>
      </c>
      <c r="D1810" s="4">
        <v>41718</v>
      </c>
      <c r="E1810" s="11">
        <v>41730</v>
      </c>
      <c r="F1810" s="2">
        <f t="shared" si="390"/>
        <v>45383</v>
      </c>
      <c r="G1810" s="6">
        <v>119.36</v>
      </c>
      <c r="H1810" s="7" t="s">
        <v>1469</v>
      </c>
      <c r="I1810" s="7" t="s">
        <v>79</v>
      </c>
      <c r="J1810" s="186"/>
      <c r="K1810" s="266">
        <f t="shared" si="397"/>
        <v>2024</v>
      </c>
      <c r="L1810" s="390" t="s">
        <v>7603</v>
      </c>
      <c r="M1810" s="390" t="s">
        <v>6140</v>
      </c>
      <c r="N1810" s="32" t="s">
        <v>7780</v>
      </c>
      <c r="O1810" s="32" t="s">
        <v>4745</v>
      </c>
      <c r="P1810" s="278"/>
      <c r="Q1810" s="233" t="s">
        <v>4744</v>
      </c>
      <c r="R1810" s="75">
        <v>575</v>
      </c>
      <c r="S1810" s="75">
        <v>0</v>
      </c>
      <c r="T1810" s="75">
        <v>575</v>
      </c>
      <c r="U1810" s="200">
        <v>180</v>
      </c>
      <c r="V1810" s="287">
        <f t="shared" ca="1" si="398"/>
        <v>6</v>
      </c>
      <c r="W1810" s="75">
        <f t="shared" ca="1" si="399"/>
        <v>1140</v>
      </c>
      <c r="X1810" s="200">
        <f t="shared" ca="1" si="400"/>
        <v>1535</v>
      </c>
      <c r="Y1810" s="1"/>
      <c r="Z1810" s="31">
        <v>0.1</v>
      </c>
      <c r="AA1810" s="223">
        <v>0.09</v>
      </c>
      <c r="AB1810" s="302" t="s">
        <v>7354</v>
      </c>
      <c r="AC1810" s="308">
        <v>43816</v>
      </c>
      <c r="AD1810" s="309">
        <v>0.25</v>
      </c>
      <c r="AE1810" s="302" t="s">
        <v>8134</v>
      </c>
      <c r="AF1810">
        <f t="shared" si="389"/>
        <v>0</v>
      </c>
    </row>
    <row r="1811" spans="1:32" ht="26.25" hidden="1" x14ac:dyDescent="0.25">
      <c r="A1811" s="322" t="s">
        <v>4746</v>
      </c>
      <c r="B1811" s="93" t="str">
        <f t="shared" si="396"/>
        <v>YES</v>
      </c>
      <c r="C1811" s="93" t="s">
        <v>5503</v>
      </c>
      <c r="D1811" s="4">
        <v>41718</v>
      </c>
      <c r="E1811" s="2">
        <v>41760</v>
      </c>
      <c r="F1811" s="2">
        <f t="shared" si="390"/>
        <v>45413</v>
      </c>
      <c r="G1811" s="6">
        <v>1740</v>
      </c>
      <c r="H1811" s="7" t="s">
        <v>4748</v>
      </c>
      <c r="I1811" s="7" t="s">
        <v>79</v>
      </c>
      <c r="J1811" s="186"/>
      <c r="K1811" s="266">
        <f t="shared" si="397"/>
        <v>2024</v>
      </c>
      <c r="L1811" s="390" t="s">
        <v>7603</v>
      </c>
      <c r="M1811" s="390" t="s">
        <v>6140</v>
      </c>
      <c r="N1811" s="32" t="s">
        <v>7780</v>
      </c>
      <c r="O1811" s="32" t="s">
        <v>4749</v>
      </c>
      <c r="P1811" s="278"/>
      <c r="Q1811" s="233" t="s">
        <v>4747</v>
      </c>
      <c r="R1811" s="75">
        <v>6245</v>
      </c>
      <c r="S1811" s="75">
        <v>0</v>
      </c>
      <c r="T1811" s="75">
        <v>6245</v>
      </c>
      <c r="U1811" s="200">
        <v>2610</v>
      </c>
      <c r="V1811" s="287">
        <f t="shared" ca="1" si="398"/>
        <v>6</v>
      </c>
      <c r="W1811" s="75">
        <f t="shared" ca="1" si="399"/>
        <v>16530</v>
      </c>
      <c r="X1811" s="200">
        <f t="shared" ca="1" si="400"/>
        <v>20165</v>
      </c>
      <c r="Y1811" s="1"/>
      <c r="Z1811" s="31">
        <v>0.1</v>
      </c>
      <c r="AA1811" s="223">
        <v>0.09</v>
      </c>
      <c r="AB1811" s="302" t="s">
        <v>7837</v>
      </c>
      <c r="AC1811" s="308">
        <v>43816</v>
      </c>
      <c r="AD1811" s="309">
        <v>0.25</v>
      </c>
      <c r="AE1811" s="302" t="s">
        <v>8135</v>
      </c>
      <c r="AF1811">
        <f t="shared" si="389"/>
        <v>0</v>
      </c>
    </row>
    <row r="1812" spans="1:32" ht="39" hidden="1" x14ac:dyDescent="0.25">
      <c r="A1812" s="322" t="s">
        <v>4750</v>
      </c>
      <c r="B1812" s="93" t="str">
        <f t="shared" si="396"/>
        <v>YES</v>
      </c>
      <c r="C1812" s="93" t="s">
        <v>5503</v>
      </c>
      <c r="D1812" s="4">
        <v>41718</v>
      </c>
      <c r="E1812" s="11">
        <v>41730</v>
      </c>
      <c r="F1812" s="2">
        <f t="shared" si="390"/>
        <v>45383</v>
      </c>
      <c r="G1812" s="6">
        <v>1332</v>
      </c>
      <c r="H1812" s="7" t="s">
        <v>4752</v>
      </c>
      <c r="I1812" s="7" t="s">
        <v>79</v>
      </c>
      <c r="J1812" s="186"/>
      <c r="K1812" s="266">
        <f t="shared" si="397"/>
        <v>2024</v>
      </c>
      <c r="L1812" s="390" t="s">
        <v>7603</v>
      </c>
      <c r="M1812" s="390" t="s">
        <v>5790</v>
      </c>
      <c r="N1812" s="32" t="s">
        <v>7780</v>
      </c>
      <c r="O1812" s="32" t="s">
        <v>4753</v>
      </c>
      <c r="P1812" s="278"/>
      <c r="Q1812" s="233" t="s">
        <v>4751</v>
      </c>
      <c r="R1812" s="75">
        <v>4817</v>
      </c>
      <c r="S1812" s="75">
        <v>0</v>
      </c>
      <c r="T1812" s="75">
        <v>4817</v>
      </c>
      <c r="U1812" s="200">
        <v>1998</v>
      </c>
      <c r="V1812" s="287">
        <f t="shared" ca="1" si="398"/>
        <v>6</v>
      </c>
      <c r="W1812" s="75">
        <f t="shared" ca="1" si="399"/>
        <v>12654</v>
      </c>
      <c r="X1812" s="200">
        <f t="shared" ca="1" si="400"/>
        <v>15473</v>
      </c>
      <c r="Y1812" s="1"/>
      <c r="Z1812" s="31">
        <v>0.1</v>
      </c>
      <c r="AA1812" s="223">
        <v>0.09</v>
      </c>
      <c r="AB1812" s="302" t="s">
        <v>7355</v>
      </c>
      <c r="AC1812" s="302"/>
      <c r="AD1812" s="302"/>
      <c r="AE1812" s="302"/>
      <c r="AF1812">
        <f t="shared" si="389"/>
        <v>0</v>
      </c>
    </row>
    <row r="1813" spans="1:32" ht="26.25" hidden="1" customHeight="1" x14ac:dyDescent="0.25">
      <c r="A1813" s="322" t="s">
        <v>4754</v>
      </c>
      <c r="B1813" s="93" t="str">
        <f t="shared" si="396"/>
        <v>YES</v>
      </c>
      <c r="C1813" s="93" t="s">
        <v>5503</v>
      </c>
      <c r="D1813" s="4">
        <v>41718</v>
      </c>
      <c r="E1813" s="11">
        <v>41730</v>
      </c>
      <c r="F1813" s="2">
        <f t="shared" si="390"/>
        <v>45383</v>
      </c>
      <c r="G1813" s="6">
        <v>1040</v>
      </c>
      <c r="H1813" s="7" t="s">
        <v>97</v>
      </c>
      <c r="I1813" s="7" t="s">
        <v>86</v>
      </c>
      <c r="J1813" s="186"/>
      <c r="K1813" s="266">
        <f t="shared" si="397"/>
        <v>2024</v>
      </c>
      <c r="L1813" s="301" t="s">
        <v>5834</v>
      </c>
      <c r="M1813" s="301" t="s">
        <v>7536</v>
      </c>
      <c r="N1813" s="32" t="s">
        <v>7779</v>
      </c>
      <c r="O1813" s="32" t="s">
        <v>4756</v>
      </c>
      <c r="P1813" s="278"/>
      <c r="Q1813" s="233" t="s">
        <v>4755</v>
      </c>
      <c r="R1813" s="75">
        <v>3795</v>
      </c>
      <c r="S1813" s="75">
        <v>0</v>
      </c>
      <c r="T1813" s="75">
        <v>3795</v>
      </c>
      <c r="U1813" s="200">
        <v>1560</v>
      </c>
      <c r="V1813" s="287">
        <f t="shared" ca="1" si="398"/>
        <v>6</v>
      </c>
      <c r="W1813" s="75">
        <f t="shared" ca="1" si="399"/>
        <v>9880</v>
      </c>
      <c r="X1813" s="200">
        <f t="shared" ca="1" si="400"/>
        <v>12115</v>
      </c>
      <c r="Y1813" s="1"/>
      <c r="Z1813" s="31">
        <v>0.1</v>
      </c>
      <c r="AA1813" s="223">
        <v>0.09</v>
      </c>
      <c r="AB1813" s="302" t="s">
        <v>7356</v>
      </c>
      <c r="AC1813" s="302"/>
      <c r="AD1813" s="302"/>
      <c r="AE1813" s="302"/>
      <c r="AF1813">
        <f t="shared" si="389"/>
        <v>0</v>
      </c>
    </row>
    <row r="1814" spans="1:32" ht="15.75" hidden="1" thickBot="1" x14ac:dyDescent="0.3">
      <c r="A1814" s="322"/>
      <c r="D1814" s="7"/>
      <c r="E1814" s="8"/>
      <c r="F1814" s="2"/>
      <c r="G1814" s="6"/>
      <c r="H1814" s="7"/>
      <c r="I1814" s="7"/>
      <c r="J1814" s="186"/>
      <c r="K1814" s="186"/>
      <c r="L1814" s="386"/>
      <c r="M1814" s="386"/>
      <c r="N1814" s="32"/>
      <c r="O1814" s="32"/>
      <c r="P1814" s="278"/>
      <c r="Q1814" s="233"/>
      <c r="R1814" s="76">
        <f>SUM(R1795:R1813)-340</f>
        <v>65321.5</v>
      </c>
      <c r="S1814" s="76">
        <f>SUM(S1795:S1813)</f>
        <v>331525</v>
      </c>
      <c r="T1814" s="76">
        <f>SUM(T1795:T1813)-340</f>
        <v>396846.5</v>
      </c>
      <c r="U1814" s="200"/>
      <c r="V1814" s="75"/>
      <c r="W1814" s="75"/>
      <c r="X1814" s="200"/>
      <c r="Y1814" s="1"/>
      <c r="Z1814" s="1"/>
      <c r="AA1814" s="219"/>
      <c r="AB1814" s="302"/>
      <c r="AC1814" s="302"/>
      <c r="AD1814" s="302"/>
      <c r="AE1814" s="302"/>
      <c r="AF1814">
        <f t="shared" si="389"/>
        <v>0</v>
      </c>
    </row>
    <row r="1815" spans="1:32" hidden="1" x14ac:dyDescent="0.25">
      <c r="A1815" s="322"/>
      <c r="D1815" s="7"/>
      <c r="E1815" s="8"/>
      <c r="F1815" s="2"/>
      <c r="G1815" s="7"/>
      <c r="H1815" s="7"/>
      <c r="I1815" s="7"/>
      <c r="J1815" s="186"/>
      <c r="K1815" s="186"/>
      <c r="L1815" s="386"/>
      <c r="M1815" s="386"/>
      <c r="N1815" s="32"/>
      <c r="O1815" s="32"/>
      <c r="P1815" s="278"/>
      <c r="Q1815" s="233"/>
      <c r="R1815" s="75"/>
      <c r="S1815" s="75"/>
      <c r="T1815" s="75"/>
      <c r="U1815" s="200"/>
      <c r="V1815" s="75"/>
      <c r="W1815" s="75"/>
      <c r="X1815" s="200"/>
      <c r="Y1815" s="1"/>
      <c r="Z1815" s="1"/>
      <c r="AA1815" s="219"/>
      <c r="AB1815" s="302"/>
      <c r="AC1815" s="302"/>
      <c r="AD1815" s="302"/>
      <c r="AE1815" s="302"/>
      <c r="AF1815">
        <f t="shared" si="389"/>
        <v>0</v>
      </c>
    </row>
    <row r="1816" spans="1:32" ht="39" hidden="1" x14ac:dyDescent="0.25">
      <c r="A1816" s="322" t="s">
        <v>4757</v>
      </c>
      <c r="B1816" s="93" t="str">
        <f>IF(COUNTIF(GIS,A1816),"YES","NO")</f>
        <v>YES</v>
      </c>
      <c r="C1816" s="93" t="s">
        <v>5503</v>
      </c>
      <c r="D1816" s="4">
        <v>41745</v>
      </c>
      <c r="E1816" s="2">
        <v>41791</v>
      </c>
      <c r="F1816" s="2">
        <f t="shared" si="390"/>
        <v>45444</v>
      </c>
      <c r="G1816" s="6">
        <v>27.66</v>
      </c>
      <c r="H1816" s="7" t="s">
        <v>4759</v>
      </c>
      <c r="I1816" s="7" t="s">
        <v>198</v>
      </c>
      <c r="J1816" s="372" t="s">
        <v>7671</v>
      </c>
      <c r="K1816" s="266">
        <f>YEAR(F1816)</f>
        <v>2024</v>
      </c>
      <c r="L1816" s="390" t="s">
        <v>5576</v>
      </c>
      <c r="M1816" s="390" t="s">
        <v>7605</v>
      </c>
      <c r="N1816" s="32" t="s">
        <v>4760</v>
      </c>
      <c r="O1816" s="32" t="s">
        <v>4761</v>
      </c>
      <c r="P1816" s="278"/>
      <c r="Q1816" s="233" t="s">
        <v>4758</v>
      </c>
      <c r="R1816" s="75">
        <v>253</v>
      </c>
      <c r="S1816" s="75">
        <v>81144</v>
      </c>
      <c r="T1816" s="75">
        <v>81397</v>
      </c>
      <c r="U1816" s="200">
        <v>42</v>
      </c>
      <c r="V1816" s="287">
        <f ca="1">IF(YEAR($W$3)-YEAR(E1816)&gt;9,10,IF(MONTH($W$3)&lt;MONTH(E1816),YEAR($W$3)-YEAR(E1816),YEAR($W$3)-YEAR(E1816)+1))</f>
        <v>6</v>
      </c>
      <c r="W1816" s="75">
        <f t="shared" ref="W1816:W1820" ca="1" si="401">IF(V1816&lt;6, ROUNDUP(G1816,0)*$W$6*V1816, ROUNDUP(G1816,0)*($W$6*5 + (V1816-5)*$W$7))</f>
        <v>266</v>
      </c>
      <c r="X1816" s="200">
        <f t="shared" ref="X1816:X1820" ca="1" si="402">IF(V1816=0,T1816,((T1816-ROUNDUP(G1816,0)*1.5)+W1816))</f>
        <v>81621</v>
      </c>
      <c r="Y1816" s="1"/>
      <c r="Z1816" s="31">
        <v>0.1</v>
      </c>
      <c r="AA1816" s="223">
        <v>0.09</v>
      </c>
      <c r="AB1816" s="302" t="s">
        <v>7357</v>
      </c>
      <c r="AC1816" s="302"/>
      <c r="AD1816" s="302"/>
      <c r="AE1816" s="302"/>
      <c r="AF1816">
        <f t="shared" si="389"/>
        <v>0</v>
      </c>
    </row>
    <row r="1817" spans="1:32" ht="39" hidden="1" x14ac:dyDescent="0.25">
      <c r="A1817" s="322" t="s">
        <v>4762</v>
      </c>
      <c r="B1817" s="114" t="str">
        <f>IF(COUNTIF(GIS,A1817),"YES","NO")</f>
        <v>NO</v>
      </c>
      <c r="C1817" s="93" t="s">
        <v>5503</v>
      </c>
      <c r="D1817" s="4">
        <v>41745</v>
      </c>
      <c r="E1817" s="2">
        <v>41791</v>
      </c>
      <c r="F1817" s="2">
        <f t="shared" si="390"/>
        <v>45444</v>
      </c>
      <c r="G1817" s="6">
        <v>1273.76</v>
      </c>
      <c r="H1817" s="7" t="s">
        <v>202</v>
      </c>
      <c r="I1817" s="7" t="s">
        <v>15</v>
      </c>
      <c r="J1817" s="186"/>
      <c r="K1817" s="266">
        <f>YEAR(F1817)</f>
        <v>2024</v>
      </c>
      <c r="L1817" s="390"/>
      <c r="M1817" s="390"/>
      <c r="N1817" s="32" t="s">
        <v>4764</v>
      </c>
      <c r="O1817" s="32" t="s">
        <v>4765</v>
      </c>
      <c r="P1817" s="278"/>
      <c r="Q1817" s="233" t="s">
        <v>4763</v>
      </c>
      <c r="R1817" s="75">
        <v>4614</v>
      </c>
      <c r="S1817" s="75">
        <v>284102</v>
      </c>
      <c r="T1817" s="75">
        <v>288716</v>
      </c>
      <c r="U1817" s="200">
        <v>1911</v>
      </c>
      <c r="V1817" s="287">
        <f ca="1">IF(YEAR($W$3)-YEAR(E1817)&gt;9,10,IF(MONTH($W$3)&lt;MONTH(E1817),YEAR($W$3)-YEAR(E1817),YEAR($W$3)-YEAR(E1817)+1))</f>
        <v>6</v>
      </c>
      <c r="W1817" s="75">
        <f t="shared" ca="1" si="401"/>
        <v>12103</v>
      </c>
      <c r="X1817" s="200">
        <f t="shared" ca="1" si="402"/>
        <v>298908</v>
      </c>
      <c r="Y1817" s="1"/>
      <c r="Z1817" s="31">
        <v>0.1</v>
      </c>
      <c r="AA1817" s="223">
        <v>0.09</v>
      </c>
      <c r="AB1817" s="302" t="s">
        <v>7358</v>
      </c>
      <c r="AC1817" s="302"/>
      <c r="AD1817" s="302"/>
      <c r="AE1817" s="302"/>
      <c r="AF1817">
        <f t="shared" si="389"/>
        <v>0</v>
      </c>
    </row>
    <row r="1818" spans="1:32" ht="26.25" hidden="1" x14ac:dyDescent="0.25">
      <c r="A1818" s="322" t="s">
        <v>4766</v>
      </c>
      <c r="B1818" s="114" t="str">
        <f>IF(COUNTIF(GIS,A1818),"YES","NO")</f>
        <v>NO</v>
      </c>
      <c r="C1818" s="93" t="s">
        <v>5503</v>
      </c>
      <c r="D1818" s="4">
        <v>41745</v>
      </c>
      <c r="E1818" s="2">
        <v>41791</v>
      </c>
      <c r="F1818" s="2">
        <f t="shared" si="390"/>
        <v>45444</v>
      </c>
      <c r="G1818" s="6">
        <v>122</v>
      </c>
      <c r="H1818" s="7" t="s">
        <v>862</v>
      </c>
      <c r="I1818" s="7" t="s">
        <v>15</v>
      </c>
      <c r="J1818" s="186"/>
      <c r="K1818" s="266">
        <f>YEAR(F1818)</f>
        <v>2024</v>
      </c>
      <c r="L1818" s="390"/>
      <c r="M1818" s="390"/>
      <c r="N1818" s="32" t="s">
        <v>4768</v>
      </c>
      <c r="O1818" s="32" t="s">
        <v>4769</v>
      </c>
      <c r="P1818" s="278"/>
      <c r="Q1818" s="233" t="s">
        <v>4767</v>
      </c>
      <c r="R1818" s="75">
        <v>582</v>
      </c>
      <c r="S1818" s="75">
        <v>3416</v>
      </c>
      <c r="T1818" s="75">
        <v>3998</v>
      </c>
      <c r="U1818" s="200">
        <v>183</v>
      </c>
      <c r="V1818" s="287">
        <f ca="1">IF(YEAR($W$3)-YEAR(E1818)&gt;9,10,IF(MONTH($W$3)&lt;MONTH(E1818),YEAR($W$3)-YEAR(E1818),YEAR($W$3)-YEAR(E1818)+1))</f>
        <v>6</v>
      </c>
      <c r="W1818" s="75">
        <f t="shared" ca="1" si="401"/>
        <v>1159</v>
      </c>
      <c r="X1818" s="200">
        <f t="shared" ca="1" si="402"/>
        <v>4974</v>
      </c>
      <c r="Y1818" s="1"/>
      <c r="Z1818" s="31">
        <v>0.1</v>
      </c>
      <c r="AA1818" s="223">
        <v>0.09</v>
      </c>
      <c r="AB1818" s="302" t="s">
        <v>7359</v>
      </c>
      <c r="AC1818" s="302"/>
      <c r="AD1818" s="302"/>
      <c r="AE1818" s="302"/>
      <c r="AF1818">
        <f t="shared" si="389"/>
        <v>0</v>
      </c>
    </row>
    <row r="1819" spans="1:32" ht="26.25" hidden="1" x14ac:dyDescent="0.25">
      <c r="A1819" s="322" t="s">
        <v>4770</v>
      </c>
      <c r="B1819" s="114" t="str">
        <f>IF(COUNTIF(GIS,A1819),"YES","NO")</f>
        <v>NO</v>
      </c>
      <c r="C1819" s="93" t="s">
        <v>5503</v>
      </c>
      <c r="D1819" s="4">
        <v>41745</v>
      </c>
      <c r="E1819" s="2">
        <v>41791</v>
      </c>
      <c r="F1819" s="2">
        <f t="shared" si="390"/>
        <v>45444</v>
      </c>
      <c r="G1819" s="6">
        <v>237</v>
      </c>
      <c r="H1819" s="7" t="s">
        <v>862</v>
      </c>
      <c r="I1819" s="7" t="s">
        <v>15</v>
      </c>
      <c r="J1819" s="186"/>
      <c r="K1819" s="266">
        <f>YEAR(F1819)</f>
        <v>2024</v>
      </c>
      <c r="L1819" s="390"/>
      <c r="M1819" s="390"/>
      <c r="N1819" s="32" t="s">
        <v>4772</v>
      </c>
      <c r="O1819" s="32" t="s">
        <v>4769</v>
      </c>
      <c r="P1819" s="278"/>
      <c r="Q1819" s="233" t="s">
        <v>4771</v>
      </c>
      <c r="R1819" s="75">
        <v>984.5</v>
      </c>
      <c r="S1819" s="75">
        <v>23700</v>
      </c>
      <c r="T1819" s="75">
        <v>24684.5</v>
      </c>
      <c r="U1819" s="200">
        <v>355.5</v>
      </c>
      <c r="V1819" s="287">
        <f ca="1">IF(YEAR($W$3)-YEAR(E1819)&gt;9,10,IF(MONTH($W$3)&lt;MONTH(E1819),YEAR($W$3)-YEAR(E1819),YEAR($W$3)-YEAR(E1819)+1))</f>
        <v>6</v>
      </c>
      <c r="W1819" s="75">
        <f t="shared" ca="1" si="401"/>
        <v>2251.5</v>
      </c>
      <c r="X1819" s="200">
        <f t="shared" ca="1" si="402"/>
        <v>26580.5</v>
      </c>
      <c r="Y1819" s="1"/>
      <c r="Z1819" s="31">
        <v>0.1</v>
      </c>
      <c r="AA1819" s="223">
        <v>0.09</v>
      </c>
      <c r="AB1819" s="302" t="s">
        <v>7360</v>
      </c>
      <c r="AC1819" s="302"/>
      <c r="AD1819" s="302"/>
      <c r="AE1819" s="302"/>
      <c r="AF1819">
        <f t="shared" si="389"/>
        <v>0</v>
      </c>
    </row>
    <row r="1820" spans="1:32" ht="26.25" hidden="1" x14ac:dyDescent="0.25">
      <c r="A1820" s="322" t="s">
        <v>4773</v>
      </c>
      <c r="B1820" s="114" t="str">
        <f>IF(COUNTIF(GIS,A1820),"YES","NO")</f>
        <v>NO</v>
      </c>
      <c r="C1820" s="93" t="s">
        <v>5503</v>
      </c>
      <c r="D1820" s="4">
        <v>41745</v>
      </c>
      <c r="E1820" s="2">
        <v>41791</v>
      </c>
      <c r="F1820" s="2">
        <f t="shared" si="390"/>
        <v>45444</v>
      </c>
      <c r="G1820" s="6">
        <v>305</v>
      </c>
      <c r="H1820" s="7" t="s">
        <v>862</v>
      </c>
      <c r="I1820" s="7" t="s">
        <v>15</v>
      </c>
      <c r="J1820" s="186"/>
      <c r="K1820" s="266">
        <f>YEAR(F1820)</f>
        <v>2024</v>
      </c>
      <c r="L1820" s="390"/>
      <c r="M1820" s="390"/>
      <c r="N1820" s="32" t="s">
        <v>4775</v>
      </c>
      <c r="O1820" s="32" t="s">
        <v>4769</v>
      </c>
      <c r="P1820" s="278"/>
      <c r="Q1820" s="233" t="s">
        <v>4774</v>
      </c>
      <c r="R1820" s="75">
        <v>1222.5</v>
      </c>
      <c r="S1820" s="75">
        <v>30500</v>
      </c>
      <c r="T1820" s="75">
        <v>31722.5</v>
      </c>
      <c r="U1820" s="200">
        <v>457.5</v>
      </c>
      <c r="V1820" s="287">
        <f ca="1">IF(YEAR($W$3)-YEAR(E1820)&gt;9,10,IF(MONTH($W$3)&lt;MONTH(E1820),YEAR($W$3)-YEAR(E1820),YEAR($W$3)-YEAR(E1820)+1))</f>
        <v>6</v>
      </c>
      <c r="W1820" s="75">
        <f t="shared" ca="1" si="401"/>
        <v>2897.5</v>
      </c>
      <c r="X1820" s="200">
        <f t="shared" ca="1" si="402"/>
        <v>34162.5</v>
      </c>
      <c r="Y1820" s="1"/>
      <c r="Z1820" s="31">
        <v>0.1</v>
      </c>
      <c r="AA1820" s="223">
        <v>0.09</v>
      </c>
      <c r="AB1820" s="302" t="s">
        <v>7361</v>
      </c>
      <c r="AC1820" s="302"/>
      <c r="AD1820" s="302"/>
      <c r="AE1820" s="302"/>
      <c r="AF1820">
        <f t="shared" ref="AF1820:AF1883" si="403">COUNTIF(FilterList,A1820)</f>
        <v>0</v>
      </c>
    </row>
    <row r="1821" spans="1:32" ht="15.75" hidden="1" thickBot="1" x14ac:dyDescent="0.3">
      <c r="A1821" s="322"/>
      <c r="D1821" s="7"/>
      <c r="E1821" s="8"/>
      <c r="F1821" s="2"/>
      <c r="G1821" s="6"/>
      <c r="H1821" s="7"/>
      <c r="I1821" s="7"/>
      <c r="J1821" s="186"/>
      <c r="K1821" s="186"/>
      <c r="L1821" s="386"/>
      <c r="M1821" s="386"/>
      <c r="N1821" s="32"/>
      <c r="O1821" s="32"/>
      <c r="P1821" s="278"/>
      <c r="Q1821" s="233"/>
      <c r="R1821" s="76">
        <v>7656</v>
      </c>
      <c r="S1821" s="76">
        <v>422862</v>
      </c>
      <c r="T1821" s="76">
        <v>430518</v>
      </c>
      <c r="U1821" s="200"/>
      <c r="V1821" s="75"/>
      <c r="W1821" s="75"/>
      <c r="X1821" s="200"/>
      <c r="Y1821" s="1"/>
      <c r="Z1821" s="1"/>
      <c r="AA1821" s="219"/>
      <c r="AB1821" s="302"/>
      <c r="AC1821" s="302"/>
      <c r="AD1821" s="302"/>
      <c r="AE1821" s="302"/>
      <c r="AF1821">
        <f t="shared" si="403"/>
        <v>0</v>
      </c>
    </row>
    <row r="1822" spans="1:32" hidden="1" x14ac:dyDescent="0.25">
      <c r="A1822" s="322"/>
      <c r="D1822" s="7"/>
      <c r="E1822" s="8"/>
      <c r="F1822" s="2"/>
      <c r="G1822" s="6"/>
      <c r="H1822" s="7"/>
      <c r="I1822" s="7"/>
      <c r="J1822" s="186"/>
      <c r="K1822" s="186"/>
      <c r="L1822" s="386"/>
      <c r="M1822" s="386"/>
      <c r="N1822" s="32"/>
      <c r="O1822" s="32"/>
      <c r="P1822" s="278"/>
      <c r="Q1822" s="233"/>
      <c r="R1822" s="75"/>
      <c r="S1822" s="75"/>
      <c r="T1822" s="75"/>
      <c r="U1822" s="200"/>
      <c r="V1822" s="75"/>
      <c r="W1822" s="75"/>
      <c r="X1822" s="200"/>
      <c r="Y1822" s="1"/>
      <c r="Z1822" s="1"/>
      <c r="AA1822" s="219"/>
      <c r="AB1822" s="302"/>
      <c r="AC1822" s="302"/>
      <c r="AD1822" s="302"/>
      <c r="AE1822" s="302"/>
      <c r="AF1822">
        <f t="shared" si="403"/>
        <v>0</v>
      </c>
    </row>
    <row r="1823" spans="1:32" hidden="1" x14ac:dyDescent="0.25">
      <c r="A1823" s="322" t="s">
        <v>4776</v>
      </c>
      <c r="B1823" s="93" t="str">
        <f>IF(COUNTIF(GIS,A1823),"YES","NO")</f>
        <v>YES</v>
      </c>
      <c r="C1823" s="93" t="s">
        <v>5503</v>
      </c>
      <c r="D1823" s="4">
        <v>41809</v>
      </c>
      <c r="E1823" s="11">
        <v>41883</v>
      </c>
      <c r="F1823" s="2">
        <f t="shared" ref="F1823:F1884" si="404">DATE(YEAR(E1823)+10,MONTH(E1823),DAY(E1823))</f>
        <v>45536</v>
      </c>
      <c r="G1823" s="6">
        <v>80</v>
      </c>
      <c r="H1823" s="7" t="s">
        <v>1625</v>
      </c>
      <c r="I1823" s="7" t="s">
        <v>308</v>
      </c>
      <c r="J1823" s="109"/>
      <c r="K1823" s="266">
        <f>YEAR(F1823)</f>
        <v>2024</v>
      </c>
      <c r="L1823" s="391" t="s">
        <v>5885</v>
      </c>
      <c r="M1823" s="390" t="s">
        <v>5562</v>
      </c>
      <c r="N1823" s="32" t="s">
        <v>7426</v>
      </c>
      <c r="O1823" s="32" t="s">
        <v>4845</v>
      </c>
      <c r="P1823" s="278"/>
      <c r="Q1823" s="233" t="s">
        <v>4832</v>
      </c>
      <c r="R1823" s="75">
        <v>435</v>
      </c>
      <c r="S1823" s="75">
        <v>16640</v>
      </c>
      <c r="T1823" s="75">
        <v>17075</v>
      </c>
      <c r="U1823" s="200">
        <v>120</v>
      </c>
      <c r="V1823" s="287">
        <f ca="1">IF(YEAR($W$3)-YEAR(E1823)&gt;9,10,IF(MONTH($W$3)&lt;MONTH(E1823),YEAR($W$3)-YEAR(E1823),YEAR($W$3)-YEAR(E1823)+1))</f>
        <v>6</v>
      </c>
      <c r="W1823" s="75">
        <f ca="1">IF(V1823&lt;6, ROUNDUP(G1823,0)*$W$6*V1823, ROUNDUP(G1823,0)*($W$6*5 + (V1823-5)*$W$7))</f>
        <v>760</v>
      </c>
      <c r="X1823" s="200">
        <f ca="1">IF(V1823=0,T1823,((T1823-ROUNDUP(G1823,0)*1.5)+W1823))</f>
        <v>17715</v>
      </c>
      <c r="Y1823" s="1"/>
      <c r="Z1823" s="31">
        <v>0.1</v>
      </c>
      <c r="AA1823" s="223">
        <v>0.09</v>
      </c>
      <c r="AB1823" s="302" t="s">
        <v>6341</v>
      </c>
      <c r="AC1823" s="302"/>
      <c r="AD1823" s="302"/>
      <c r="AE1823" s="302"/>
      <c r="AF1823">
        <f t="shared" si="403"/>
        <v>0</v>
      </c>
    </row>
    <row r="1824" spans="1:32" hidden="1" x14ac:dyDescent="0.25">
      <c r="A1824" s="327"/>
      <c r="D1824" s="7"/>
      <c r="E1824" s="8"/>
      <c r="F1824" s="2"/>
      <c r="G1824" s="6"/>
      <c r="H1824" s="7"/>
      <c r="I1824" s="7"/>
      <c r="J1824" s="186"/>
      <c r="K1824" s="186"/>
      <c r="L1824" s="386"/>
      <c r="M1824" s="386"/>
      <c r="N1824" s="32" t="s">
        <v>7426</v>
      </c>
      <c r="O1824" s="32"/>
      <c r="P1824" s="278"/>
      <c r="Q1824" s="233"/>
      <c r="R1824" s="75"/>
      <c r="S1824" s="75"/>
      <c r="T1824" s="75"/>
      <c r="U1824" s="200"/>
      <c r="V1824" s="75"/>
      <c r="W1824" s="75"/>
      <c r="X1824" s="200"/>
      <c r="Y1824" s="1"/>
      <c r="Z1824" s="1"/>
      <c r="AA1824" s="219"/>
      <c r="AB1824" s="302"/>
      <c r="AC1824" s="302"/>
      <c r="AD1824" s="302"/>
      <c r="AE1824" s="302"/>
      <c r="AF1824">
        <f t="shared" si="403"/>
        <v>0</v>
      </c>
    </row>
    <row r="1825" spans="1:32" ht="26.25" hidden="1" x14ac:dyDescent="0.25">
      <c r="A1825" s="322" t="s">
        <v>4840</v>
      </c>
      <c r="B1825" s="93" t="str">
        <f>IF(COUNTIF(GIS,A1825),"YES","NO")</f>
        <v>YES</v>
      </c>
      <c r="C1825" s="93" t="s">
        <v>5503</v>
      </c>
      <c r="D1825" s="4">
        <v>41900</v>
      </c>
      <c r="E1825" s="2">
        <v>41944</v>
      </c>
      <c r="F1825" s="2">
        <f t="shared" si="404"/>
        <v>45597</v>
      </c>
      <c r="G1825" s="6">
        <v>40.049999999999997</v>
      </c>
      <c r="H1825" s="7" t="s">
        <v>248</v>
      </c>
      <c r="I1825" s="7" t="s">
        <v>308</v>
      </c>
      <c r="J1825" s="105" t="s">
        <v>7655</v>
      </c>
      <c r="K1825" s="266">
        <f>YEAR(F1825)</f>
        <v>2024</v>
      </c>
      <c r="L1825" s="390" t="s">
        <v>5793</v>
      </c>
      <c r="M1825" s="390" t="s">
        <v>7595</v>
      </c>
      <c r="N1825" s="32" t="s">
        <v>7426</v>
      </c>
      <c r="O1825" s="32" t="s">
        <v>4844</v>
      </c>
      <c r="P1825" s="278"/>
      <c r="Q1825" s="233" t="s">
        <v>4842</v>
      </c>
      <c r="R1825" s="75">
        <f>43266.5</f>
        <v>43266.5</v>
      </c>
      <c r="S1825" s="75">
        <f>+T1825-R1825</f>
        <v>0</v>
      </c>
      <c r="T1825" s="75">
        <v>43266.5</v>
      </c>
      <c r="U1825" s="200">
        <v>61.5</v>
      </c>
      <c r="V1825" s="287">
        <f ca="1">IF(YEAR($W$3)-YEAR(E1825)&gt;9,10,IF(MONTH($W$3)&lt;MONTH(E1825),YEAR($W$3)-YEAR(E1825),YEAR($W$3)-YEAR(E1825)+1))</f>
        <v>6</v>
      </c>
      <c r="W1825" s="75">
        <f t="shared" ref="W1825:W1826" ca="1" si="405">IF(V1825&lt;6, ROUNDUP(G1825,0)*$W$6*V1825, ROUNDUP(G1825,0)*($W$6*5 + (V1825-5)*$W$7))</f>
        <v>389.5</v>
      </c>
      <c r="X1825" s="200">
        <f t="shared" ref="X1825:X1826" ca="1" si="406">IF(V1825=0,T1825,((T1825-ROUNDUP(G1825,0)*1.5)+W1825))</f>
        <v>43594.5</v>
      </c>
      <c r="Y1825" s="1"/>
      <c r="Z1825" s="31">
        <f>(0.5*0.1)</f>
        <v>0.05</v>
      </c>
      <c r="AA1825" s="223">
        <f>(0.5*0.09)</f>
        <v>4.4999999999999998E-2</v>
      </c>
      <c r="AB1825" s="302"/>
      <c r="AC1825" s="302"/>
      <c r="AD1825" s="302"/>
      <c r="AE1825" s="302"/>
      <c r="AF1825">
        <f t="shared" si="403"/>
        <v>0</v>
      </c>
    </row>
    <row r="1826" spans="1:32" ht="26.25" hidden="1" x14ac:dyDescent="0.25">
      <c r="A1826" s="322" t="s">
        <v>4841</v>
      </c>
      <c r="B1826" s="93" t="str">
        <f>IF(COUNTIF(GIS,A1826),"YES","NO")</f>
        <v>YES</v>
      </c>
      <c r="C1826" s="93" t="s">
        <v>5503</v>
      </c>
      <c r="D1826" s="4">
        <v>41900</v>
      </c>
      <c r="E1826" s="2">
        <v>41944</v>
      </c>
      <c r="F1826" s="2">
        <f t="shared" si="404"/>
        <v>45597</v>
      </c>
      <c r="G1826" s="6">
        <v>40.200000000000003</v>
      </c>
      <c r="H1826" s="7" t="s">
        <v>4846</v>
      </c>
      <c r="I1826" s="7" t="s">
        <v>308</v>
      </c>
      <c r="J1826" s="105" t="s">
        <v>7655</v>
      </c>
      <c r="K1826" s="266">
        <f>YEAR(F1826)</f>
        <v>2024</v>
      </c>
      <c r="L1826" s="390" t="s">
        <v>5875</v>
      </c>
      <c r="M1826" s="390" t="s">
        <v>6133</v>
      </c>
      <c r="N1826" s="32" t="s">
        <v>7426</v>
      </c>
      <c r="O1826" s="32" t="s">
        <v>4847</v>
      </c>
      <c r="P1826" s="278"/>
      <c r="Q1826" s="233" t="s">
        <v>4843</v>
      </c>
      <c r="R1826" s="75">
        <v>6366.5</v>
      </c>
      <c r="S1826" s="75">
        <f>+T1826-R1826</f>
        <v>0</v>
      </c>
      <c r="T1826" s="75">
        <v>6366.5</v>
      </c>
      <c r="U1826" s="200">
        <v>61.5</v>
      </c>
      <c r="V1826" s="287">
        <f ca="1">IF(YEAR($W$3)-YEAR(E1826)&gt;9,10,IF(MONTH($W$3)&lt;MONTH(E1826),YEAR($W$3)-YEAR(E1826),YEAR($W$3)-YEAR(E1826)+1))</f>
        <v>6</v>
      </c>
      <c r="W1826" s="75">
        <f t="shared" ca="1" si="405"/>
        <v>389.5</v>
      </c>
      <c r="X1826" s="200">
        <f t="shared" ca="1" si="406"/>
        <v>6694.5</v>
      </c>
      <c r="Y1826" s="1"/>
      <c r="Z1826" s="31">
        <f>(0.5*0.1)</f>
        <v>0.05</v>
      </c>
      <c r="AA1826" s="223">
        <f>(0.5*0.09)</f>
        <v>4.4999999999999998E-2</v>
      </c>
      <c r="AB1826" s="302"/>
      <c r="AC1826" s="302"/>
      <c r="AD1826" s="302"/>
      <c r="AE1826" s="302"/>
      <c r="AF1826">
        <f t="shared" si="403"/>
        <v>0</v>
      </c>
    </row>
    <row r="1827" spans="1:32" ht="15.75" hidden="1" thickBot="1" x14ac:dyDescent="0.3">
      <c r="A1827" s="327"/>
      <c r="D1827" s="7"/>
      <c r="E1827" s="8"/>
      <c r="F1827" s="2"/>
      <c r="G1827" s="6"/>
      <c r="H1827" s="7"/>
      <c r="I1827" s="7"/>
      <c r="J1827" s="186"/>
      <c r="K1827" s="186"/>
      <c r="L1827" s="386"/>
      <c r="M1827" s="386"/>
      <c r="N1827" s="32"/>
      <c r="O1827" s="32"/>
      <c r="P1827" s="278"/>
      <c r="Q1827" s="233"/>
      <c r="R1827" s="76">
        <f>SUM(R1825:R1826)-SUM(R1825:R1826)/2</f>
        <v>24816.5</v>
      </c>
      <c r="S1827" s="76">
        <f t="shared" ref="S1827:T1827" si="407">SUM(S1825:S1826)-SUM(S1825:S1826)/2</f>
        <v>0</v>
      </c>
      <c r="T1827" s="76">
        <f t="shared" si="407"/>
        <v>24816.5</v>
      </c>
      <c r="U1827" s="200"/>
      <c r="V1827" s="75"/>
      <c r="W1827" s="75"/>
      <c r="X1827" s="200"/>
      <c r="Y1827" s="1"/>
      <c r="Z1827" s="1"/>
      <c r="AA1827" s="219"/>
      <c r="AB1827" s="302"/>
      <c r="AC1827" s="302"/>
      <c r="AD1827" s="302"/>
      <c r="AE1827" s="302"/>
      <c r="AF1827">
        <f t="shared" si="403"/>
        <v>0</v>
      </c>
    </row>
    <row r="1828" spans="1:32" hidden="1" x14ac:dyDescent="0.25">
      <c r="A1828" s="327"/>
      <c r="D1828" s="7"/>
      <c r="E1828" s="8"/>
      <c r="F1828" s="2"/>
      <c r="G1828" s="6"/>
      <c r="H1828" s="7"/>
      <c r="I1828" s="7"/>
      <c r="J1828" s="186"/>
      <c r="K1828" s="186"/>
      <c r="L1828" s="386"/>
      <c r="M1828" s="386"/>
      <c r="N1828" s="32"/>
      <c r="O1828" s="32"/>
      <c r="P1828" s="278"/>
      <c r="Q1828" s="233"/>
      <c r="R1828" s="75"/>
      <c r="S1828" s="75"/>
      <c r="T1828" s="75"/>
      <c r="U1828" s="200"/>
      <c r="V1828" s="75"/>
      <c r="W1828" s="75"/>
      <c r="X1828" s="200"/>
      <c r="Y1828" s="1"/>
      <c r="Z1828" s="1"/>
      <c r="AA1828" s="219"/>
      <c r="AB1828" s="302"/>
      <c r="AC1828" s="302"/>
      <c r="AD1828" s="302"/>
      <c r="AE1828" s="302"/>
      <c r="AF1828">
        <f t="shared" si="403"/>
        <v>0</v>
      </c>
    </row>
    <row r="1829" spans="1:32" ht="26.25" hidden="1" x14ac:dyDescent="0.25">
      <c r="A1829" s="322" t="s">
        <v>4850</v>
      </c>
      <c r="B1829" s="93" t="str">
        <f t="shared" ref="B1829:B1834" si="408">IF(COUNTIF(GIS,A1829),"YES","NO")</f>
        <v>YES</v>
      </c>
      <c r="C1829" s="93" t="s">
        <v>5503</v>
      </c>
      <c r="D1829" s="4">
        <v>41934</v>
      </c>
      <c r="E1829" s="2">
        <v>42309</v>
      </c>
      <c r="F1829" s="2">
        <f t="shared" si="404"/>
        <v>45962</v>
      </c>
      <c r="G1829" s="6">
        <v>1035</v>
      </c>
      <c r="H1829" s="7" t="s">
        <v>904</v>
      </c>
      <c r="I1829" s="7" t="s">
        <v>512</v>
      </c>
      <c r="J1829" s="105" t="s">
        <v>6287</v>
      </c>
      <c r="K1829" s="266">
        <f t="shared" ref="K1829:K1834" si="409">YEAR(F1829)</f>
        <v>2025</v>
      </c>
      <c r="L1829" s="390" t="s">
        <v>7602</v>
      </c>
      <c r="M1829" s="390" t="s">
        <v>7592</v>
      </c>
      <c r="N1829" s="32" t="s">
        <v>7777</v>
      </c>
      <c r="O1829" s="32" t="s">
        <v>5169</v>
      </c>
      <c r="P1829" s="278" t="s">
        <v>5170</v>
      </c>
      <c r="Q1829" s="233" t="s">
        <v>4856</v>
      </c>
      <c r="R1829" s="75">
        <v>3777.5</v>
      </c>
      <c r="S1829" s="75">
        <f>+T1829-R1829</f>
        <v>8280</v>
      </c>
      <c r="T1829" s="75">
        <v>12057.5</v>
      </c>
      <c r="U1829" s="200">
        <v>1552.5</v>
      </c>
      <c r="V1829" s="287">
        <f t="shared" ref="V1829:V1834" ca="1" si="410">IF(YEAR($W$3)-YEAR(E1829)&gt;9,10,IF(MONTH($W$3)&lt;MONTH(E1829),YEAR($W$3)-YEAR(E1829),YEAR($W$3)-YEAR(E1829)+1))</f>
        <v>5</v>
      </c>
      <c r="W1829" s="75">
        <f t="shared" ref="W1829:W1834" ca="1" si="411">IF(V1829&lt;6, ROUNDUP(G1829,0)*$W$6*V1829, ROUNDUP(G1829,0)*($W$6*5 + (V1829-5)*$W$7))</f>
        <v>7762.5</v>
      </c>
      <c r="X1829" s="200">
        <f t="shared" ref="X1829:X1834" ca="1" si="412">IF(V1829=0,T1829,((T1829-ROUNDUP(G1829,0)*1.5)+W1829))</f>
        <v>18267.5</v>
      </c>
      <c r="Y1829" s="1"/>
      <c r="Z1829" s="31">
        <v>0.1</v>
      </c>
      <c r="AA1829" s="223">
        <v>0.09</v>
      </c>
      <c r="AB1829" s="302" t="s">
        <v>7362</v>
      </c>
      <c r="AC1829" s="302"/>
      <c r="AD1829" s="302"/>
      <c r="AE1829" s="302"/>
      <c r="AF1829">
        <f t="shared" si="403"/>
        <v>0</v>
      </c>
    </row>
    <row r="1830" spans="1:32" ht="26.25" hidden="1" x14ac:dyDescent="0.25">
      <c r="A1830" s="322" t="s">
        <v>4851</v>
      </c>
      <c r="B1830" s="93" t="str">
        <f t="shared" si="408"/>
        <v>YES</v>
      </c>
      <c r="C1830" s="93" t="s">
        <v>5503</v>
      </c>
      <c r="D1830" s="4">
        <v>41934</v>
      </c>
      <c r="E1830" s="2">
        <v>42309</v>
      </c>
      <c r="F1830" s="2">
        <f t="shared" si="404"/>
        <v>45962</v>
      </c>
      <c r="G1830" s="6">
        <v>676.28</v>
      </c>
      <c r="H1830" s="7" t="s">
        <v>904</v>
      </c>
      <c r="I1830" s="7" t="s">
        <v>512</v>
      </c>
      <c r="J1830" s="105" t="s">
        <v>6287</v>
      </c>
      <c r="K1830" s="266">
        <f t="shared" si="409"/>
        <v>2025</v>
      </c>
      <c r="L1830" s="390" t="s">
        <v>5631</v>
      </c>
      <c r="M1830" s="390" t="s">
        <v>7592</v>
      </c>
      <c r="N1830" s="32" t="s">
        <v>7777</v>
      </c>
      <c r="O1830" s="32" t="s">
        <v>5171</v>
      </c>
      <c r="P1830" s="278" t="s">
        <v>5172</v>
      </c>
      <c r="Q1830" s="233" t="s">
        <v>4857</v>
      </c>
      <c r="R1830" s="75">
        <v>2524.5</v>
      </c>
      <c r="S1830" s="75">
        <f t="shared" ref="S1830:S1834" si="413">+T1830-R1830</f>
        <v>52806</v>
      </c>
      <c r="T1830" s="75">
        <v>55330.5</v>
      </c>
      <c r="U1830" s="200">
        <v>1015.5</v>
      </c>
      <c r="V1830" s="287">
        <f t="shared" ca="1" si="410"/>
        <v>5</v>
      </c>
      <c r="W1830" s="75">
        <f t="shared" ca="1" si="411"/>
        <v>5077.5</v>
      </c>
      <c r="X1830" s="200">
        <f t="shared" ca="1" si="412"/>
        <v>59392.5</v>
      </c>
      <c r="Y1830" s="1"/>
      <c r="Z1830" s="31">
        <v>0.1</v>
      </c>
      <c r="AA1830" s="223">
        <v>0.09</v>
      </c>
      <c r="AB1830" s="302" t="s">
        <v>7363</v>
      </c>
      <c r="AC1830" s="302"/>
      <c r="AD1830" s="302"/>
      <c r="AE1830" s="302"/>
      <c r="AF1830">
        <f t="shared" si="403"/>
        <v>0</v>
      </c>
    </row>
    <row r="1831" spans="1:32" ht="26.25" hidden="1" x14ac:dyDescent="0.25">
      <c r="A1831" s="322" t="s">
        <v>4852</v>
      </c>
      <c r="B1831" s="93" t="str">
        <f t="shared" si="408"/>
        <v>YES</v>
      </c>
      <c r="C1831" s="93" t="s">
        <v>5503</v>
      </c>
      <c r="D1831" s="4">
        <v>41934</v>
      </c>
      <c r="E1831" s="2">
        <v>42309</v>
      </c>
      <c r="F1831" s="2">
        <f t="shared" si="404"/>
        <v>45962</v>
      </c>
      <c r="G1831" s="6">
        <v>320</v>
      </c>
      <c r="H1831" s="7" t="s">
        <v>904</v>
      </c>
      <c r="I1831" s="7" t="s">
        <v>512</v>
      </c>
      <c r="J1831" s="105" t="s">
        <v>6287</v>
      </c>
      <c r="K1831" s="266">
        <f t="shared" si="409"/>
        <v>2025</v>
      </c>
      <c r="L1831" s="390" t="s">
        <v>5631</v>
      </c>
      <c r="M1831" s="390" t="s">
        <v>7592</v>
      </c>
      <c r="N1831" s="32" t="s">
        <v>7777</v>
      </c>
      <c r="O1831" s="32" t="s">
        <v>5173</v>
      </c>
      <c r="P1831" s="278"/>
      <c r="Q1831" s="233" t="s">
        <v>4858</v>
      </c>
      <c r="R1831" s="75">
        <v>1275</v>
      </c>
      <c r="S1831" s="75">
        <f t="shared" si="413"/>
        <v>28160</v>
      </c>
      <c r="T1831" s="75">
        <v>29435</v>
      </c>
      <c r="U1831" s="200">
        <v>480</v>
      </c>
      <c r="V1831" s="287">
        <f t="shared" ca="1" si="410"/>
        <v>5</v>
      </c>
      <c r="W1831" s="75">
        <f t="shared" ca="1" si="411"/>
        <v>2400</v>
      </c>
      <c r="X1831" s="200">
        <f t="shared" ca="1" si="412"/>
        <v>31355</v>
      </c>
      <c r="Y1831" s="1"/>
      <c r="Z1831" s="31">
        <v>0.1</v>
      </c>
      <c r="AA1831" s="223">
        <v>0.09</v>
      </c>
      <c r="AB1831" s="302" t="s">
        <v>7364</v>
      </c>
      <c r="AC1831" s="302"/>
      <c r="AD1831" s="302"/>
      <c r="AE1831" s="302"/>
      <c r="AF1831">
        <f t="shared" si="403"/>
        <v>0</v>
      </c>
    </row>
    <row r="1832" spans="1:32" ht="115.5" hidden="1" x14ac:dyDescent="0.25">
      <c r="A1832" s="322" t="s">
        <v>4853</v>
      </c>
      <c r="B1832" s="93" t="str">
        <f t="shared" si="408"/>
        <v>YES</v>
      </c>
      <c r="C1832" s="93" t="s">
        <v>5503</v>
      </c>
      <c r="D1832" s="4">
        <v>41934</v>
      </c>
      <c r="E1832" s="2">
        <v>42309</v>
      </c>
      <c r="F1832" s="2">
        <f t="shared" si="404"/>
        <v>45962</v>
      </c>
      <c r="G1832" s="6">
        <v>2081.62</v>
      </c>
      <c r="H1832" s="7" t="s">
        <v>559</v>
      </c>
      <c r="I1832" s="7" t="s">
        <v>512</v>
      </c>
      <c r="J1832" s="105" t="s">
        <v>6287</v>
      </c>
      <c r="K1832" s="266">
        <f t="shared" si="409"/>
        <v>2025</v>
      </c>
      <c r="L1832" s="390" t="s">
        <v>5555</v>
      </c>
      <c r="M1832" s="390" t="s">
        <v>6140</v>
      </c>
      <c r="N1832" s="32" t="s">
        <v>5174</v>
      </c>
      <c r="O1832" s="32" t="s">
        <v>5175</v>
      </c>
      <c r="P1832" s="278" t="s">
        <v>5176</v>
      </c>
      <c r="Q1832" s="233" t="s">
        <v>4859</v>
      </c>
      <c r="R1832" s="75">
        <v>7442</v>
      </c>
      <c r="S1832" s="75">
        <f t="shared" si="413"/>
        <v>16656</v>
      </c>
      <c r="T1832" s="75">
        <v>24098</v>
      </c>
      <c r="U1832" s="200">
        <v>3123</v>
      </c>
      <c r="V1832" s="287">
        <f t="shared" ca="1" si="410"/>
        <v>5</v>
      </c>
      <c r="W1832" s="75">
        <f t="shared" ca="1" si="411"/>
        <v>15615</v>
      </c>
      <c r="X1832" s="200">
        <f t="shared" ca="1" si="412"/>
        <v>36590</v>
      </c>
      <c r="Y1832" s="1"/>
      <c r="Z1832" s="31">
        <v>0.1</v>
      </c>
      <c r="AA1832" s="223">
        <v>0.09</v>
      </c>
      <c r="AB1832" s="302" t="s">
        <v>7852</v>
      </c>
      <c r="AC1832" s="308">
        <v>43843</v>
      </c>
      <c r="AD1832" s="309">
        <v>0.25</v>
      </c>
      <c r="AE1832" s="302" t="s">
        <v>8237</v>
      </c>
      <c r="AF1832">
        <f t="shared" si="403"/>
        <v>0</v>
      </c>
    </row>
    <row r="1833" spans="1:32" ht="26.25" hidden="1" x14ac:dyDescent="0.25">
      <c r="A1833" s="322" t="s">
        <v>4854</v>
      </c>
      <c r="B1833" s="93" t="str">
        <f t="shared" si="408"/>
        <v>YES</v>
      </c>
      <c r="C1833" s="93" t="s">
        <v>5503</v>
      </c>
      <c r="D1833" s="4">
        <v>41934</v>
      </c>
      <c r="E1833" s="2">
        <v>42309</v>
      </c>
      <c r="F1833" s="2">
        <f t="shared" si="404"/>
        <v>45962</v>
      </c>
      <c r="G1833" s="6">
        <v>1572.7</v>
      </c>
      <c r="H1833" s="7" t="s">
        <v>904</v>
      </c>
      <c r="I1833" s="7" t="s">
        <v>512</v>
      </c>
      <c r="J1833" s="105" t="s">
        <v>6287</v>
      </c>
      <c r="K1833" s="266">
        <f t="shared" si="409"/>
        <v>2025</v>
      </c>
      <c r="L1833" s="390" t="s">
        <v>5561</v>
      </c>
      <c r="M1833" s="390" t="s">
        <v>6140</v>
      </c>
      <c r="N1833" s="32" t="s">
        <v>5177</v>
      </c>
      <c r="O1833" s="32" t="s">
        <v>5178</v>
      </c>
      <c r="P1833" s="278" t="s">
        <v>5179</v>
      </c>
      <c r="Q1833" s="233" t="s">
        <v>4860</v>
      </c>
      <c r="R1833" s="75">
        <v>5660.5</v>
      </c>
      <c r="S1833" s="75">
        <f t="shared" si="413"/>
        <v>154154</v>
      </c>
      <c r="T1833" s="75">
        <v>159814.5</v>
      </c>
      <c r="U1833" s="200">
        <v>2359.5</v>
      </c>
      <c r="V1833" s="287">
        <f t="shared" ca="1" si="410"/>
        <v>5</v>
      </c>
      <c r="W1833" s="75">
        <f t="shared" ca="1" si="411"/>
        <v>11797.5</v>
      </c>
      <c r="X1833" s="200">
        <f t="shared" ca="1" si="412"/>
        <v>169252.5</v>
      </c>
      <c r="Y1833" s="1"/>
      <c r="Z1833" s="31">
        <v>0.1</v>
      </c>
      <c r="AA1833" s="223">
        <v>0.09</v>
      </c>
      <c r="AB1833" s="302" t="s">
        <v>7365</v>
      </c>
      <c r="AC1833" s="302"/>
      <c r="AD1833" s="302"/>
      <c r="AE1833" s="302"/>
      <c r="AF1833">
        <f t="shared" si="403"/>
        <v>0</v>
      </c>
    </row>
    <row r="1834" spans="1:32" ht="51.75" hidden="1" x14ac:dyDescent="0.25">
      <c r="A1834" s="322" t="s">
        <v>4855</v>
      </c>
      <c r="B1834" s="93" t="str">
        <f t="shared" si="408"/>
        <v>YES</v>
      </c>
      <c r="C1834" s="93" t="s">
        <v>5503</v>
      </c>
      <c r="D1834" s="4">
        <v>41934</v>
      </c>
      <c r="E1834" s="2">
        <v>42309</v>
      </c>
      <c r="F1834" s="2">
        <f t="shared" si="404"/>
        <v>45962</v>
      </c>
      <c r="G1834" s="6">
        <v>2242.62</v>
      </c>
      <c r="H1834" s="7" t="s">
        <v>559</v>
      </c>
      <c r="I1834" s="7" t="s">
        <v>512</v>
      </c>
      <c r="J1834" s="105" t="s">
        <v>6288</v>
      </c>
      <c r="K1834" s="266">
        <f t="shared" si="409"/>
        <v>2025</v>
      </c>
      <c r="L1834" s="390" t="s">
        <v>5561</v>
      </c>
      <c r="M1834" s="390" t="s">
        <v>6140</v>
      </c>
      <c r="N1834" s="32" t="s">
        <v>5177</v>
      </c>
      <c r="O1834" s="32" t="s">
        <v>5180</v>
      </c>
      <c r="P1834" s="278" t="s">
        <v>5181</v>
      </c>
      <c r="Q1834" s="233" t="s">
        <v>4861</v>
      </c>
      <c r="R1834" s="75">
        <v>7925</v>
      </c>
      <c r="S1834" s="75">
        <f t="shared" si="413"/>
        <v>128760</v>
      </c>
      <c r="T1834" s="75">
        <v>136685</v>
      </c>
      <c r="U1834" s="200">
        <v>3330</v>
      </c>
      <c r="V1834" s="287">
        <f t="shared" ca="1" si="410"/>
        <v>5</v>
      </c>
      <c r="W1834" s="75">
        <f t="shared" ca="1" si="411"/>
        <v>16822.5</v>
      </c>
      <c r="X1834" s="200">
        <f t="shared" ca="1" si="412"/>
        <v>150143</v>
      </c>
      <c r="Y1834" s="1"/>
      <c r="Z1834" s="31">
        <v>0.1</v>
      </c>
      <c r="AA1834" s="223">
        <v>0.09</v>
      </c>
      <c r="AB1834" s="302" t="s">
        <v>7852</v>
      </c>
      <c r="AC1834" s="308">
        <v>43843</v>
      </c>
      <c r="AD1834" s="309">
        <v>0.25</v>
      </c>
      <c r="AE1834" s="302" t="s">
        <v>8237</v>
      </c>
      <c r="AF1834">
        <f t="shared" si="403"/>
        <v>0</v>
      </c>
    </row>
    <row r="1835" spans="1:32" ht="15.75" hidden="1" thickBot="1" x14ac:dyDescent="0.3">
      <c r="A1835" s="327"/>
      <c r="D1835" s="7"/>
      <c r="E1835" s="8"/>
      <c r="F1835" s="2"/>
      <c r="G1835" s="6"/>
      <c r="H1835" s="7"/>
      <c r="I1835" s="7"/>
      <c r="J1835" s="186"/>
      <c r="K1835" s="186"/>
      <c r="L1835" s="386"/>
      <c r="M1835" s="386"/>
      <c r="N1835" s="32"/>
      <c r="O1835" s="32"/>
      <c r="P1835" s="278"/>
      <c r="Q1835" s="233"/>
      <c r="R1835" s="76">
        <f>SUM(R1829:R1834)</f>
        <v>28604.5</v>
      </c>
      <c r="S1835" s="76">
        <f t="shared" ref="S1835:T1835" si="414">SUM(S1829:S1834)</f>
        <v>388816</v>
      </c>
      <c r="T1835" s="76">
        <f t="shared" si="414"/>
        <v>417420.5</v>
      </c>
      <c r="U1835" s="200"/>
      <c r="V1835" s="75"/>
      <c r="W1835" s="75"/>
      <c r="X1835" s="200"/>
      <c r="Y1835" s="1"/>
      <c r="Z1835" s="1"/>
      <c r="AA1835" s="219"/>
      <c r="AB1835" s="302"/>
      <c r="AC1835" s="302"/>
      <c r="AD1835" s="302"/>
      <c r="AE1835" s="302"/>
      <c r="AF1835">
        <f t="shared" si="403"/>
        <v>0</v>
      </c>
    </row>
    <row r="1836" spans="1:32" hidden="1" x14ac:dyDescent="0.25">
      <c r="A1836" s="328"/>
      <c r="D1836" s="7"/>
      <c r="E1836" s="8"/>
      <c r="F1836" s="2"/>
      <c r="G1836" s="6"/>
      <c r="I1836" s="93"/>
      <c r="J1836" s="184"/>
      <c r="K1836" s="184"/>
      <c r="L1836" s="387"/>
      <c r="M1836" s="387"/>
      <c r="Q1836" s="233"/>
      <c r="R1836" s="75"/>
      <c r="S1836" s="75"/>
      <c r="T1836" s="75"/>
      <c r="U1836" s="200"/>
      <c r="V1836" s="75"/>
      <c r="W1836" s="75"/>
      <c r="X1836" s="200"/>
      <c r="Y1836" s="1"/>
      <c r="Z1836" s="1"/>
      <c r="AA1836" s="219"/>
      <c r="AF1836">
        <f t="shared" si="403"/>
        <v>0</v>
      </c>
    </row>
    <row r="1837" spans="1:32" hidden="1" x14ac:dyDescent="0.25">
      <c r="A1837" s="315" t="s">
        <v>4869</v>
      </c>
      <c r="B1837" s="93" t="str">
        <f t="shared" ref="B1837:B1846" si="415">IF(COUNTIF(GIS,A1837),"YES","NO")</f>
        <v>YES</v>
      </c>
      <c r="C1837" s="93" t="s">
        <v>5503</v>
      </c>
      <c r="D1837" s="4">
        <v>42082</v>
      </c>
      <c r="E1837" s="2">
        <v>42156</v>
      </c>
      <c r="F1837" s="2">
        <f t="shared" si="404"/>
        <v>45809</v>
      </c>
      <c r="G1837" s="6">
        <v>80</v>
      </c>
      <c r="H1837" s="7" t="s">
        <v>4890</v>
      </c>
      <c r="I1837" s="7" t="s">
        <v>72</v>
      </c>
      <c r="J1837" s="105"/>
      <c r="K1837" s="266">
        <f>YEAR(F1837)</f>
        <v>2025</v>
      </c>
      <c r="L1837" s="390" t="s">
        <v>7529</v>
      </c>
      <c r="M1837" s="390" t="s">
        <v>6145</v>
      </c>
      <c r="N1837" s="166" t="s">
        <v>4894</v>
      </c>
      <c r="O1837" s="166" t="s">
        <v>4895</v>
      </c>
      <c r="Q1837" s="233" t="s">
        <v>4880</v>
      </c>
      <c r="R1837" s="75">
        <v>435</v>
      </c>
      <c r="S1837" s="75">
        <f>+T1837-R1837</f>
        <v>800</v>
      </c>
      <c r="T1837" s="75">
        <v>1235</v>
      </c>
      <c r="U1837" s="200">
        <v>120</v>
      </c>
      <c r="V1837" s="287">
        <f ca="1">IF(YEAR($W$3)-YEAR(E1837)&gt;9,10,IF(MONTH($W$3)&lt;MONTH(E1837),YEAR($W$3)-YEAR(E1837),YEAR($W$3)-YEAR(E1837)+1))</f>
        <v>5</v>
      </c>
      <c r="W1837" s="75">
        <f ca="1">IF(V1837&lt;6, ROUNDUP(G1837,0)*$W$6*V1837, ROUNDUP(G1837,0)*($W$6*5 + (V1837-5)*$W$7))</f>
        <v>600</v>
      </c>
      <c r="X1837" s="200">
        <f ca="1">IF(V1837=0,T1837,((T1837-ROUNDUP(G1837,0)*1.5)+W1837))</f>
        <v>1715</v>
      </c>
      <c r="Y1837" s="1"/>
      <c r="Z1837" s="31">
        <v>0.1</v>
      </c>
      <c r="AA1837" s="223">
        <v>0.09</v>
      </c>
      <c r="AB1837" s="312" t="s">
        <v>6351</v>
      </c>
      <c r="AF1837">
        <f t="shared" si="403"/>
        <v>0</v>
      </c>
    </row>
    <row r="1838" spans="1:32" ht="26.25" hidden="1" x14ac:dyDescent="0.25">
      <c r="A1838" s="315" t="s">
        <v>4870</v>
      </c>
      <c r="B1838" s="93" t="str">
        <f t="shared" si="415"/>
        <v>NO</v>
      </c>
      <c r="C1838" s="93" t="s">
        <v>5503</v>
      </c>
      <c r="D1838" s="4">
        <v>42082</v>
      </c>
      <c r="E1838" s="8"/>
      <c r="F1838" s="2"/>
      <c r="G1838" s="6">
        <v>39.57</v>
      </c>
      <c r="H1838" s="7" t="s">
        <v>4891</v>
      </c>
      <c r="I1838" s="7" t="s">
        <v>72</v>
      </c>
      <c r="J1838" s="105" t="s">
        <v>5269</v>
      </c>
      <c r="K1838" s="266"/>
      <c r="L1838" s="381"/>
      <c r="M1838" s="381"/>
      <c r="Q1838" s="233" t="s">
        <v>4881</v>
      </c>
      <c r="R1838" s="75">
        <v>295</v>
      </c>
      <c r="S1838" s="75">
        <f t="shared" ref="S1838:S1846" si="416">+T1838-R1838</f>
        <v>54320</v>
      </c>
      <c r="T1838" s="75">
        <v>54615</v>
      </c>
      <c r="U1838" s="200">
        <v>60</v>
      </c>
      <c r="V1838" s="75"/>
      <c r="W1838" s="75"/>
      <c r="X1838" s="200"/>
      <c r="Y1838" s="7"/>
      <c r="Z1838" s="31">
        <v>0.1</v>
      </c>
      <c r="AA1838" s="223">
        <v>0.09</v>
      </c>
      <c r="AF1838">
        <f t="shared" si="403"/>
        <v>0</v>
      </c>
    </row>
    <row r="1839" spans="1:32" hidden="1" x14ac:dyDescent="0.25">
      <c r="A1839" s="315" t="s">
        <v>4871</v>
      </c>
      <c r="B1839" s="93" t="str">
        <f t="shared" si="415"/>
        <v>YES</v>
      </c>
      <c r="C1839" s="93" t="s">
        <v>5503</v>
      </c>
      <c r="D1839" s="4">
        <v>42082</v>
      </c>
      <c r="E1839" s="2">
        <v>42156</v>
      </c>
      <c r="F1839" s="2">
        <f t="shared" si="404"/>
        <v>45809</v>
      </c>
      <c r="G1839" s="6">
        <v>28.38</v>
      </c>
      <c r="H1839" s="7" t="s">
        <v>1437</v>
      </c>
      <c r="I1839" s="7" t="s">
        <v>79</v>
      </c>
      <c r="J1839" s="105"/>
      <c r="K1839" s="266">
        <f t="shared" ref="K1839:K1846" si="417">YEAR(F1839)</f>
        <v>2025</v>
      </c>
      <c r="L1839" s="390" t="s">
        <v>7603</v>
      </c>
      <c r="M1839" s="390" t="s">
        <v>5577</v>
      </c>
      <c r="N1839" s="166" t="s">
        <v>4896</v>
      </c>
      <c r="O1839" s="166" t="s">
        <v>4897</v>
      </c>
      <c r="Q1839" s="233" t="s">
        <v>4882</v>
      </c>
      <c r="R1839" s="92">
        <v>256.5</v>
      </c>
      <c r="S1839" s="75">
        <f t="shared" si="416"/>
        <v>1827</v>
      </c>
      <c r="T1839" s="75">
        <v>2083.5</v>
      </c>
      <c r="U1839" s="200">
        <v>43.5</v>
      </c>
      <c r="V1839" s="287">
        <f t="shared" ref="V1839:V1846" ca="1" si="418">IF(YEAR($W$3)-YEAR(E1839)&gt;9,10,IF(MONTH($W$3)&lt;MONTH(E1839),YEAR($W$3)-YEAR(E1839),YEAR($W$3)-YEAR(E1839)+1))</f>
        <v>5</v>
      </c>
      <c r="W1839" s="75">
        <f t="shared" ref="W1839:W1846" ca="1" si="419">IF(V1839&lt;6, ROUNDUP(G1839,0)*$W$6*V1839, ROUNDUP(G1839,0)*($W$6*5 + (V1839-5)*$W$7))</f>
        <v>217.5</v>
      </c>
      <c r="X1839" s="200">
        <f t="shared" ref="X1839:X1846" ca="1" si="420">IF(V1839=0,T1839,((T1839-ROUNDUP(G1839,0)*1.5)+W1839))</f>
        <v>2257.5</v>
      </c>
      <c r="Y1839" s="7"/>
      <c r="Z1839" s="31">
        <v>0.1</v>
      </c>
      <c r="AA1839" s="223">
        <v>0.09</v>
      </c>
      <c r="AB1839" s="302" t="s">
        <v>7366</v>
      </c>
      <c r="AC1839" s="308">
        <v>43535</v>
      </c>
      <c r="AD1839" s="309">
        <v>0.25</v>
      </c>
      <c r="AE1839" s="302" t="s">
        <v>7511</v>
      </c>
      <c r="AF1839">
        <f t="shared" si="403"/>
        <v>0</v>
      </c>
    </row>
    <row r="1840" spans="1:32" ht="26.25" hidden="1" customHeight="1" x14ac:dyDescent="0.25">
      <c r="A1840" s="315" t="s">
        <v>4872</v>
      </c>
      <c r="B1840" s="93" t="str">
        <f t="shared" si="415"/>
        <v>YES</v>
      </c>
      <c r="C1840" s="93" t="s">
        <v>5503</v>
      </c>
      <c r="D1840" s="4">
        <v>42082</v>
      </c>
      <c r="E1840" s="2">
        <v>42156</v>
      </c>
      <c r="F1840" s="2">
        <f t="shared" si="404"/>
        <v>45809</v>
      </c>
      <c r="G1840" s="6">
        <v>171.41</v>
      </c>
      <c r="H1840" s="7" t="s">
        <v>1437</v>
      </c>
      <c r="I1840" s="7" t="s">
        <v>79</v>
      </c>
      <c r="J1840" s="105"/>
      <c r="K1840" s="266">
        <f t="shared" si="417"/>
        <v>2025</v>
      </c>
      <c r="L1840" s="390" t="s">
        <v>5561</v>
      </c>
      <c r="M1840" s="390" t="s">
        <v>5577</v>
      </c>
      <c r="N1840" s="166" t="s">
        <v>4898</v>
      </c>
      <c r="O1840" s="166" t="s">
        <v>4899</v>
      </c>
      <c r="Q1840" s="233" t="s">
        <v>4883</v>
      </c>
      <c r="R1840" s="75">
        <v>757</v>
      </c>
      <c r="S1840" s="75">
        <f t="shared" si="416"/>
        <v>2064</v>
      </c>
      <c r="T1840" s="75">
        <v>2821</v>
      </c>
      <c r="U1840" s="200">
        <v>258</v>
      </c>
      <c r="V1840" s="287">
        <f t="shared" ca="1" si="418"/>
        <v>5</v>
      </c>
      <c r="W1840" s="75">
        <f t="shared" ca="1" si="419"/>
        <v>1290</v>
      </c>
      <c r="X1840" s="200">
        <f t="shared" ca="1" si="420"/>
        <v>3853</v>
      </c>
      <c r="Y1840" s="7"/>
      <c r="Z1840" s="31">
        <v>0.1</v>
      </c>
      <c r="AA1840" s="223">
        <v>0.09</v>
      </c>
      <c r="AB1840" s="302" t="s">
        <v>7367</v>
      </c>
      <c r="AC1840" s="308">
        <v>43535</v>
      </c>
      <c r="AD1840" s="309">
        <v>0.25</v>
      </c>
      <c r="AE1840" s="302" t="s">
        <v>7511</v>
      </c>
      <c r="AF1840">
        <f t="shared" si="403"/>
        <v>0</v>
      </c>
    </row>
    <row r="1841" spans="1:32" ht="26.25" hidden="1" x14ac:dyDescent="0.25">
      <c r="A1841" s="315" t="s">
        <v>4873</v>
      </c>
      <c r="B1841" s="93" t="str">
        <f t="shared" si="415"/>
        <v>YES</v>
      </c>
      <c r="C1841" s="93" t="s">
        <v>5503</v>
      </c>
      <c r="D1841" s="4">
        <v>42082</v>
      </c>
      <c r="E1841" s="2">
        <v>42156</v>
      </c>
      <c r="F1841" s="2">
        <f t="shared" si="404"/>
        <v>45809</v>
      </c>
      <c r="G1841" s="6">
        <v>50.44</v>
      </c>
      <c r="H1841" s="7" t="s">
        <v>6212</v>
      </c>
      <c r="I1841" s="7" t="s">
        <v>79</v>
      </c>
      <c r="J1841" s="105" t="s">
        <v>5275</v>
      </c>
      <c r="K1841" s="266">
        <f t="shared" si="417"/>
        <v>2025</v>
      </c>
      <c r="L1841" s="390" t="s">
        <v>5659</v>
      </c>
      <c r="M1841" s="390" t="s">
        <v>7592</v>
      </c>
      <c r="N1841" s="166" t="s">
        <v>4900</v>
      </c>
      <c r="O1841" s="166" t="s">
        <v>4901</v>
      </c>
      <c r="Q1841" s="233" t="s">
        <v>4884</v>
      </c>
      <c r="R1841" s="75">
        <v>333.5</v>
      </c>
      <c r="S1841" s="75">
        <f t="shared" si="416"/>
        <v>16473</v>
      </c>
      <c r="T1841" s="75">
        <v>16806.5</v>
      </c>
      <c r="U1841" s="200">
        <v>76.5</v>
      </c>
      <c r="V1841" s="287">
        <f t="shared" ca="1" si="418"/>
        <v>5</v>
      </c>
      <c r="W1841" s="75">
        <f t="shared" ca="1" si="419"/>
        <v>382.5</v>
      </c>
      <c r="X1841" s="200">
        <f t="shared" ca="1" si="420"/>
        <v>17112.5</v>
      </c>
      <c r="Y1841" s="7"/>
      <c r="Z1841" s="31">
        <v>0.1</v>
      </c>
      <c r="AA1841" s="223">
        <v>0.09</v>
      </c>
      <c r="AB1841" s="312" t="s">
        <v>7368</v>
      </c>
      <c r="AF1841">
        <f t="shared" si="403"/>
        <v>0</v>
      </c>
    </row>
    <row r="1842" spans="1:32" ht="102.75" hidden="1" customHeight="1" x14ac:dyDescent="0.25">
      <c r="A1842" s="315" t="s">
        <v>4874</v>
      </c>
      <c r="B1842" s="93" t="str">
        <f t="shared" si="415"/>
        <v>YES</v>
      </c>
      <c r="C1842" s="93" t="s">
        <v>5503</v>
      </c>
      <c r="D1842" s="4">
        <v>42082</v>
      </c>
      <c r="E1842" s="2">
        <v>42156</v>
      </c>
      <c r="F1842" s="2">
        <f t="shared" si="404"/>
        <v>45809</v>
      </c>
      <c r="G1842" s="6">
        <v>1134.8499999999999</v>
      </c>
      <c r="H1842" s="7" t="s">
        <v>4893</v>
      </c>
      <c r="I1842" s="7" t="s">
        <v>4879</v>
      </c>
      <c r="J1842" s="105" t="s">
        <v>4902</v>
      </c>
      <c r="K1842" s="266">
        <f t="shared" si="417"/>
        <v>2025</v>
      </c>
      <c r="L1842" s="390"/>
      <c r="M1842" s="390"/>
      <c r="N1842" s="166" t="s">
        <v>4903</v>
      </c>
      <c r="O1842" s="166" t="s">
        <v>4904</v>
      </c>
      <c r="Q1842" s="233" t="s">
        <v>4885</v>
      </c>
      <c r="R1842" s="75">
        <v>4127.5</v>
      </c>
      <c r="S1842" s="75">
        <f t="shared" si="416"/>
        <v>26105</v>
      </c>
      <c r="T1842" s="75">
        <v>30232.5</v>
      </c>
      <c r="U1842" s="200">
        <v>1702.5</v>
      </c>
      <c r="V1842" s="287">
        <f t="shared" ca="1" si="418"/>
        <v>5</v>
      </c>
      <c r="W1842" s="75">
        <f t="shared" ca="1" si="419"/>
        <v>8512.5</v>
      </c>
      <c r="X1842" s="200">
        <f t="shared" ca="1" si="420"/>
        <v>37042.5</v>
      </c>
      <c r="Y1842" s="7"/>
      <c r="Z1842" s="31">
        <v>0.1</v>
      </c>
      <c r="AA1842" s="223">
        <v>0.09</v>
      </c>
      <c r="AF1842">
        <f t="shared" si="403"/>
        <v>0</v>
      </c>
    </row>
    <row r="1843" spans="1:32" ht="115.5" hidden="1" customHeight="1" x14ac:dyDescent="0.25">
      <c r="A1843" s="315" t="s">
        <v>4875</v>
      </c>
      <c r="B1843" s="93" t="str">
        <f t="shared" si="415"/>
        <v>YES</v>
      </c>
      <c r="C1843" s="93" t="s">
        <v>5503</v>
      </c>
      <c r="D1843" s="4">
        <v>42082</v>
      </c>
      <c r="E1843" s="2">
        <v>42156</v>
      </c>
      <c r="F1843" s="2">
        <f t="shared" si="404"/>
        <v>45809</v>
      </c>
      <c r="G1843" s="6">
        <v>1112.06</v>
      </c>
      <c r="H1843" s="7" t="s">
        <v>4893</v>
      </c>
      <c r="I1843" s="7" t="s">
        <v>4879</v>
      </c>
      <c r="J1843" s="105" t="s">
        <v>4902</v>
      </c>
      <c r="K1843" s="266">
        <f t="shared" si="417"/>
        <v>2025</v>
      </c>
      <c r="L1843" s="390"/>
      <c r="M1843" s="390"/>
      <c r="N1843" s="166" t="s">
        <v>4903</v>
      </c>
      <c r="O1843" s="166" t="s">
        <v>4905</v>
      </c>
      <c r="Q1843" s="233" t="s">
        <v>4886</v>
      </c>
      <c r="R1843" s="75">
        <v>4050.5</v>
      </c>
      <c r="S1843" s="75">
        <f t="shared" si="416"/>
        <v>31164</v>
      </c>
      <c r="T1843" s="75">
        <v>35214.5</v>
      </c>
      <c r="U1843" s="200">
        <v>1669.5</v>
      </c>
      <c r="V1843" s="287">
        <f t="shared" ca="1" si="418"/>
        <v>5</v>
      </c>
      <c r="W1843" s="75">
        <f t="shared" ca="1" si="419"/>
        <v>8347.5</v>
      </c>
      <c r="X1843" s="200">
        <f t="shared" ca="1" si="420"/>
        <v>41892.5</v>
      </c>
      <c r="Y1843" s="7"/>
      <c r="Z1843" s="31">
        <v>0.1</v>
      </c>
      <c r="AA1843" s="223">
        <v>0.09</v>
      </c>
      <c r="AF1843">
        <f t="shared" si="403"/>
        <v>0</v>
      </c>
    </row>
    <row r="1844" spans="1:32" ht="90" hidden="1" customHeight="1" x14ac:dyDescent="0.25">
      <c r="A1844" s="315" t="s">
        <v>4876</v>
      </c>
      <c r="B1844" s="93" t="str">
        <f t="shared" si="415"/>
        <v>YES</v>
      </c>
      <c r="C1844" s="93" t="s">
        <v>5503</v>
      </c>
      <c r="D1844" s="4">
        <v>42082</v>
      </c>
      <c r="E1844" s="2">
        <v>42156</v>
      </c>
      <c r="F1844" s="2">
        <f t="shared" si="404"/>
        <v>45809</v>
      </c>
      <c r="G1844" s="6">
        <v>931.76</v>
      </c>
      <c r="H1844" s="7" t="s">
        <v>4893</v>
      </c>
      <c r="I1844" s="7" t="s">
        <v>4879</v>
      </c>
      <c r="J1844" s="105" t="s">
        <v>4902</v>
      </c>
      <c r="K1844" s="266">
        <f t="shared" si="417"/>
        <v>2025</v>
      </c>
      <c r="L1844" s="390"/>
      <c r="M1844" s="390"/>
      <c r="N1844" s="166" t="s">
        <v>4903</v>
      </c>
      <c r="O1844" s="166" t="s">
        <v>4906</v>
      </c>
      <c r="Q1844" s="233" t="s">
        <v>4887</v>
      </c>
      <c r="R1844" s="75">
        <v>3417</v>
      </c>
      <c r="S1844" s="75">
        <f t="shared" si="416"/>
        <v>16776</v>
      </c>
      <c r="T1844" s="75">
        <v>20193</v>
      </c>
      <c r="U1844" s="200">
        <v>1398</v>
      </c>
      <c r="V1844" s="287">
        <f t="shared" ca="1" si="418"/>
        <v>5</v>
      </c>
      <c r="W1844" s="75">
        <f t="shared" ca="1" si="419"/>
        <v>6990</v>
      </c>
      <c r="X1844" s="200">
        <f t="shared" ca="1" si="420"/>
        <v>25785</v>
      </c>
      <c r="Y1844" s="7"/>
      <c r="Z1844" s="31">
        <v>0.1</v>
      </c>
      <c r="AA1844" s="223">
        <v>0.09</v>
      </c>
      <c r="AF1844">
        <f t="shared" si="403"/>
        <v>0</v>
      </c>
    </row>
    <row r="1845" spans="1:32" ht="90" hidden="1" customHeight="1" x14ac:dyDescent="0.25">
      <c r="A1845" s="315" t="s">
        <v>4877</v>
      </c>
      <c r="B1845" s="93" t="str">
        <f t="shared" si="415"/>
        <v>YES</v>
      </c>
      <c r="C1845" s="93" t="s">
        <v>5503</v>
      </c>
      <c r="D1845" s="4">
        <v>42082</v>
      </c>
      <c r="E1845" s="2">
        <v>42156</v>
      </c>
      <c r="F1845" s="2">
        <f t="shared" si="404"/>
        <v>45809</v>
      </c>
      <c r="G1845" s="6">
        <v>617.19000000000005</v>
      </c>
      <c r="H1845" s="7" t="s">
        <v>4893</v>
      </c>
      <c r="I1845" s="7" t="s">
        <v>4879</v>
      </c>
      <c r="J1845" s="105" t="s">
        <v>4902</v>
      </c>
      <c r="K1845" s="266">
        <f t="shared" si="417"/>
        <v>2025</v>
      </c>
      <c r="L1845" s="390"/>
      <c r="M1845" s="390"/>
      <c r="N1845" s="166" t="s">
        <v>4903</v>
      </c>
      <c r="O1845" s="166" t="s">
        <v>4907</v>
      </c>
      <c r="Q1845" s="233" t="s">
        <v>4888</v>
      </c>
      <c r="R1845" s="75">
        <v>2318</v>
      </c>
      <c r="S1845" s="75">
        <f t="shared" si="416"/>
        <v>11124</v>
      </c>
      <c r="T1845" s="75">
        <v>13442</v>
      </c>
      <c r="U1845" s="200">
        <v>927</v>
      </c>
      <c r="V1845" s="287">
        <f t="shared" ca="1" si="418"/>
        <v>5</v>
      </c>
      <c r="W1845" s="75">
        <f t="shared" ca="1" si="419"/>
        <v>4635</v>
      </c>
      <c r="X1845" s="200">
        <f t="shared" ca="1" si="420"/>
        <v>17150</v>
      </c>
      <c r="Y1845" s="7"/>
      <c r="Z1845" s="31">
        <v>0.1</v>
      </c>
      <c r="AA1845" s="223">
        <v>0.09</v>
      </c>
      <c r="AF1845">
        <f t="shared" si="403"/>
        <v>0</v>
      </c>
    </row>
    <row r="1846" spans="1:32" ht="51.75" hidden="1" x14ac:dyDescent="0.25">
      <c r="A1846" s="315" t="s">
        <v>4878</v>
      </c>
      <c r="B1846" s="93" t="str">
        <f t="shared" si="415"/>
        <v>YES</v>
      </c>
      <c r="C1846" s="93" t="s">
        <v>5503</v>
      </c>
      <c r="D1846" s="4">
        <v>42082</v>
      </c>
      <c r="E1846" s="2">
        <v>42156</v>
      </c>
      <c r="F1846" s="2">
        <f t="shared" si="404"/>
        <v>45809</v>
      </c>
      <c r="G1846" s="6">
        <v>691.27</v>
      </c>
      <c r="H1846" s="7" t="s">
        <v>4893</v>
      </c>
      <c r="I1846" s="7" t="s">
        <v>4879</v>
      </c>
      <c r="J1846" s="105" t="s">
        <v>4902</v>
      </c>
      <c r="K1846" s="266">
        <f t="shared" si="417"/>
        <v>2025</v>
      </c>
      <c r="L1846" s="390"/>
      <c r="M1846" s="390"/>
      <c r="N1846" s="166" t="s">
        <v>4903</v>
      </c>
      <c r="O1846" s="166" t="s">
        <v>4908</v>
      </c>
      <c r="Q1846" s="233" t="s">
        <v>4889</v>
      </c>
      <c r="R1846" s="75">
        <v>2577</v>
      </c>
      <c r="S1846" s="75">
        <f t="shared" si="416"/>
        <v>15916</v>
      </c>
      <c r="T1846" s="75">
        <v>18493</v>
      </c>
      <c r="U1846" s="200">
        <v>1038</v>
      </c>
      <c r="V1846" s="287">
        <f t="shared" ca="1" si="418"/>
        <v>5</v>
      </c>
      <c r="W1846" s="75">
        <f t="shared" ca="1" si="419"/>
        <v>5190</v>
      </c>
      <c r="X1846" s="200">
        <f t="shared" ca="1" si="420"/>
        <v>22645</v>
      </c>
      <c r="Y1846" s="7"/>
      <c r="Z1846" s="31">
        <v>0.1</v>
      </c>
      <c r="AA1846" s="223">
        <v>0.09</v>
      </c>
      <c r="AF1846">
        <f t="shared" si="403"/>
        <v>0</v>
      </c>
    </row>
    <row r="1847" spans="1:32" ht="15.75" hidden="1" thickBot="1" x14ac:dyDescent="0.3">
      <c r="A1847" s="329"/>
      <c r="D1847" s="7"/>
      <c r="E1847" s="8"/>
      <c r="F1847" s="2"/>
      <c r="G1847" s="6"/>
      <c r="I1847" s="93"/>
      <c r="J1847" s="184"/>
      <c r="K1847" s="184"/>
      <c r="L1847" s="387"/>
      <c r="M1847" s="387"/>
      <c r="Q1847" s="233"/>
      <c r="R1847" s="76">
        <f>SUM(R1837:R1846)</f>
        <v>18567</v>
      </c>
      <c r="S1847" s="76">
        <f t="shared" ref="S1847:T1847" si="421">SUM(S1837:S1846)</f>
        <v>176569</v>
      </c>
      <c r="T1847" s="76">
        <f t="shared" si="421"/>
        <v>195136</v>
      </c>
      <c r="U1847" s="200"/>
      <c r="V1847" s="75"/>
      <c r="W1847" s="75"/>
      <c r="X1847" s="200"/>
      <c r="Y1847" s="7"/>
      <c r="Z1847" s="7"/>
      <c r="AA1847" s="221"/>
      <c r="AF1847">
        <f t="shared" si="403"/>
        <v>0</v>
      </c>
    </row>
    <row r="1848" spans="1:32" hidden="1" x14ac:dyDescent="0.25">
      <c r="A1848" s="328"/>
      <c r="D1848" s="7"/>
      <c r="E1848" s="8"/>
      <c r="F1848" s="2"/>
      <c r="G1848" s="6"/>
      <c r="I1848" s="93"/>
      <c r="J1848" s="184"/>
      <c r="K1848" s="184"/>
      <c r="L1848" s="387"/>
      <c r="M1848" s="387"/>
      <c r="Q1848" s="233"/>
      <c r="R1848" s="75"/>
      <c r="S1848" s="75"/>
      <c r="T1848" s="75"/>
      <c r="U1848" s="200"/>
      <c r="V1848" s="75"/>
      <c r="W1848" s="75"/>
      <c r="X1848" s="200"/>
      <c r="Y1848" s="7"/>
      <c r="Z1848" s="7"/>
      <c r="AA1848" s="221"/>
      <c r="AF1848">
        <f t="shared" si="403"/>
        <v>0</v>
      </c>
    </row>
    <row r="1849" spans="1:32" hidden="1" x14ac:dyDescent="0.25">
      <c r="A1849" s="315" t="s">
        <v>4912</v>
      </c>
      <c r="B1849" s="93" t="str">
        <f>IF(COUNTIF(GIS,A1849),"YES","NO")</f>
        <v>YES</v>
      </c>
      <c r="C1849" s="93" t="s">
        <v>5503</v>
      </c>
      <c r="D1849" s="4">
        <v>42207</v>
      </c>
      <c r="E1849" s="2">
        <v>42278</v>
      </c>
      <c r="F1849" s="2">
        <f t="shared" si="404"/>
        <v>45931</v>
      </c>
      <c r="G1849" s="6">
        <v>320</v>
      </c>
      <c r="H1849" s="7" t="s">
        <v>899</v>
      </c>
      <c r="I1849" s="7" t="s">
        <v>512</v>
      </c>
      <c r="J1849" s="184"/>
      <c r="K1849" s="266">
        <f>YEAR(F1849)</f>
        <v>2025</v>
      </c>
      <c r="L1849" s="390" t="s">
        <v>6003</v>
      </c>
      <c r="M1849" s="393" t="s">
        <v>7526</v>
      </c>
      <c r="N1849" s="166" t="s">
        <v>7777</v>
      </c>
      <c r="O1849" s="166" t="s">
        <v>4916</v>
      </c>
      <c r="Q1849" s="233" t="s">
        <v>4915</v>
      </c>
      <c r="R1849" s="75">
        <v>1275</v>
      </c>
      <c r="S1849" s="75">
        <f>+T1849-R1849</f>
        <v>95360</v>
      </c>
      <c r="T1849" s="75">
        <v>96635</v>
      </c>
      <c r="U1849" s="200">
        <v>480</v>
      </c>
      <c r="V1849" s="287">
        <f ca="1">IF(YEAR($W$3)-YEAR(E1849)&gt;9,10,IF(MONTH($W$3)&lt;MONTH(E1849),YEAR($W$3)-YEAR(E1849),YEAR($W$3)-YEAR(E1849)+1))</f>
        <v>5</v>
      </c>
      <c r="W1849" s="75">
        <f t="shared" ref="W1849:W1851" ca="1" si="422">IF(V1849&lt;6, ROUNDUP(G1849,0)*$W$6*V1849, ROUNDUP(G1849,0)*($W$6*5 + (V1849-5)*$W$7))</f>
        <v>2400</v>
      </c>
      <c r="X1849" s="200">
        <f t="shared" ref="X1849:X1851" ca="1" si="423">IF(V1849=0,T1849,((T1849-ROUNDUP(G1849,0)*1.5)+W1849))</f>
        <v>98555</v>
      </c>
      <c r="Y1849" s="7"/>
      <c r="Z1849" s="31">
        <v>0.1</v>
      </c>
      <c r="AA1849" s="223">
        <v>0.1</v>
      </c>
      <c r="AB1849" s="302" t="s">
        <v>7369</v>
      </c>
      <c r="AC1849" s="310">
        <v>43478</v>
      </c>
      <c r="AD1849" s="311">
        <v>0.25</v>
      </c>
      <c r="AE1849" s="312" t="s">
        <v>8240</v>
      </c>
      <c r="AF1849">
        <f t="shared" si="403"/>
        <v>0</v>
      </c>
    </row>
    <row r="1850" spans="1:32" hidden="1" x14ac:dyDescent="0.25">
      <c r="A1850" s="315" t="s">
        <v>4913</v>
      </c>
      <c r="B1850" s="93" t="str">
        <f>IF(COUNTIF(GIS,A1850),"YES","NO")</f>
        <v>YES</v>
      </c>
      <c r="C1850" s="93" t="s">
        <v>5503</v>
      </c>
      <c r="D1850" s="4">
        <v>42207</v>
      </c>
      <c r="E1850" s="2">
        <v>42278</v>
      </c>
      <c r="F1850" s="2">
        <f t="shared" si="404"/>
        <v>45931</v>
      </c>
      <c r="G1850" s="6">
        <v>159.86000000000001</v>
      </c>
      <c r="H1850" s="7" t="s">
        <v>899</v>
      </c>
      <c r="I1850" s="7" t="s">
        <v>512</v>
      </c>
      <c r="J1850" s="184"/>
      <c r="K1850" s="266">
        <f>YEAR(F1850)</f>
        <v>2025</v>
      </c>
      <c r="L1850" s="393" t="s">
        <v>7521</v>
      </c>
      <c r="M1850" s="393" t="s">
        <v>7525</v>
      </c>
      <c r="N1850" s="166" t="s">
        <v>7777</v>
      </c>
      <c r="O1850" s="166" t="s">
        <v>4918</v>
      </c>
      <c r="Q1850" s="233" t="s">
        <v>4917</v>
      </c>
      <c r="R1850" s="75">
        <v>715</v>
      </c>
      <c r="S1850" s="75">
        <f>+T1850-R1850</f>
        <v>31680</v>
      </c>
      <c r="T1850" s="75">
        <v>32395</v>
      </c>
      <c r="U1850" s="200">
        <v>240</v>
      </c>
      <c r="V1850" s="287">
        <f ca="1">IF(YEAR($W$3)-YEAR(E1850)&gt;9,10,IF(MONTH($W$3)&lt;MONTH(E1850),YEAR($W$3)-YEAR(E1850),YEAR($W$3)-YEAR(E1850)+1))</f>
        <v>5</v>
      </c>
      <c r="W1850" s="75">
        <f t="shared" ca="1" si="422"/>
        <v>1200</v>
      </c>
      <c r="X1850" s="200">
        <f t="shared" ca="1" si="423"/>
        <v>33355</v>
      </c>
      <c r="Y1850" s="7"/>
      <c r="Z1850" s="31">
        <v>0.1</v>
      </c>
      <c r="AA1850" s="223">
        <v>0.1</v>
      </c>
      <c r="AB1850" s="302" t="s">
        <v>7370</v>
      </c>
      <c r="AC1850" s="310">
        <v>43478</v>
      </c>
      <c r="AD1850" s="311">
        <v>0.25</v>
      </c>
      <c r="AE1850" s="312" t="s">
        <v>8240</v>
      </c>
      <c r="AF1850">
        <f t="shared" si="403"/>
        <v>0</v>
      </c>
    </row>
    <row r="1851" spans="1:32" ht="26.25" hidden="1" x14ac:dyDescent="0.25">
      <c r="A1851" s="315" t="s">
        <v>4914</v>
      </c>
      <c r="B1851" s="93" t="str">
        <f>IF(COUNTIF(GIS,A1851),"YES","NO")</f>
        <v>YES</v>
      </c>
      <c r="C1851" s="93" t="s">
        <v>5503</v>
      </c>
      <c r="D1851" s="4">
        <v>42207</v>
      </c>
      <c r="E1851" s="11">
        <v>42248</v>
      </c>
      <c r="F1851" s="2">
        <f>DATE(YEAR(E1851)+10,MONTH(E1851),DAY(E1851))</f>
        <v>45901</v>
      </c>
      <c r="G1851" s="6">
        <v>610</v>
      </c>
      <c r="H1851" s="7" t="s">
        <v>982</v>
      </c>
      <c r="I1851" s="7" t="s">
        <v>198</v>
      </c>
      <c r="J1851" s="184"/>
      <c r="K1851" s="266">
        <f>YEAR(F1851)</f>
        <v>2025</v>
      </c>
      <c r="L1851" s="393" t="s">
        <v>7606</v>
      </c>
      <c r="M1851" s="390" t="s">
        <v>7599</v>
      </c>
      <c r="N1851" s="166" t="s">
        <v>7778</v>
      </c>
      <c r="O1851" s="166" t="s">
        <v>5270</v>
      </c>
      <c r="Q1851" s="234" t="s">
        <v>4919</v>
      </c>
      <c r="R1851" s="75">
        <v>2290</v>
      </c>
      <c r="S1851" s="75">
        <f>+T1851-R1851</f>
        <v>65880</v>
      </c>
      <c r="T1851" s="75">
        <v>68170</v>
      </c>
      <c r="U1851" s="200">
        <v>915</v>
      </c>
      <c r="V1851" s="287">
        <f ca="1">IF(YEAR($W$3)-YEAR(E1851)&gt;9,10,IF(MONTH($W$3)&lt;MONTH(E1851),YEAR($W$3)-YEAR(E1851),YEAR($W$3)-YEAR(E1851)+1))</f>
        <v>5</v>
      </c>
      <c r="W1851" s="75">
        <f t="shared" ca="1" si="422"/>
        <v>4575</v>
      </c>
      <c r="X1851" s="200">
        <f t="shared" ca="1" si="423"/>
        <v>71830</v>
      </c>
      <c r="Z1851" s="31">
        <v>0.1</v>
      </c>
      <c r="AA1851" s="223">
        <v>0.1</v>
      </c>
      <c r="AB1851" s="302" t="s">
        <v>7371</v>
      </c>
      <c r="AC1851" s="310">
        <v>43675</v>
      </c>
      <c r="AD1851" s="311">
        <v>0.25</v>
      </c>
      <c r="AE1851" s="312" t="s">
        <v>7911</v>
      </c>
      <c r="AF1851">
        <f t="shared" si="403"/>
        <v>0</v>
      </c>
    </row>
    <row r="1852" spans="1:32" ht="15.75" hidden="1" thickBot="1" x14ac:dyDescent="0.3">
      <c r="A1852" s="328"/>
      <c r="F1852" s="2"/>
      <c r="G1852" s="6"/>
      <c r="I1852" s="93"/>
      <c r="J1852" s="184"/>
      <c r="K1852" s="184"/>
      <c r="L1852" s="387"/>
      <c r="M1852" s="387"/>
      <c r="Q1852" s="234"/>
      <c r="R1852" s="76">
        <f>SUM(R1849:R1851)</f>
        <v>4280</v>
      </c>
      <c r="S1852" s="76">
        <f>SUM(S1849:S1851)</f>
        <v>192920</v>
      </c>
      <c r="T1852" s="76">
        <f>SUM(T1849:T1851)</f>
        <v>197200</v>
      </c>
      <c r="U1852" s="200"/>
      <c r="V1852" s="75"/>
      <c r="W1852" s="75"/>
      <c r="X1852" s="200"/>
      <c r="AF1852">
        <f t="shared" si="403"/>
        <v>0</v>
      </c>
    </row>
    <row r="1853" spans="1:32" hidden="1" x14ac:dyDescent="0.25">
      <c r="A1853" s="328"/>
      <c r="F1853" s="2"/>
      <c r="G1853" s="6"/>
      <c r="I1853" s="93"/>
      <c r="J1853" s="184"/>
      <c r="K1853" s="184"/>
      <c r="L1853" s="387"/>
      <c r="M1853" s="387"/>
      <c r="Q1853" s="234"/>
      <c r="R1853" s="75"/>
      <c r="S1853" s="75"/>
      <c r="T1853" s="75"/>
      <c r="U1853" s="200"/>
      <c r="V1853" s="75"/>
      <c r="W1853" s="75"/>
      <c r="X1853" s="200"/>
      <c r="AF1853">
        <f t="shared" si="403"/>
        <v>0</v>
      </c>
    </row>
    <row r="1854" spans="1:32" ht="26.25" hidden="1" x14ac:dyDescent="0.25">
      <c r="A1854" s="315" t="s">
        <v>4920</v>
      </c>
      <c r="B1854" s="114" t="str">
        <f t="shared" ref="B1854:B1891" si="424">IF(COUNTIF(GIS,A1854),"YES","NO")</f>
        <v>YES</v>
      </c>
      <c r="C1854" s="93" t="s">
        <v>5503</v>
      </c>
      <c r="D1854" s="95">
        <v>42213</v>
      </c>
      <c r="E1854" s="97">
        <v>42705</v>
      </c>
      <c r="F1854" s="2">
        <f t="shared" si="404"/>
        <v>46357</v>
      </c>
      <c r="G1854" s="6">
        <v>20</v>
      </c>
      <c r="H1854" s="93" t="s">
        <v>5049</v>
      </c>
      <c r="I1854" s="93" t="s">
        <v>72</v>
      </c>
      <c r="J1854" s="192"/>
      <c r="K1854" s="266">
        <f t="shared" ref="K1854:K1891" si="425">YEAR(F1854)</f>
        <v>2026</v>
      </c>
      <c r="L1854" s="393" t="s">
        <v>5741</v>
      </c>
      <c r="M1854" s="390" t="s">
        <v>7600</v>
      </c>
      <c r="N1854" s="166" t="s">
        <v>7766</v>
      </c>
      <c r="O1854" s="166" t="s">
        <v>7502</v>
      </c>
      <c r="Q1854" s="234" t="s">
        <v>5262</v>
      </c>
      <c r="R1854" s="75">
        <v>225</v>
      </c>
      <c r="S1854" s="75">
        <f>+T1854-R1854</f>
        <v>0</v>
      </c>
      <c r="T1854" s="75">
        <v>225</v>
      </c>
      <c r="U1854" s="200">
        <v>30</v>
      </c>
      <c r="V1854" s="287">
        <f t="shared" ref="V1854:V1891" ca="1" si="426">IF(YEAR($W$3)-YEAR(E1854)&gt;9,10,IF(MONTH($W$3)&lt;MONTH(E1854),YEAR($W$3)-YEAR(E1854),YEAR($W$3)-YEAR(E1854)+1))</f>
        <v>4</v>
      </c>
      <c r="W1854" s="75">
        <f t="shared" ref="W1854:W1891" ca="1" si="427">IF(V1854&lt;6, ROUNDUP(G1854,0)*$W$6*V1854, ROUNDUP(G1854,0)*($W$6*5 + (V1854-5)*$W$7))</f>
        <v>120</v>
      </c>
      <c r="X1854" s="200">
        <f t="shared" ref="X1854:X1891" ca="1" si="428">IF(V1854=0,T1854,((T1854-ROUNDUP(G1854,0)*1.5)+W1854))</f>
        <v>315</v>
      </c>
      <c r="Z1854" s="31">
        <v>0.1</v>
      </c>
      <c r="AA1854" s="223">
        <v>0.1</v>
      </c>
      <c r="AB1854" s="312" t="s">
        <v>7657</v>
      </c>
      <c r="AF1854">
        <f t="shared" si="403"/>
        <v>0</v>
      </c>
    </row>
    <row r="1855" spans="1:32" ht="26.25" hidden="1" x14ac:dyDescent="0.25">
      <c r="A1855" s="315" t="s">
        <v>4921</v>
      </c>
      <c r="B1855" s="93" t="str">
        <f t="shared" si="424"/>
        <v>YES</v>
      </c>
      <c r="C1855" s="93" t="s">
        <v>5503</v>
      </c>
      <c r="D1855" s="95">
        <v>42213</v>
      </c>
      <c r="E1855" s="97">
        <v>42705</v>
      </c>
      <c r="F1855" s="2">
        <f t="shared" si="404"/>
        <v>46357</v>
      </c>
      <c r="G1855" s="6">
        <v>160</v>
      </c>
      <c r="H1855" s="93" t="s">
        <v>5049</v>
      </c>
      <c r="I1855" s="93" t="s">
        <v>72</v>
      </c>
      <c r="J1855" s="192"/>
      <c r="K1855" s="266">
        <f t="shared" si="425"/>
        <v>2026</v>
      </c>
      <c r="L1855" s="393" t="s">
        <v>7519</v>
      </c>
      <c r="M1855" s="390" t="s">
        <v>7600</v>
      </c>
      <c r="N1855" s="166" t="s">
        <v>7766</v>
      </c>
      <c r="O1855" s="166" t="s">
        <v>5264</v>
      </c>
      <c r="Q1855" s="234" t="s">
        <v>5263</v>
      </c>
      <c r="R1855" s="75">
        <v>715</v>
      </c>
      <c r="S1855" s="75">
        <f>+T1855-R1855</f>
        <v>0</v>
      </c>
      <c r="T1855" s="75">
        <v>715</v>
      </c>
      <c r="U1855" s="200">
        <v>240</v>
      </c>
      <c r="V1855" s="287">
        <f t="shared" ca="1" si="426"/>
        <v>4</v>
      </c>
      <c r="W1855" s="75">
        <f t="shared" ca="1" si="427"/>
        <v>960</v>
      </c>
      <c r="X1855" s="200">
        <f t="shared" ca="1" si="428"/>
        <v>1435</v>
      </c>
      <c r="Z1855" s="31">
        <v>0.1</v>
      </c>
      <c r="AA1855" s="223">
        <v>0.1</v>
      </c>
      <c r="AB1855" s="312" t="s">
        <v>7658</v>
      </c>
      <c r="AF1855">
        <f t="shared" si="403"/>
        <v>0</v>
      </c>
    </row>
    <row r="1856" spans="1:32" hidden="1" x14ac:dyDescent="0.25">
      <c r="A1856" s="315" t="s">
        <v>4922</v>
      </c>
      <c r="B1856" s="93" t="str">
        <f t="shared" si="424"/>
        <v>YES</v>
      </c>
      <c r="C1856" s="93" t="s">
        <v>5503</v>
      </c>
      <c r="D1856" s="95">
        <v>42213</v>
      </c>
      <c r="E1856" s="96">
        <v>42278</v>
      </c>
      <c r="F1856" s="2">
        <f t="shared" si="404"/>
        <v>45931</v>
      </c>
      <c r="G1856" s="6">
        <v>39.979999999999997</v>
      </c>
      <c r="H1856" s="93" t="s">
        <v>4926</v>
      </c>
      <c r="I1856" s="93" t="s">
        <v>79</v>
      </c>
      <c r="J1856" s="192"/>
      <c r="K1856" s="266">
        <f t="shared" si="425"/>
        <v>2025</v>
      </c>
      <c r="L1856" s="393" t="s">
        <v>5555</v>
      </c>
      <c r="M1856" s="390" t="s">
        <v>5577</v>
      </c>
      <c r="N1856" s="166" t="s">
        <v>7776</v>
      </c>
      <c r="O1856" s="166" t="s">
        <v>4927</v>
      </c>
      <c r="Q1856" s="234" t="s">
        <v>4925</v>
      </c>
      <c r="R1856" s="75">
        <v>295</v>
      </c>
      <c r="S1856" s="75">
        <f>+T1856-R1856</f>
        <v>47920</v>
      </c>
      <c r="T1856" s="75">
        <v>48215</v>
      </c>
      <c r="U1856" s="200">
        <v>61.5</v>
      </c>
      <c r="V1856" s="287">
        <f t="shared" ca="1" si="426"/>
        <v>5</v>
      </c>
      <c r="W1856" s="75">
        <f t="shared" ca="1" si="427"/>
        <v>300</v>
      </c>
      <c r="X1856" s="200">
        <f t="shared" ca="1" si="428"/>
        <v>48455</v>
      </c>
      <c r="Z1856" s="31">
        <v>0.1</v>
      </c>
      <c r="AA1856" s="223">
        <v>0.1</v>
      </c>
      <c r="AB1856" s="312" t="s">
        <v>7372</v>
      </c>
      <c r="AC1856" s="308">
        <v>43535</v>
      </c>
      <c r="AD1856" s="309">
        <v>0.25</v>
      </c>
      <c r="AE1856" s="302" t="s">
        <v>7511</v>
      </c>
      <c r="AF1856">
        <f t="shared" si="403"/>
        <v>0</v>
      </c>
    </row>
    <row r="1857" spans="1:32" hidden="1" x14ac:dyDescent="0.25">
      <c r="A1857" s="315" t="s">
        <v>4923</v>
      </c>
      <c r="B1857" s="93" t="str">
        <f t="shared" si="424"/>
        <v>YES</v>
      </c>
      <c r="C1857" s="93" t="s">
        <v>5503</v>
      </c>
      <c r="D1857" s="95">
        <v>42213</v>
      </c>
      <c r="E1857" s="97">
        <v>42309</v>
      </c>
      <c r="F1857" s="2">
        <f t="shared" si="404"/>
        <v>45962</v>
      </c>
      <c r="G1857" s="99">
        <v>19.88</v>
      </c>
      <c r="H1857" s="93" t="s">
        <v>5048</v>
      </c>
      <c r="I1857" s="93" t="s">
        <v>79</v>
      </c>
      <c r="J1857" s="192"/>
      <c r="K1857" s="266">
        <f t="shared" si="425"/>
        <v>2025</v>
      </c>
      <c r="L1857" s="393" t="s">
        <v>6187</v>
      </c>
      <c r="M1857" s="390" t="s">
        <v>7575</v>
      </c>
      <c r="N1857" s="166" t="s">
        <v>7776</v>
      </c>
      <c r="O1857" s="166" t="s">
        <v>5167</v>
      </c>
      <c r="Q1857" s="234" t="s">
        <v>5166</v>
      </c>
      <c r="R1857" s="92">
        <v>225</v>
      </c>
      <c r="S1857" s="92">
        <f>+T1857-R1857</f>
        <v>4760</v>
      </c>
      <c r="T1857" s="92">
        <v>4985</v>
      </c>
      <c r="U1857" s="201">
        <v>30</v>
      </c>
      <c r="V1857" s="287">
        <f t="shared" ca="1" si="426"/>
        <v>5</v>
      </c>
      <c r="W1857" s="75">
        <f t="shared" ca="1" si="427"/>
        <v>150</v>
      </c>
      <c r="X1857" s="200">
        <f t="shared" ca="1" si="428"/>
        <v>5105</v>
      </c>
      <c r="Z1857" s="31">
        <v>0.1</v>
      </c>
      <c r="AA1857" s="223">
        <v>0.1</v>
      </c>
      <c r="AB1857" s="312" t="s">
        <v>7373</v>
      </c>
      <c r="AF1857">
        <f t="shared" si="403"/>
        <v>0</v>
      </c>
    </row>
    <row r="1858" spans="1:32" hidden="1" x14ac:dyDescent="0.25">
      <c r="A1858" s="315" t="s">
        <v>4924</v>
      </c>
      <c r="B1858" s="93" t="str">
        <f t="shared" si="424"/>
        <v>YES</v>
      </c>
      <c r="C1858" s="93" t="s">
        <v>5503</v>
      </c>
      <c r="D1858" s="95">
        <v>42213</v>
      </c>
      <c r="E1858" s="96">
        <v>42278</v>
      </c>
      <c r="F1858" s="2">
        <f t="shared" si="404"/>
        <v>45931</v>
      </c>
      <c r="G1858" s="6">
        <v>39.299999999999997</v>
      </c>
      <c r="H1858" s="93" t="s">
        <v>2461</v>
      </c>
      <c r="I1858" s="402" t="s">
        <v>1050</v>
      </c>
      <c r="J1858" s="184"/>
      <c r="K1858" s="266">
        <f t="shared" si="425"/>
        <v>2025</v>
      </c>
      <c r="L1858" s="393" t="s">
        <v>7601</v>
      </c>
      <c r="M1858" s="390" t="s">
        <v>7542</v>
      </c>
      <c r="N1858" s="166" t="s">
        <v>7771</v>
      </c>
      <c r="O1858" s="166" t="s">
        <v>4929</v>
      </c>
      <c r="Q1858" s="234" t="s">
        <v>4928</v>
      </c>
      <c r="R1858" s="75">
        <v>295</v>
      </c>
      <c r="S1858" s="75">
        <f t="shared" ref="S1858:S1872" si="429">+T1858-R1858</f>
        <v>0</v>
      </c>
      <c r="T1858" s="75">
        <v>295</v>
      </c>
      <c r="U1858" s="200">
        <v>60</v>
      </c>
      <c r="V1858" s="287">
        <f t="shared" ca="1" si="426"/>
        <v>5</v>
      </c>
      <c r="W1858" s="75">
        <f t="shared" ca="1" si="427"/>
        <v>300</v>
      </c>
      <c r="X1858" s="200">
        <f t="shared" ca="1" si="428"/>
        <v>535</v>
      </c>
      <c r="Z1858" s="31">
        <v>0.1</v>
      </c>
      <c r="AA1858" s="223">
        <v>0.1</v>
      </c>
      <c r="AB1858" s="302" t="s">
        <v>7374</v>
      </c>
      <c r="AF1858">
        <f t="shared" si="403"/>
        <v>0</v>
      </c>
    </row>
    <row r="1859" spans="1:32" hidden="1" x14ac:dyDescent="0.25">
      <c r="A1859" s="315" t="s">
        <v>4930</v>
      </c>
      <c r="B1859" s="93" t="str">
        <f t="shared" si="424"/>
        <v>YES</v>
      </c>
      <c r="C1859" s="93" t="s">
        <v>5503</v>
      </c>
      <c r="D1859" s="95">
        <v>42213</v>
      </c>
      <c r="E1859" s="96">
        <v>42278</v>
      </c>
      <c r="F1859" s="2">
        <f t="shared" si="404"/>
        <v>45931</v>
      </c>
      <c r="G1859" s="6">
        <v>35.31</v>
      </c>
      <c r="H1859" s="93" t="s">
        <v>2461</v>
      </c>
      <c r="I1859" s="402" t="s">
        <v>1050</v>
      </c>
      <c r="J1859" s="184"/>
      <c r="K1859" s="266">
        <f t="shared" si="425"/>
        <v>2025</v>
      </c>
      <c r="L1859" s="393" t="s">
        <v>5576</v>
      </c>
      <c r="M1859" s="390" t="s">
        <v>6026</v>
      </c>
      <c r="N1859" s="166" t="s">
        <v>7771</v>
      </c>
      <c r="O1859" s="166" t="s">
        <v>4932</v>
      </c>
      <c r="Q1859" s="234" t="s">
        <v>4931</v>
      </c>
      <c r="R1859" s="75">
        <v>281</v>
      </c>
      <c r="S1859" s="75">
        <f t="shared" si="429"/>
        <v>0</v>
      </c>
      <c r="T1859" s="75">
        <v>281</v>
      </c>
      <c r="U1859" s="200">
        <v>54</v>
      </c>
      <c r="V1859" s="287">
        <f t="shared" ca="1" si="426"/>
        <v>5</v>
      </c>
      <c r="W1859" s="75">
        <f t="shared" ca="1" si="427"/>
        <v>270</v>
      </c>
      <c r="X1859" s="200">
        <f t="shared" ca="1" si="428"/>
        <v>497</v>
      </c>
      <c r="Z1859" s="31">
        <v>0.1</v>
      </c>
      <c r="AA1859" s="223">
        <v>0.1</v>
      </c>
      <c r="AB1859" s="302" t="s">
        <v>7375</v>
      </c>
      <c r="AF1859">
        <f t="shared" si="403"/>
        <v>0</v>
      </c>
    </row>
    <row r="1860" spans="1:32" hidden="1" x14ac:dyDescent="0.25">
      <c r="A1860" s="315" t="s">
        <v>4933</v>
      </c>
      <c r="B1860" s="93" t="str">
        <f t="shared" si="424"/>
        <v>YES</v>
      </c>
      <c r="C1860" s="93" t="s">
        <v>5503</v>
      </c>
      <c r="D1860" s="95">
        <v>42213</v>
      </c>
      <c r="E1860" s="96">
        <v>42278</v>
      </c>
      <c r="F1860" s="2">
        <f t="shared" si="404"/>
        <v>45931</v>
      </c>
      <c r="G1860" s="6">
        <v>160</v>
      </c>
      <c r="H1860" s="93" t="s">
        <v>2461</v>
      </c>
      <c r="I1860" s="402" t="s">
        <v>1050</v>
      </c>
      <c r="J1860" s="184"/>
      <c r="K1860" s="266">
        <f t="shared" si="425"/>
        <v>2025</v>
      </c>
      <c r="L1860" s="393" t="s">
        <v>7601</v>
      </c>
      <c r="M1860" s="390" t="s">
        <v>5790</v>
      </c>
      <c r="N1860" s="166" t="s">
        <v>7771</v>
      </c>
      <c r="O1860" s="166" t="s">
        <v>4935</v>
      </c>
      <c r="Q1860" s="234" t="s">
        <v>4934</v>
      </c>
      <c r="R1860" s="75">
        <v>715</v>
      </c>
      <c r="S1860" s="75">
        <f t="shared" si="429"/>
        <v>0</v>
      </c>
      <c r="T1860" s="75">
        <v>715</v>
      </c>
      <c r="U1860" s="200">
        <v>240</v>
      </c>
      <c r="V1860" s="287">
        <f t="shared" ca="1" si="426"/>
        <v>5</v>
      </c>
      <c r="W1860" s="75">
        <f t="shared" ca="1" si="427"/>
        <v>1200</v>
      </c>
      <c r="X1860" s="200">
        <f t="shared" ca="1" si="428"/>
        <v>1675</v>
      </c>
      <c r="Z1860" s="31">
        <v>0.1</v>
      </c>
      <c r="AA1860" s="223">
        <v>0.1</v>
      </c>
      <c r="AB1860" s="302" t="s">
        <v>7376</v>
      </c>
      <c r="AF1860">
        <f t="shared" si="403"/>
        <v>0</v>
      </c>
    </row>
    <row r="1861" spans="1:32" ht="26.25" hidden="1" x14ac:dyDescent="0.25">
      <c r="A1861" s="315" t="s">
        <v>4936</v>
      </c>
      <c r="B1861" s="93" t="str">
        <f t="shared" si="424"/>
        <v>YES</v>
      </c>
      <c r="C1861" s="93" t="s">
        <v>5503</v>
      </c>
      <c r="D1861" s="95">
        <v>42213</v>
      </c>
      <c r="E1861" s="96">
        <v>42278</v>
      </c>
      <c r="F1861" s="2">
        <f t="shared" si="404"/>
        <v>45931</v>
      </c>
      <c r="G1861" s="6">
        <v>480</v>
      </c>
      <c r="H1861" s="93" t="s">
        <v>1049</v>
      </c>
      <c r="I1861" s="402" t="s">
        <v>1050</v>
      </c>
      <c r="J1861" s="184"/>
      <c r="K1861" s="266">
        <f t="shared" si="425"/>
        <v>2025</v>
      </c>
      <c r="L1861" s="393" t="s">
        <v>5698</v>
      </c>
      <c r="M1861" s="390" t="s">
        <v>5790</v>
      </c>
      <c r="N1861" s="166" t="s">
        <v>7771</v>
      </c>
      <c r="O1861" s="166" t="s">
        <v>4938</v>
      </c>
      <c r="Q1861" s="234" t="s">
        <v>4937</v>
      </c>
      <c r="R1861" s="75">
        <v>1835</v>
      </c>
      <c r="S1861" s="75">
        <f t="shared" si="429"/>
        <v>0</v>
      </c>
      <c r="T1861" s="75">
        <v>1835</v>
      </c>
      <c r="U1861" s="200">
        <v>720</v>
      </c>
      <c r="V1861" s="287">
        <f t="shared" ca="1" si="426"/>
        <v>5</v>
      </c>
      <c r="W1861" s="75">
        <f t="shared" ca="1" si="427"/>
        <v>3600</v>
      </c>
      <c r="X1861" s="200">
        <f t="shared" ca="1" si="428"/>
        <v>4715</v>
      </c>
      <c r="Z1861" s="31">
        <v>0.1</v>
      </c>
      <c r="AA1861" s="223">
        <v>0.1</v>
      </c>
      <c r="AB1861" s="312" t="s">
        <v>7377</v>
      </c>
      <c r="AF1861">
        <f t="shared" si="403"/>
        <v>0</v>
      </c>
    </row>
    <row r="1862" spans="1:32" hidden="1" x14ac:dyDescent="0.25">
      <c r="A1862" s="315" t="s">
        <v>4939</v>
      </c>
      <c r="B1862" s="93" t="str">
        <f t="shared" si="424"/>
        <v>YES</v>
      </c>
      <c r="C1862" s="93" t="s">
        <v>5503</v>
      </c>
      <c r="D1862" s="95">
        <v>42213</v>
      </c>
      <c r="E1862" s="96">
        <v>42278</v>
      </c>
      <c r="F1862" s="2">
        <f t="shared" si="404"/>
        <v>45931</v>
      </c>
      <c r="G1862" s="6">
        <v>760</v>
      </c>
      <c r="H1862" s="93" t="s">
        <v>2461</v>
      </c>
      <c r="I1862" s="402" t="s">
        <v>1050</v>
      </c>
      <c r="J1862" s="184"/>
      <c r="K1862" s="266">
        <f t="shared" si="425"/>
        <v>2025</v>
      </c>
      <c r="L1862" s="393" t="s">
        <v>7601</v>
      </c>
      <c r="M1862" s="390" t="s">
        <v>6145</v>
      </c>
      <c r="N1862" s="166" t="s">
        <v>7771</v>
      </c>
      <c r="O1862" s="166" t="s">
        <v>4941</v>
      </c>
      <c r="Q1862" s="234" t="s">
        <v>4940</v>
      </c>
      <c r="R1862" s="75">
        <v>2815</v>
      </c>
      <c r="S1862" s="75">
        <f t="shared" si="429"/>
        <v>3040</v>
      </c>
      <c r="T1862" s="75">
        <v>5855</v>
      </c>
      <c r="U1862" s="200">
        <v>1140</v>
      </c>
      <c r="V1862" s="287">
        <f t="shared" ca="1" si="426"/>
        <v>5</v>
      </c>
      <c r="W1862" s="75">
        <f t="shared" ca="1" si="427"/>
        <v>5700</v>
      </c>
      <c r="X1862" s="200">
        <f t="shared" ca="1" si="428"/>
        <v>10415</v>
      </c>
      <c r="Z1862" s="31">
        <v>0.1</v>
      </c>
      <c r="AA1862" s="223">
        <v>0.1</v>
      </c>
      <c r="AB1862" s="302" t="s">
        <v>7378</v>
      </c>
      <c r="AF1862">
        <f t="shared" si="403"/>
        <v>0</v>
      </c>
    </row>
    <row r="1863" spans="1:32" ht="26.25" hidden="1" x14ac:dyDescent="0.25">
      <c r="A1863" s="315" t="s">
        <v>4942</v>
      </c>
      <c r="B1863" s="93" t="str">
        <f t="shared" si="424"/>
        <v>YES</v>
      </c>
      <c r="C1863" s="93" t="s">
        <v>5503</v>
      </c>
      <c r="D1863" s="95">
        <v>42213</v>
      </c>
      <c r="E1863" s="96">
        <v>42278</v>
      </c>
      <c r="F1863" s="2">
        <f t="shared" si="404"/>
        <v>45931</v>
      </c>
      <c r="G1863" s="6">
        <v>710</v>
      </c>
      <c r="H1863" s="93" t="s">
        <v>2461</v>
      </c>
      <c r="I1863" s="402" t="s">
        <v>1050</v>
      </c>
      <c r="J1863" s="184"/>
      <c r="K1863" s="266">
        <f t="shared" si="425"/>
        <v>2025</v>
      </c>
      <c r="L1863" s="393" t="s">
        <v>5638</v>
      </c>
      <c r="M1863" s="390" t="s">
        <v>6145</v>
      </c>
      <c r="N1863" s="166" t="s">
        <v>7771</v>
      </c>
      <c r="O1863" s="166" t="s">
        <v>4944</v>
      </c>
      <c r="P1863" s="283" t="s">
        <v>4945</v>
      </c>
      <c r="Q1863" s="234" t="s">
        <v>4943</v>
      </c>
      <c r="R1863" s="75">
        <v>2640</v>
      </c>
      <c r="S1863" s="75">
        <f t="shared" si="429"/>
        <v>0</v>
      </c>
      <c r="T1863" s="75">
        <v>2640</v>
      </c>
      <c r="U1863" s="200">
        <v>1065</v>
      </c>
      <c r="V1863" s="287">
        <f t="shared" ca="1" si="426"/>
        <v>5</v>
      </c>
      <c r="W1863" s="75">
        <f t="shared" ca="1" si="427"/>
        <v>5325</v>
      </c>
      <c r="X1863" s="200">
        <f t="shared" ca="1" si="428"/>
        <v>6900</v>
      </c>
      <c r="Z1863" s="31">
        <v>0.1</v>
      </c>
      <c r="AA1863" s="223">
        <v>0.1</v>
      </c>
      <c r="AB1863" s="302" t="s">
        <v>7379</v>
      </c>
      <c r="AF1863">
        <f t="shared" si="403"/>
        <v>0</v>
      </c>
    </row>
    <row r="1864" spans="1:32" ht="26.25" hidden="1" x14ac:dyDescent="0.25">
      <c r="A1864" s="315" t="s">
        <v>4946</v>
      </c>
      <c r="B1864" s="93" t="str">
        <f t="shared" si="424"/>
        <v>YES</v>
      </c>
      <c r="C1864" s="93" t="s">
        <v>5503</v>
      </c>
      <c r="D1864" s="95">
        <v>42213</v>
      </c>
      <c r="E1864" s="96">
        <v>42278</v>
      </c>
      <c r="F1864" s="2">
        <f t="shared" si="404"/>
        <v>45931</v>
      </c>
      <c r="G1864" s="6">
        <v>490</v>
      </c>
      <c r="H1864" s="93" t="s">
        <v>2461</v>
      </c>
      <c r="I1864" s="402" t="s">
        <v>1050</v>
      </c>
      <c r="J1864" s="184"/>
      <c r="K1864" s="266">
        <f t="shared" si="425"/>
        <v>2025</v>
      </c>
      <c r="L1864" s="393" t="s">
        <v>5638</v>
      </c>
      <c r="M1864" s="390" t="s">
        <v>6145</v>
      </c>
      <c r="N1864" s="166" t="s">
        <v>7771</v>
      </c>
      <c r="O1864" s="166" t="s">
        <v>4948</v>
      </c>
      <c r="Q1864" s="234" t="s">
        <v>4947</v>
      </c>
      <c r="R1864" s="75">
        <v>1870</v>
      </c>
      <c r="S1864" s="75">
        <f t="shared" si="429"/>
        <v>1960</v>
      </c>
      <c r="T1864" s="75">
        <v>3830</v>
      </c>
      <c r="U1864" s="200">
        <v>735</v>
      </c>
      <c r="V1864" s="287">
        <f t="shared" ca="1" si="426"/>
        <v>5</v>
      </c>
      <c r="W1864" s="75">
        <f t="shared" ca="1" si="427"/>
        <v>3675</v>
      </c>
      <c r="X1864" s="200">
        <f t="shared" ca="1" si="428"/>
        <v>6770</v>
      </c>
      <c r="Z1864" s="31">
        <v>0.1</v>
      </c>
      <c r="AA1864" s="223">
        <v>0.1</v>
      </c>
      <c r="AB1864" s="302" t="s">
        <v>7380</v>
      </c>
      <c r="AF1864">
        <f t="shared" si="403"/>
        <v>0</v>
      </c>
    </row>
    <row r="1865" spans="1:32" ht="64.5" hidden="1" x14ac:dyDescent="0.25">
      <c r="A1865" s="315" t="s">
        <v>4949</v>
      </c>
      <c r="B1865" s="93" t="str">
        <f t="shared" si="424"/>
        <v>YES</v>
      </c>
      <c r="C1865" s="93" t="s">
        <v>5503</v>
      </c>
      <c r="D1865" s="95">
        <v>42213</v>
      </c>
      <c r="E1865" s="96">
        <v>42278</v>
      </c>
      <c r="F1865" s="2">
        <f t="shared" si="404"/>
        <v>45931</v>
      </c>
      <c r="G1865" s="6">
        <v>1131.8800000000001</v>
      </c>
      <c r="H1865" s="93" t="s">
        <v>2461</v>
      </c>
      <c r="I1865" s="402" t="s">
        <v>1050</v>
      </c>
      <c r="J1865" s="184"/>
      <c r="K1865" s="266">
        <f t="shared" si="425"/>
        <v>2025</v>
      </c>
      <c r="L1865" s="393" t="s">
        <v>7601</v>
      </c>
      <c r="M1865" s="390" t="s">
        <v>7542</v>
      </c>
      <c r="N1865" s="166" t="s">
        <v>7771</v>
      </c>
      <c r="O1865" s="166" t="s">
        <v>4951</v>
      </c>
      <c r="P1865" s="283" t="s">
        <v>4952</v>
      </c>
      <c r="Q1865" s="234" t="s">
        <v>4950</v>
      </c>
      <c r="R1865" s="75">
        <v>4117</v>
      </c>
      <c r="S1865" s="75">
        <f t="shared" si="429"/>
        <v>0</v>
      </c>
      <c r="T1865" s="75">
        <v>4117</v>
      </c>
      <c r="U1865" s="200">
        <v>1698</v>
      </c>
      <c r="V1865" s="287">
        <f t="shared" ca="1" si="426"/>
        <v>5</v>
      </c>
      <c r="W1865" s="75">
        <f t="shared" ca="1" si="427"/>
        <v>8490</v>
      </c>
      <c r="X1865" s="200">
        <f t="shared" ca="1" si="428"/>
        <v>10909</v>
      </c>
      <c r="Z1865" s="31">
        <v>0.1</v>
      </c>
      <c r="AA1865" s="223">
        <v>0.1</v>
      </c>
      <c r="AB1865" s="302" t="s">
        <v>7381</v>
      </c>
      <c r="AF1865">
        <f t="shared" si="403"/>
        <v>0</v>
      </c>
    </row>
    <row r="1866" spans="1:32" hidden="1" x14ac:dyDescent="0.25">
      <c r="A1866" s="315" t="s">
        <v>4953</v>
      </c>
      <c r="B1866" s="93" t="str">
        <f t="shared" si="424"/>
        <v>YES</v>
      </c>
      <c r="C1866" s="93" t="s">
        <v>5503</v>
      </c>
      <c r="D1866" s="95">
        <v>42213</v>
      </c>
      <c r="E1866" s="96">
        <v>42278</v>
      </c>
      <c r="F1866" s="2">
        <f t="shared" si="404"/>
        <v>45931</v>
      </c>
      <c r="G1866" s="6">
        <v>80</v>
      </c>
      <c r="H1866" s="93" t="s">
        <v>2461</v>
      </c>
      <c r="I1866" s="402" t="s">
        <v>1050</v>
      </c>
      <c r="J1866" s="184"/>
      <c r="K1866" s="266">
        <f t="shared" si="425"/>
        <v>2025</v>
      </c>
      <c r="L1866" s="393" t="s">
        <v>7601</v>
      </c>
      <c r="M1866" s="390" t="s">
        <v>7542</v>
      </c>
      <c r="N1866" s="166" t="s">
        <v>7771</v>
      </c>
      <c r="O1866" s="166" t="s">
        <v>4955</v>
      </c>
      <c r="Q1866" s="234" t="s">
        <v>4954</v>
      </c>
      <c r="R1866" s="75">
        <v>435</v>
      </c>
      <c r="S1866" s="75">
        <f t="shared" si="429"/>
        <v>0</v>
      </c>
      <c r="T1866" s="75">
        <v>435</v>
      </c>
      <c r="U1866" s="200">
        <v>120</v>
      </c>
      <c r="V1866" s="287">
        <f t="shared" ca="1" si="426"/>
        <v>5</v>
      </c>
      <c r="W1866" s="75">
        <f t="shared" ca="1" si="427"/>
        <v>600</v>
      </c>
      <c r="X1866" s="200">
        <f t="shared" ca="1" si="428"/>
        <v>915</v>
      </c>
      <c r="Z1866" s="31">
        <v>0.1</v>
      </c>
      <c r="AA1866" s="223">
        <v>0.1</v>
      </c>
      <c r="AB1866" s="302" t="s">
        <v>7382</v>
      </c>
      <c r="AF1866">
        <f t="shared" si="403"/>
        <v>0</v>
      </c>
    </row>
    <row r="1867" spans="1:32" ht="26.25" hidden="1" x14ac:dyDescent="0.25">
      <c r="A1867" s="315" t="s">
        <v>4956</v>
      </c>
      <c r="B1867" s="93" t="str">
        <f t="shared" si="424"/>
        <v>YES</v>
      </c>
      <c r="C1867" s="93" t="s">
        <v>5503</v>
      </c>
      <c r="D1867" s="95">
        <v>42213</v>
      </c>
      <c r="E1867" s="96">
        <v>42278</v>
      </c>
      <c r="F1867" s="2">
        <f t="shared" si="404"/>
        <v>45931</v>
      </c>
      <c r="G1867" s="6">
        <v>249.73</v>
      </c>
      <c r="H1867" s="93" t="s">
        <v>2461</v>
      </c>
      <c r="I1867" s="402" t="s">
        <v>1050</v>
      </c>
      <c r="J1867" s="184"/>
      <c r="K1867" s="266">
        <f t="shared" si="425"/>
        <v>2025</v>
      </c>
      <c r="L1867" s="393" t="s">
        <v>5638</v>
      </c>
      <c r="M1867" s="390" t="s">
        <v>7542</v>
      </c>
      <c r="N1867" s="166" t="s">
        <v>7771</v>
      </c>
      <c r="O1867" s="166" t="s">
        <v>4958</v>
      </c>
      <c r="Q1867" s="234" t="s">
        <v>4957</v>
      </c>
      <c r="R1867" s="75">
        <v>1030</v>
      </c>
      <c r="S1867" s="75">
        <f t="shared" si="429"/>
        <v>5750</v>
      </c>
      <c r="T1867" s="75">
        <v>6780</v>
      </c>
      <c r="U1867" s="200">
        <v>375</v>
      </c>
      <c r="V1867" s="287">
        <f t="shared" ca="1" si="426"/>
        <v>5</v>
      </c>
      <c r="W1867" s="75">
        <f t="shared" ca="1" si="427"/>
        <v>1875</v>
      </c>
      <c r="X1867" s="200">
        <f t="shared" ca="1" si="428"/>
        <v>8280</v>
      </c>
      <c r="Z1867" s="31">
        <v>0.1</v>
      </c>
      <c r="AA1867" s="223">
        <v>0.1</v>
      </c>
      <c r="AB1867" s="302" t="s">
        <v>7383</v>
      </c>
      <c r="AF1867">
        <f t="shared" si="403"/>
        <v>0</v>
      </c>
    </row>
    <row r="1868" spans="1:32" hidden="1" x14ac:dyDescent="0.25">
      <c r="A1868" s="315" t="s">
        <v>4959</v>
      </c>
      <c r="B1868" s="93" t="str">
        <f t="shared" si="424"/>
        <v>YES</v>
      </c>
      <c r="C1868" s="93" t="s">
        <v>5503</v>
      </c>
      <c r="D1868" s="95">
        <v>42213</v>
      </c>
      <c r="E1868" s="96">
        <v>42278</v>
      </c>
      <c r="F1868" s="2">
        <f t="shared" si="404"/>
        <v>45931</v>
      </c>
      <c r="G1868" s="6">
        <v>72.28</v>
      </c>
      <c r="H1868" s="93" t="s">
        <v>2461</v>
      </c>
      <c r="I1868" s="402" t="s">
        <v>1050</v>
      </c>
      <c r="J1868" s="184"/>
      <c r="K1868" s="266">
        <f t="shared" si="425"/>
        <v>2025</v>
      </c>
      <c r="L1868" s="393" t="s">
        <v>5638</v>
      </c>
      <c r="M1868" s="390" t="s">
        <v>7542</v>
      </c>
      <c r="N1868" s="166" t="s">
        <v>7771</v>
      </c>
      <c r="O1868" s="166" t="s">
        <v>4961</v>
      </c>
      <c r="Q1868" s="234" t="s">
        <v>4960</v>
      </c>
      <c r="R1868" s="75">
        <v>410.5</v>
      </c>
      <c r="S1868" s="75">
        <f t="shared" si="429"/>
        <v>2044</v>
      </c>
      <c r="T1868" s="75">
        <v>2454.5</v>
      </c>
      <c r="U1868" s="200">
        <v>109.5</v>
      </c>
      <c r="V1868" s="287">
        <f t="shared" ca="1" si="426"/>
        <v>5</v>
      </c>
      <c r="W1868" s="75">
        <f t="shared" ca="1" si="427"/>
        <v>547.5</v>
      </c>
      <c r="X1868" s="200">
        <f t="shared" ca="1" si="428"/>
        <v>2892.5</v>
      </c>
      <c r="Z1868" s="31">
        <v>0.1</v>
      </c>
      <c r="AA1868" s="223">
        <v>0.1</v>
      </c>
      <c r="AB1868" s="302" t="s">
        <v>7384</v>
      </c>
      <c r="AF1868">
        <f t="shared" si="403"/>
        <v>0</v>
      </c>
    </row>
    <row r="1869" spans="1:32" ht="26.25" hidden="1" x14ac:dyDescent="0.25">
      <c r="A1869" s="315" t="s">
        <v>4962</v>
      </c>
      <c r="B1869" s="93" t="str">
        <f t="shared" si="424"/>
        <v>YES</v>
      </c>
      <c r="C1869" s="93" t="s">
        <v>5503</v>
      </c>
      <c r="D1869" s="95">
        <v>42213</v>
      </c>
      <c r="E1869" s="96">
        <v>42278</v>
      </c>
      <c r="F1869" s="2">
        <f t="shared" si="404"/>
        <v>45931</v>
      </c>
      <c r="G1869" s="6">
        <v>1059.92</v>
      </c>
      <c r="H1869" s="93" t="s">
        <v>2461</v>
      </c>
      <c r="I1869" s="402" t="s">
        <v>1050</v>
      </c>
      <c r="J1869" s="184"/>
      <c r="K1869" s="266">
        <f t="shared" si="425"/>
        <v>2025</v>
      </c>
      <c r="L1869" s="393" t="s">
        <v>5576</v>
      </c>
      <c r="M1869" s="390" t="s">
        <v>7542</v>
      </c>
      <c r="N1869" s="166" t="s">
        <v>7771</v>
      </c>
      <c r="O1869" s="166" t="s">
        <v>4964</v>
      </c>
      <c r="P1869" s="283" t="s">
        <v>5168</v>
      </c>
      <c r="Q1869" s="234" t="s">
        <v>4963</v>
      </c>
      <c r="R1869" s="75">
        <v>3865</v>
      </c>
      <c r="S1869" s="75">
        <f t="shared" si="429"/>
        <v>0</v>
      </c>
      <c r="T1869" s="75">
        <v>3865</v>
      </c>
      <c r="U1869" s="200">
        <v>1590</v>
      </c>
      <c r="V1869" s="287">
        <f t="shared" ca="1" si="426"/>
        <v>5</v>
      </c>
      <c r="W1869" s="75">
        <f t="shared" ca="1" si="427"/>
        <v>7950</v>
      </c>
      <c r="X1869" s="200">
        <f t="shared" ca="1" si="428"/>
        <v>10225</v>
      </c>
      <c r="Z1869" s="31">
        <v>0.1</v>
      </c>
      <c r="AA1869" s="223">
        <v>0.1</v>
      </c>
      <c r="AB1869" s="302" t="s">
        <v>7385</v>
      </c>
      <c r="AF1869">
        <f t="shared" si="403"/>
        <v>0</v>
      </c>
    </row>
    <row r="1870" spans="1:32" ht="26.25" hidden="1" x14ac:dyDescent="0.25">
      <c r="A1870" s="315" t="s">
        <v>4965</v>
      </c>
      <c r="B1870" s="93" t="str">
        <f t="shared" si="424"/>
        <v>YES</v>
      </c>
      <c r="C1870" s="93" t="s">
        <v>5503</v>
      </c>
      <c r="D1870" s="95">
        <v>42213</v>
      </c>
      <c r="E1870" s="96">
        <v>42278</v>
      </c>
      <c r="F1870" s="2">
        <f t="shared" si="404"/>
        <v>45931</v>
      </c>
      <c r="G1870" s="6">
        <v>392.65</v>
      </c>
      <c r="H1870" s="93" t="s">
        <v>2461</v>
      </c>
      <c r="I1870" s="402" t="s">
        <v>1050</v>
      </c>
      <c r="J1870" s="184"/>
      <c r="K1870" s="266">
        <f t="shared" si="425"/>
        <v>2025</v>
      </c>
      <c r="L1870" s="393" t="s">
        <v>5576</v>
      </c>
      <c r="M1870" s="390" t="s">
        <v>7542</v>
      </c>
      <c r="N1870" s="166" t="s">
        <v>7771</v>
      </c>
      <c r="O1870" s="166" t="s">
        <v>4967</v>
      </c>
      <c r="P1870" s="283" t="s">
        <v>4968</v>
      </c>
      <c r="Q1870" s="234" t="s">
        <v>4966</v>
      </c>
      <c r="R1870" s="75">
        <v>1530.5</v>
      </c>
      <c r="S1870" s="75">
        <f t="shared" si="429"/>
        <v>0</v>
      </c>
      <c r="T1870" s="75">
        <v>1530.5</v>
      </c>
      <c r="U1870" s="200">
        <v>589.5</v>
      </c>
      <c r="V1870" s="287">
        <f t="shared" ca="1" si="426"/>
        <v>5</v>
      </c>
      <c r="W1870" s="75">
        <f t="shared" ca="1" si="427"/>
        <v>2947.5</v>
      </c>
      <c r="X1870" s="200">
        <f t="shared" ca="1" si="428"/>
        <v>3888.5</v>
      </c>
      <c r="Z1870" s="31">
        <v>0.1</v>
      </c>
      <c r="AA1870" s="223">
        <v>0.1</v>
      </c>
      <c r="AB1870" s="302" t="s">
        <v>7386</v>
      </c>
      <c r="AF1870">
        <f t="shared" si="403"/>
        <v>0</v>
      </c>
    </row>
    <row r="1871" spans="1:32" ht="26.25" hidden="1" x14ac:dyDescent="0.25">
      <c r="A1871" s="315" t="s">
        <v>4969</v>
      </c>
      <c r="B1871" s="93" t="str">
        <f t="shared" si="424"/>
        <v>YES</v>
      </c>
      <c r="C1871" s="93" t="s">
        <v>5503</v>
      </c>
      <c r="D1871" s="95">
        <v>42213</v>
      </c>
      <c r="E1871" s="96">
        <v>42278</v>
      </c>
      <c r="F1871" s="2">
        <f t="shared" si="404"/>
        <v>45931</v>
      </c>
      <c r="G1871" s="6">
        <v>962.32</v>
      </c>
      <c r="H1871" s="93" t="s">
        <v>2461</v>
      </c>
      <c r="I1871" s="402" t="s">
        <v>1050</v>
      </c>
      <c r="J1871" s="184"/>
      <c r="K1871" s="266">
        <f t="shared" si="425"/>
        <v>2025</v>
      </c>
      <c r="L1871" s="393" t="s">
        <v>5576</v>
      </c>
      <c r="M1871" s="390" t="s">
        <v>7542</v>
      </c>
      <c r="N1871" s="166" t="s">
        <v>7771</v>
      </c>
      <c r="O1871" s="166" t="s">
        <v>4971</v>
      </c>
      <c r="P1871" s="283" t="s">
        <v>4972</v>
      </c>
      <c r="Q1871" s="234" t="s">
        <v>4970</v>
      </c>
      <c r="R1871" s="75">
        <v>3525.5</v>
      </c>
      <c r="S1871" s="75">
        <f t="shared" si="429"/>
        <v>0</v>
      </c>
      <c r="T1871" s="75">
        <v>3525.5</v>
      </c>
      <c r="U1871" s="200">
        <v>1444.5</v>
      </c>
      <c r="V1871" s="287">
        <f t="shared" ca="1" si="426"/>
        <v>5</v>
      </c>
      <c r="W1871" s="75">
        <f t="shared" ca="1" si="427"/>
        <v>7222.5</v>
      </c>
      <c r="X1871" s="200">
        <f t="shared" ca="1" si="428"/>
        <v>9303.5</v>
      </c>
      <c r="Z1871" s="31">
        <v>0.1</v>
      </c>
      <c r="AA1871" s="223">
        <v>0.1</v>
      </c>
      <c r="AB1871" s="302" t="s">
        <v>7387</v>
      </c>
      <c r="AF1871">
        <f t="shared" si="403"/>
        <v>0</v>
      </c>
    </row>
    <row r="1872" spans="1:32" ht="39" hidden="1" x14ac:dyDescent="0.25">
      <c r="A1872" s="315" t="s">
        <v>4973</v>
      </c>
      <c r="B1872" s="93" t="str">
        <f t="shared" si="424"/>
        <v>YES</v>
      </c>
      <c r="C1872" s="93" t="s">
        <v>5503</v>
      </c>
      <c r="D1872" s="95">
        <v>42213</v>
      </c>
      <c r="E1872" s="96">
        <v>42278</v>
      </c>
      <c r="F1872" s="2">
        <f t="shared" si="404"/>
        <v>45931</v>
      </c>
      <c r="G1872" s="6">
        <v>884.68</v>
      </c>
      <c r="H1872" s="93" t="s">
        <v>2461</v>
      </c>
      <c r="I1872" s="402" t="s">
        <v>1050</v>
      </c>
      <c r="J1872" s="184"/>
      <c r="K1872" s="266">
        <f t="shared" si="425"/>
        <v>2025</v>
      </c>
      <c r="L1872" s="393" t="s">
        <v>5576</v>
      </c>
      <c r="M1872" s="390" t="s">
        <v>7542</v>
      </c>
      <c r="N1872" s="166" t="s">
        <v>7771</v>
      </c>
      <c r="O1872" s="166" t="s">
        <v>4975</v>
      </c>
      <c r="P1872" s="283" t="s">
        <v>4976</v>
      </c>
      <c r="Q1872" s="234" t="s">
        <v>4974</v>
      </c>
      <c r="R1872" s="75">
        <v>3252.5</v>
      </c>
      <c r="S1872" s="75">
        <f t="shared" si="429"/>
        <v>0</v>
      </c>
      <c r="T1872" s="75">
        <v>3252.5</v>
      </c>
      <c r="U1872" s="200">
        <v>1327.5</v>
      </c>
      <c r="V1872" s="287">
        <f t="shared" ca="1" si="426"/>
        <v>5</v>
      </c>
      <c r="W1872" s="75">
        <f t="shared" ca="1" si="427"/>
        <v>6637.5</v>
      </c>
      <c r="X1872" s="200">
        <f t="shared" ca="1" si="428"/>
        <v>8562.5</v>
      </c>
      <c r="Z1872" s="31">
        <v>0.1</v>
      </c>
      <c r="AA1872" s="223">
        <v>0.1</v>
      </c>
      <c r="AB1872" s="302" t="s">
        <v>7388</v>
      </c>
      <c r="AF1872">
        <f t="shared" si="403"/>
        <v>0</v>
      </c>
    </row>
    <row r="1873" spans="1:32" ht="39" hidden="1" x14ac:dyDescent="0.25">
      <c r="A1873" s="315" t="s">
        <v>4977</v>
      </c>
      <c r="B1873" s="93" t="str">
        <f t="shared" si="424"/>
        <v>YES</v>
      </c>
      <c r="C1873" s="93" t="s">
        <v>5503</v>
      </c>
      <c r="D1873" s="95">
        <v>42213</v>
      </c>
      <c r="E1873" s="97">
        <v>42248</v>
      </c>
      <c r="F1873" s="2">
        <f t="shared" si="404"/>
        <v>45901</v>
      </c>
      <c r="G1873" s="6">
        <v>110.64</v>
      </c>
      <c r="H1873" s="93" t="s">
        <v>1049</v>
      </c>
      <c r="I1873" s="402" t="s">
        <v>1050</v>
      </c>
      <c r="J1873" s="184"/>
      <c r="K1873" s="266">
        <f t="shared" si="425"/>
        <v>2025</v>
      </c>
      <c r="L1873" s="399" t="s">
        <v>7772</v>
      </c>
      <c r="M1873" s="301" t="s">
        <v>7542</v>
      </c>
      <c r="N1873" s="166" t="s">
        <v>7771</v>
      </c>
      <c r="O1873" s="166" t="s">
        <v>4979</v>
      </c>
      <c r="P1873" s="283" t="s">
        <v>7826</v>
      </c>
      <c r="Q1873" s="234" t="s">
        <v>4978</v>
      </c>
      <c r="R1873" s="75">
        <v>543.5</v>
      </c>
      <c r="S1873" s="75">
        <f t="shared" ref="S1873:S1891" si="430">+T1873-R1873</f>
        <v>0</v>
      </c>
      <c r="T1873" s="75">
        <v>543.5</v>
      </c>
      <c r="U1873" s="200">
        <v>166.5</v>
      </c>
      <c r="V1873" s="287">
        <f t="shared" ca="1" si="426"/>
        <v>5</v>
      </c>
      <c r="W1873" s="75">
        <f t="shared" ca="1" si="427"/>
        <v>832.5</v>
      </c>
      <c r="X1873" s="200">
        <f t="shared" ca="1" si="428"/>
        <v>1209.5</v>
      </c>
      <c r="Z1873" s="31">
        <v>0.1</v>
      </c>
      <c r="AA1873" s="223">
        <v>0.1</v>
      </c>
      <c r="AB1873" s="312" t="s">
        <v>7830</v>
      </c>
      <c r="AF1873">
        <f t="shared" si="403"/>
        <v>0</v>
      </c>
    </row>
    <row r="1874" spans="1:32" ht="64.5" hidden="1" x14ac:dyDescent="0.25">
      <c r="A1874" s="315" t="s">
        <v>4980</v>
      </c>
      <c r="B1874" s="93" t="str">
        <f t="shared" si="424"/>
        <v>YES</v>
      </c>
      <c r="C1874" s="93" t="s">
        <v>5503</v>
      </c>
      <c r="D1874" s="95">
        <v>42213</v>
      </c>
      <c r="E1874" s="97">
        <v>42248</v>
      </c>
      <c r="F1874" s="2">
        <f t="shared" si="404"/>
        <v>45901</v>
      </c>
      <c r="G1874" s="6">
        <v>936.81</v>
      </c>
      <c r="H1874" s="93" t="s">
        <v>2461</v>
      </c>
      <c r="I1874" s="402" t="s">
        <v>1050</v>
      </c>
      <c r="J1874" s="184"/>
      <c r="K1874" s="266">
        <f t="shared" si="425"/>
        <v>2025</v>
      </c>
      <c r="L1874" s="393" t="s">
        <v>7601</v>
      </c>
      <c r="M1874" s="390" t="s">
        <v>6026</v>
      </c>
      <c r="N1874" s="166" t="s">
        <v>7771</v>
      </c>
      <c r="O1874" s="166" t="s">
        <v>4982</v>
      </c>
      <c r="P1874" s="283" t="s">
        <v>4983</v>
      </c>
      <c r="Q1874" s="234" t="s">
        <v>4981</v>
      </c>
      <c r="R1874" s="75">
        <v>3434.5</v>
      </c>
      <c r="S1874" s="75">
        <f t="shared" si="430"/>
        <v>0</v>
      </c>
      <c r="T1874" s="75">
        <v>3434.5</v>
      </c>
      <c r="U1874" s="200">
        <v>1405.5</v>
      </c>
      <c r="V1874" s="287">
        <f t="shared" ca="1" si="426"/>
        <v>5</v>
      </c>
      <c r="W1874" s="75">
        <f t="shared" ca="1" si="427"/>
        <v>7027.5</v>
      </c>
      <c r="X1874" s="200">
        <f t="shared" ca="1" si="428"/>
        <v>9056.5</v>
      </c>
      <c r="Z1874" s="31">
        <v>0.1</v>
      </c>
      <c r="AA1874" s="223">
        <v>0.1</v>
      </c>
      <c r="AB1874" s="312" t="s">
        <v>7389</v>
      </c>
      <c r="AF1874">
        <f t="shared" si="403"/>
        <v>0</v>
      </c>
    </row>
    <row r="1875" spans="1:32" ht="26.25" hidden="1" x14ac:dyDescent="0.25">
      <c r="A1875" s="315" t="s">
        <v>4984</v>
      </c>
      <c r="B1875" s="93" t="str">
        <f t="shared" si="424"/>
        <v>YES</v>
      </c>
      <c r="C1875" s="93" t="s">
        <v>5503</v>
      </c>
      <c r="D1875" s="95">
        <v>42213</v>
      </c>
      <c r="E1875" s="97">
        <v>42248</v>
      </c>
      <c r="F1875" s="2">
        <f t="shared" si="404"/>
        <v>45901</v>
      </c>
      <c r="G1875" s="6">
        <v>737.11</v>
      </c>
      <c r="H1875" s="93" t="s">
        <v>2461</v>
      </c>
      <c r="I1875" s="402" t="s">
        <v>1050</v>
      </c>
      <c r="J1875" s="184"/>
      <c r="K1875" s="266">
        <f t="shared" si="425"/>
        <v>2025</v>
      </c>
      <c r="L1875" s="393" t="s">
        <v>5638</v>
      </c>
      <c r="M1875" s="390" t="s">
        <v>6026</v>
      </c>
      <c r="N1875" s="166" t="s">
        <v>7771</v>
      </c>
      <c r="O1875" s="166" t="s">
        <v>4986</v>
      </c>
      <c r="P1875" s="283" t="s">
        <v>4987</v>
      </c>
      <c r="Q1875" s="234" t="s">
        <v>4985</v>
      </c>
      <c r="R1875" s="75">
        <v>2738</v>
      </c>
      <c r="S1875" s="75">
        <f t="shared" si="430"/>
        <v>16974</v>
      </c>
      <c r="T1875" s="75">
        <v>19712</v>
      </c>
      <c r="U1875" s="200">
        <v>1107</v>
      </c>
      <c r="V1875" s="287">
        <f t="shared" ca="1" si="426"/>
        <v>5</v>
      </c>
      <c r="W1875" s="75">
        <f t="shared" ca="1" si="427"/>
        <v>5535</v>
      </c>
      <c r="X1875" s="200">
        <f t="shared" ca="1" si="428"/>
        <v>24140</v>
      </c>
      <c r="Z1875" s="31">
        <v>0.1</v>
      </c>
      <c r="AA1875" s="223">
        <v>0.1</v>
      </c>
      <c r="AB1875" s="312" t="s">
        <v>7390</v>
      </c>
      <c r="AF1875">
        <f t="shared" si="403"/>
        <v>0</v>
      </c>
    </row>
    <row r="1876" spans="1:32" ht="26.25" hidden="1" x14ac:dyDescent="0.25">
      <c r="A1876" s="315" t="s">
        <v>4988</v>
      </c>
      <c r="B1876" s="93" t="str">
        <f t="shared" si="424"/>
        <v>YES</v>
      </c>
      <c r="C1876" s="93" t="s">
        <v>5503</v>
      </c>
      <c r="D1876" s="95">
        <v>42213</v>
      </c>
      <c r="E1876" s="97">
        <v>42248</v>
      </c>
      <c r="F1876" s="2">
        <f t="shared" si="404"/>
        <v>45901</v>
      </c>
      <c r="G1876" s="6">
        <v>320</v>
      </c>
      <c r="H1876" s="93" t="s">
        <v>2461</v>
      </c>
      <c r="I1876" s="402" t="s">
        <v>1050</v>
      </c>
      <c r="J1876" s="184"/>
      <c r="K1876" s="266">
        <f t="shared" si="425"/>
        <v>2025</v>
      </c>
      <c r="L1876" s="393" t="s">
        <v>5638</v>
      </c>
      <c r="M1876" s="390" t="s">
        <v>6026</v>
      </c>
      <c r="N1876" s="166" t="s">
        <v>7771</v>
      </c>
      <c r="O1876" s="166" t="s">
        <v>4990</v>
      </c>
      <c r="Q1876" s="234" t="s">
        <v>4989</v>
      </c>
      <c r="R1876" s="75">
        <v>1275</v>
      </c>
      <c r="S1876" s="75">
        <f t="shared" si="430"/>
        <v>8960</v>
      </c>
      <c r="T1876" s="75">
        <v>10235</v>
      </c>
      <c r="U1876" s="200">
        <v>480</v>
      </c>
      <c r="V1876" s="287">
        <f t="shared" ca="1" si="426"/>
        <v>5</v>
      </c>
      <c r="W1876" s="75">
        <f t="shared" ca="1" si="427"/>
        <v>2400</v>
      </c>
      <c r="X1876" s="200">
        <f t="shared" ca="1" si="428"/>
        <v>12155</v>
      </c>
      <c r="Z1876" s="31">
        <v>0.1</v>
      </c>
      <c r="AA1876" s="223">
        <v>0.1</v>
      </c>
      <c r="AB1876" s="312" t="s">
        <v>7391</v>
      </c>
      <c r="AF1876">
        <f t="shared" si="403"/>
        <v>0</v>
      </c>
    </row>
    <row r="1877" spans="1:32" ht="26.25" hidden="1" x14ac:dyDescent="0.25">
      <c r="A1877" s="315" t="s">
        <v>4991</v>
      </c>
      <c r="B1877" s="93" t="str">
        <f t="shared" si="424"/>
        <v>YES</v>
      </c>
      <c r="C1877" s="93" t="s">
        <v>5503</v>
      </c>
      <c r="D1877" s="95">
        <v>42213</v>
      </c>
      <c r="E1877" s="97">
        <v>42248</v>
      </c>
      <c r="F1877" s="2">
        <f t="shared" si="404"/>
        <v>45901</v>
      </c>
      <c r="G1877" s="6">
        <v>484.85</v>
      </c>
      <c r="H1877" s="93" t="s">
        <v>2461</v>
      </c>
      <c r="I1877" s="402" t="s">
        <v>1050</v>
      </c>
      <c r="J1877" s="184"/>
      <c r="K1877" s="266">
        <f t="shared" si="425"/>
        <v>2025</v>
      </c>
      <c r="L1877" s="393" t="s">
        <v>5638</v>
      </c>
      <c r="M1877" s="390" t="s">
        <v>6026</v>
      </c>
      <c r="N1877" s="166" t="s">
        <v>7771</v>
      </c>
      <c r="O1877" s="166" t="s">
        <v>4993</v>
      </c>
      <c r="P1877" s="283" t="s">
        <v>4994</v>
      </c>
      <c r="Q1877" s="234" t="s">
        <v>4992</v>
      </c>
      <c r="R1877" s="75">
        <v>1852.5</v>
      </c>
      <c r="S1877" s="75">
        <f t="shared" si="430"/>
        <v>11640</v>
      </c>
      <c r="T1877" s="75">
        <v>13492.5</v>
      </c>
      <c r="U1877" s="200">
        <v>727.5</v>
      </c>
      <c r="V1877" s="287">
        <f t="shared" ca="1" si="426"/>
        <v>5</v>
      </c>
      <c r="W1877" s="75">
        <f t="shared" ca="1" si="427"/>
        <v>3637.5</v>
      </c>
      <c r="X1877" s="200">
        <f t="shared" ca="1" si="428"/>
        <v>16402.5</v>
      </c>
      <c r="Z1877" s="31">
        <v>0.1</v>
      </c>
      <c r="AA1877" s="223">
        <v>0.1</v>
      </c>
      <c r="AB1877" s="312" t="s">
        <v>7392</v>
      </c>
      <c r="AF1877">
        <f t="shared" si="403"/>
        <v>0</v>
      </c>
    </row>
    <row r="1878" spans="1:32" ht="26.25" hidden="1" x14ac:dyDescent="0.25">
      <c r="A1878" s="315" t="s">
        <v>4995</v>
      </c>
      <c r="B1878" s="93" t="str">
        <f t="shared" si="424"/>
        <v>YES</v>
      </c>
      <c r="C1878" s="93" t="s">
        <v>5503</v>
      </c>
      <c r="D1878" s="95">
        <v>42213</v>
      </c>
      <c r="E1878" s="97">
        <v>42248</v>
      </c>
      <c r="F1878" s="2">
        <f t="shared" si="404"/>
        <v>45901</v>
      </c>
      <c r="G1878" s="6">
        <v>1129.9100000000001</v>
      </c>
      <c r="H1878" s="93" t="s">
        <v>2461</v>
      </c>
      <c r="I1878" s="402" t="s">
        <v>1050</v>
      </c>
      <c r="J1878" s="184"/>
      <c r="K1878" s="266">
        <f t="shared" si="425"/>
        <v>2025</v>
      </c>
      <c r="L1878" s="393" t="s">
        <v>5638</v>
      </c>
      <c r="M1878" s="390" t="s">
        <v>6026</v>
      </c>
      <c r="N1878" s="166" t="s">
        <v>7771</v>
      </c>
      <c r="O1878" s="166" t="s">
        <v>4997</v>
      </c>
      <c r="P1878" s="283" t="s">
        <v>4998</v>
      </c>
      <c r="Q1878" s="234" t="s">
        <v>4996</v>
      </c>
      <c r="R1878" s="75">
        <v>4110</v>
      </c>
      <c r="S1878" s="75">
        <f t="shared" si="430"/>
        <v>27120</v>
      </c>
      <c r="T1878" s="75">
        <v>31230</v>
      </c>
      <c r="U1878" s="200">
        <v>1695</v>
      </c>
      <c r="V1878" s="287">
        <f t="shared" ca="1" si="426"/>
        <v>5</v>
      </c>
      <c r="W1878" s="75">
        <f t="shared" ca="1" si="427"/>
        <v>8475</v>
      </c>
      <c r="X1878" s="200">
        <f t="shared" ca="1" si="428"/>
        <v>38010</v>
      </c>
      <c r="Z1878" s="31">
        <v>0.1</v>
      </c>
      <c r="AA1878" s="223">
        <v>0.1</v>
      </c>
      <c r="AB1878" s="312" t="s">
        <v>7393</v>
      </c>
      <c r="AF1878">
        <f t="shared" si="403"/>
        <v>0</v>
      </c>
    </row>
    <row r="1879" spans="1:32" hidden="1" x14ac:dyDescent="0.25">
      <c r="A1879" s="315" t="s">
        <v>4999</v>
      </c>
      <c r="B1879" s="93" t="str">
        <f t="shared" si="424"/>
        <v>YES</v>
      </c>
      <c r="C1879" s="93" t="s">
        <v>5503</v>
      </c>
      <c r="D1879" s="95">
        <v>42213</v>
      </c>
      <c r="E1879" s="97">
        <v>42248</v>
      </c>
      <c r="F1879" s="2">
        <f t="shared" si="404"/>
        <v>45901</v>
      </c>
      <c r="G1879" s="6">
        <v>122.81</v>
      </c>
      <c r="H1879" s="93" t="s">
        <v>2461</v>
      </c>
      <c r="I1879" s="402" t="s">
        <v>1050</v>
      </c>
      <c r="J1879" s="184"/>
      <c r="K1879" s="266">
        <f t="shared" si="425"/>
        <v>2025</v>
      </c>
      <c r="L1879" s="393" t="s">
        <v>5576</v>
      </c>
      <c r="M1879" s="390" t="s">
        <v>6026</v>
      </c>
      <c r="N1879" s="166" t="s">
        <v>7771</v>
      </c>
      <c r="O1879" s="166" t="s">
        <v>5001</v>
      </c>
      <c r="Q1879" s="234" t="s">
        <v>5000</v>
      </c>
      <c r="R1879" s="75">
        <v>585.5</v>
      </c>
      <c r="S1879" s="75">
        <f t="shared" si="430"/>
        <v>0</v>
      </c>
      <c r="T1879" s="75">
        <v>585.5</v>
      </c>
      <c r="U1879" s="200">
        <v>184.5</v>
      </c>
      <c r="V1879" s="287">
        <f t="shared" ca="1" si="426"/>
        <v>5</v>
      </c>
      <c r="W1879" s="75">
        <f t="shared" ca="1" si="427"/>
        <v>922.5</v>
      </c>
      <c r="X1879" s="200">
        <f t="shared" ca="1" si="428"/>
        <v>1323.5</v>
      </c>
      <c r="Z1879" s="31">
        <v>0.1</v>
      </c>
      <c r="AA1879" s="223">
        <v>0.1</v>
      </c>
      <c r="AB1879" s="312" t="s">
        <v>7394</v>
      </c>
      <c r="AF1879">
        <f t="shared" si="403"/>
        <v>0</v>
      </c>
    </row>
    <row r="1880" spans="1:32" ht="26.25" hidden="1" x14ac:dyDescent="0.25">
      <c r="A1880" s="315" t="s">
        <v>5002</v>
      </c>
      <c r="B1880" s="93" t="str">
        <f t="shared" si="424"/>
        <v>YES</v>
      </c>
      <c r="C1880" s="93" t="s">
        <v>5503</v>
      </c>
      <c r="D1880" s="95">
        <v>42213</v>
      </c>
      <c r="E1880" s="97">
        <v>42248</v>
      </c>
      <c r="F1880" s="2">
        <f t="shared" si="404"/>
        <v>45901</v>
      </c>
      <c r="G1880" s="6">
        <v>560</v>
      </c>
      <c r="H1880" s="93" t="s">
        <v>2461</v>
      </c>
      <c r="I1880" s="422" t="s">
        <v>1050</v>
      </c>
      <c r="J1880" s="184"/>
      <c r="K1880" s="266">
        <f t="shared" si="425"/>
        <v>2025</v>
      </c>
      <c r="L1880" s="393" t="s">
        <v>5576</v>
      </c>
      <c r="M1880" s="390" t="s">
        <v>6026</v>
      </c>
      <c r="N1880" s="166" t="s">
        <v>7771</v>
      </c>
      <c r="O1880" s="166" t="s">
        <v>5004</v>
      </c>
      <c r="P1880" s="283" t="s">
        <v>5005</v>
      </c>
      <c r="Q1880" s="234" t="s">
        <v>5003</v>
      </c>
      <c r="R1880" s="75">
        <v>2115</v>
      </c>
      <c r="S1880" s="75">
        <f t="shared" si="430"/>
        <v>0</v>
      </c>
      <c r="T1880" s="75">
        <v>2115</v>
      </c>
      <c r="U1880" s="200">
        <v>840</v>
      </c>
      <c r="V1880" s="287">
        <f t="shared" ca="1" si="426"/>
        <v>5</v>
      </c>
      <c r="W1880" s="75">
        <f t="shared" ca="1" si="427"/>
        <v>4200</v>
      </c>
      <c r="X1880" s="200">
        <f t="shared" ca="1" si="428"/>
        <v>5475</v>
      </c>
      <c r="Z1880" s="31">
        <v>0.1</v>
      </c>
      <c r="AA1880" s="223">
        <v>0.1</v>
      </c>
      <c r="AB1880" s="312" t="s">
        <v>7395</v>
      </c>
      <c r="AF1880">
        <f t="shared" si="403"/>
        <v>0</v>
      </c>
    </row>
    <row r="1881" spans="1:32" ht="26.25" hidden="1" x14ac:dyDescent="0.25">
      <c r="A1881" s="315" t="s">
        <v>5006</v>
      </c>
      <c r="B1881" s="93" t="str">
        <f t="shared" si="424"/>
        <v>YES</v>
      </c>
      <c r="C1881" s="93" t="s">
        <v>5503</v>
      </c>
      <c r="D1881" s="95">
        <v>42213</v>
      </c>
      <c r="E1881" s="97">
        <v>42248</v>
      </c>
      <c r="F1881" s="2">
        <f t="shared" si="404"/>
        <v>45901</v>
      </c>
      <c r="G1881" s="6">
        <v>880</v>
      </c>
      <c r="H1881" s="93" t="s">
        <v>2461</v>
      </c>
      <c r="I1881" s="402" t="s">
        <v>1050</v>
      </c>
      <c r="J1881" s="184"/>
      <c r="K1881" s="266">
        <f t="shared" si="425"/>
        <v>2025</v>
      </c>
      <c r="L1881" s="393" t="s">
        <v>5576</v>
      </c>
      <c r="M1881" s="390" t="s">
        <v>6026</v>
      </c>
      <c r="N1881" s="166" t="s">
        <v>7771</v>
      </c>
      <c r="O1881" s="166" t="s">
        <v>5008</v>
      </c>
      <c r="Q1881" s="234" t="s">
        <v>5007</v>
      </c>
      <c r="R1881" s="75">
        <v>3235</v>
      </c>
      <c r="S1881" s="75">
        <f t="shared" si="430"/>
        <v>0</v>
      </c>
      <c r="T1881" s="75">
        <v>3235</v>
      </c>
      <c r="U1881" s="200">
        <v>1320</v>
      </c>
      <c r="V1881" s="287">
        <f t="shared" ca="1" si="426"/>
        <v>5</v>
      </c>
      <c r="W1881" s="75">
        <f t="shared" ca="1" si="427"/>
        <v>6600</v>
      </c>
      <c r="X1881" s="200">
        <f t="shared" ca="1" si="428"/>
        <v>8515</v>
      </c>
      <c r="Z1881" s="31">
        <v>0.1</v>
      </c>
      <c r="AA1881" s="223">
        <v>0.1</v>
      </c>
      <c r="AB1881" s="312" t="s">
        <v>7396</v>
      </c>
      <c r="AF1881">
        <f t="shared" si="403"/>
        <v>0</v>
      </c>
    </row>
    <row r="1882" spans="1:32" ht="26.25" hidden="1" x14ac:dyDescent="0.25">
      <c r="A1882" s="315" t="s">
        <v>5009</v>
      </c>
      <c r="B1882" s="93" t="str">
        <f t="shared" si="424"/>
        <v>YES</v>
      </c>
      <c r="C1882" s="93" t="s">
        <v>5503</v>
      </c>
      <c r="D1882" s="95">
        <v>42213</v>
      </c>
      <c r="E1882" s="97">
        <v>42248</v>
      </c>
      <c r="F1882" s="2">
        <f t="shared" si="404"/>
        <v>45901</v>
      </c>
      <c r="G1882" s="6">
        <v>1080</v>
      </c>
      <c r="H1882" s="93" t="s">
        <v>2461</v>
      </c>
      <c r="I1882" s="402" t="s">
        <v>1050</v>
      </c>
      <c r="J1882" s="184"/>
      <c r="K1882" s="266">
        <f t="shared" si="425"/>
        <v>2025</v>
      </c>
      <c r="L1882" s="393" t="s">
        <v>5576</v>
      </c>
      <c r="M1882" s="390" t="s">
        <v>6026</v>
      </c>
      <c r="N1882" s="166" t="s">
        <v>7771</v>
      </c>
      <c r="O1882" s="166" t="s">
        <v>5011</v>
      </c>
      <c r="Q1882" s="234" t="s">
        <v>5010</v>
      </c>
      <c r="R1882" s="75">
        <v>3935</v>
      </c>
      <c r="S1882" s="75">
        <f t="shared" si="430"/>
        <v>0</v>
      </c>
      <c r="T1882" s="75">
        <v>3935</v>
      </c>
      <c r="U1882" s="200">
        <v>1620</v>
      </c>
      <c r="V1882" s="287">
        <f t="shared" ca="1" si="426"/>
        <v>5</v>
      </c>
      <c r="W1882" s="75">
        <f t="shared" ca="1" si="427"/>
        <v>8100</v>
      </c>
      <c r="X1882" s="200">
        <f t="shared" ca="1" si="428"/>
        <v>10415</v>
      </c>
      <c r="Z1882" s="31">
        <v>0.1</v>
      </c>
      <c r="AA1882" s="223">
        <v>0.1</v>
      </c>
      <c r="AB1882" s="312" t="s">
        <v>7397</v>
      </c>
      <c r="AF1882">
        <f t="shared" si="403"/>
        <v>0</v>
      </c>
    </row>
    <row r="1883" spans="1:32" ht="77.25" hidden="1" x14ac:dyDescent="0.25">
      <c r="A1883" s="315" t="s">
        <v>5012</v>
      </c>
      <c r="B1883" s="93" t="str">
        <f t="shared" si="424"/>
        <v>YES</v>
      </c>
      <c r="C1883" s="93" t="s">
        <v>5503</v>
      </c>
      <c r="D1883" s="95">
        <v>42213</v>
      </c>
      <c r="E1883" s="97">
        <v>42248</v>
      </c>
      <c r="F1883" s="2">
        <f t="shared" si="404"/>
        <v>45901</v>
      </c>
      <c r="G1883" s="6">
        <v>239</v>
      </c>
      <c r="H1883" s="98" t="s">
        <v>2461</v>
      </c>
      <c r="I1883" s="402" t="s">
        <v>1050</v>
      </c>
      <c r="J1883" s="184"/>
      <c r="K1883" s="266">
        <f t="shared" si="425"/>
        <v>2025</v>
      </c>
      <c r="L1883" s="393" t="s">
        <v>5638</v>
      </c>
      <c r="M1883" s="390" t="s">
        <v>6145</v>
      </c>
      <c r="N1883" s="166" t="s">
        <v>7771</v>
      </c>
      <c r="O1883" s="166" t="s">
        <v>5014</v>
      </c>
      <c r="P1883" s="283" t="s">
        <v>5015</v>
      </c>
      <c r="Q1883" s="234" t="s">
        <v>5013</v>
      </c>
      <c r="R1883" s="75">
        <f>991.5</f>
        <v>991.5</v>
      </c>
      <c r="S1883" s="75">
        <f t="shared" si="430"/>
        <v>0</v>
      </c>
      <c r="T1883" s="75">
        <v>991.5</v>
      </c>
      <c r="U1883" s="200">
        <v>358.5</v>
      </c>
      <c r="V1883" s="287">
        <f t="shared" ca="1" si="426"/>
        <v>5</v>
      </c>
      <c r="W1883" s="75">
        <f t="shared" ca="1" si="427"/>
        <v>1792.5</v>
      </c>
      <c r="X1883" s="200">
        <f t="shared" ca="1" si="428"/>
        <v>2425.5</v>
      </c>
      <c r="Z1883" s="31">
        <v>0.1</v>
      </c>
      <c r="AA1883" s="223">
        <v>0.1</v>
      </c>
      <c r="AB1883" s="312" t="s">
        <v>7398</v>
      </c>
      <c r="AF1883">
        <f t="shared" si="403"/>
        <v>0</v>
      </c>
    </row>
    <row r="1884" spans="1:32" hidden="1" x14ac:dyDescent="0.25">
      <c r="A1884" s="315" t="s">
        <v>5016</v>
      </c>
      <c r="B1884" s="93" t="str">
        <f t="shared" si="424"/>
        <v>YES</v>
      </c>
      <c r="C1884" s="93" t="s">
        <v>5503</v>
      </c>
      <c r="D1884" s="95">
        <v>42213</v>
      </c>
      <c r="E1884" s="97">
        <v>42248</v>
      </c>
      <c r="F1884" s="2">
        <f t="shared" si="404"/>
        <v>45901</v>
      </c>
      <c r="G1884" s="6">
        <v>45</v>
      </c>
      <c r="H1884" s="93" t="s">
        <v>2461</v>
      </c>
      <c r="I1884" s="402" t="s">
        <v>1050</v>
      </c>
      <c r="J1884" s="192" t="s">
        <v>5019</v>
      </c>
      <c r="K1884" s="266">
        <f t="shared" si="425"/>
        <v>2025</v>
      </c>
      <c r="L1884" s="393" t="s">
        <v>5638</v>
      </c>
      <c r="M1884" s="390" t="s">
        <v>6145</v>
      </c>
      <c r="N1884" s="166" t="s">
        <v>7771</v>
      </c>
      <c r="O1884" s="166" t="s">
        <v>5018</v>
      </c>
      <c r="Q1884" s="234" t="s">
        <v>5017</v>
      </c>
      <c r="R1884" s="75">
        <v>312.5</v>
      </c>
      <c r="S1884" s="75">
        <f t="shared" si="430"/>
        <v>0</v>
      </c>
      <c r="T1884" s="75">
        <v>312.5</v>
      </c>
      <c r="U1884" s="200">
        <v>67.5</v>
      </c>
      <c r="V1884" s="287">
        <f t="shared" ca="1" si="426"/>
        <v>5</v>
      </c>
      <c r="W1884" s="75">
        <f t="shared" ca="1" si="427"/>
        <v>337.5</v>
      </c>
      <c r="X1884" s="200">
        <f t="shared" ca="1" si="428"/>
        <v>582.5</v>
      </c>
      <c r="Z1884" s="31">
        <v>0.1</v>
      </c>
      <c r="AA1884" s="223">
        <v>0.1</v>
      </c>
      <c r="AB1884" s="312" t="s">
        <v>7399</v>
      </c>
      <c r="AF1884">
        <f t="shared" ref="AF1884:AF2090" si="431">COUNTIF(FilterList,A1884)</f>
        <v>0</v>
      </c>
    </row>
    <row r="1885" spans="1:32" hidden="1" x14ac:dyDescent="0.25">
      <c r="A1885" s="315" t="s">
        <v>5020</v>
      </c>
      <c r="B1885" s="93" t="str">
        <f t="shared" si="424"/>
        <v>YES</v>
      </c>
      <c r="C1885" s="93" t="s">
        <v>5503</v>
      </c>
      <c r="D1885" s="95">
        <v>42213</v>
      </c>
      <c r="E1885" s="97">
        <v>42248</v>
      </c>
      <c r="F1885" s="2">
        <f t="shared" ref="F1885:F2092" si="432">DATE(YEAR(E1885)+10,MONTH(E1885),DAY(E1885))</f>
        <v>45901</v>
      </c>
      <c r="G1885" s="6">
        <v>40</v>
      </c>
      <c r="H1885" s="93" t="s">
        <v>2461</v>
      </c>
      <c r="I1885" s="402" t="s">
        <v>1050</v>
      </c>
      <c r="J1885" s="192" t="s">
        <v>5022</v>
      </c>
      <c r="K1885" s="266">
        <f t="shared" si="425"/>
        <v>2025</v>
      </c>
      <c r="L1885" s="393" t="s">
        <v>5576</v>
      </c>
      <c r="M1885" s="390" t="s">
        <v>6145</v>
      </c>
      <c r="N1885" s="166" t="s">
        <v>7771</v>
      </c>
      <c r="O1885" s="166" t="s">
        <v>5023</v>
      </c>
      <c r="Q1885" s="234" t="s">
        <v>5021</v>
      </c>
      <c r="R1885" s="75">
        <v>295</v>
      </c>
      <c r="S1885" s="75">
        <f t="shared" si="430"/>
        <v>0</v>
      </c>
      <c r="T1885" s="75">
        <v>295</v>
      </c>
      <c r="U1885" s="200">
        <v>60</v>
      </c>
      <c r="V1885" s="287">
        <f t="shared" ca="1" si="426"/>
        <v>5</v>
      </c>
      <c r="W1885" s="75">
        <f t="shared" ca="1" si="427"/>
        <v>300</v>
      </c>
      <c r="X1885" s="200">
        <f t="shared" ca="1" si="428"/>
        <v>535</v>
      </c>
      <c r="Z1885" s="31">
        <v>0.1</v>
      </c>
      <c r="AA1885" s="223">
        <v>0.1</v>
      </c>
      <c r="AB1885" s="312" t="s">
        <v>7400</v>
      </c>
      <c r="AF1885">
        <f t="shared" si="431"/>
        <v>0</v>
      </c>
    </row>
    <row r="1886" spans="1:32" ht="26.25" hidden="1" x14ac:dyDescent="0.25">
      <c r="A1886" s="315" t="s">
        <v>5024</v>
      </c>
      <c r="B1886" s="93" t="str">
        <f t="shared" si="424"/>
        <v>YES</v>
      </c>
      <c r="C1886" s="93" t="s">
        <v>5503</v>
      </c>
      <c r="D1886" s="95">
        <v>42213</v>
      </c>
      <c r="E1886" s="97">
        <v>42248</v>
      </c>
      <c r="F1886" s="2">
        <f t="shared" si="432"/>
        <v>45901</v>
      </c>
      <c r="G1886" s="6">
        <v>1157.3</v>
      </c>
      <c r="H1886" s="93" t="s">
        <v>2461</v>
      </c>
      <c r="I1886" s="402" t="s">
        <v>1050</v>
      </c>
      <c r="J1886" s="192" t="s">
        <v>5026</v>
      </c>
      <c r="K1886" s="266">
        <f t="shared" si="425"/>
        <v>2025</v>
      </c>
      <c r="L1886" s="393" t="s">
        <v>5576</v>
      </c>
      <c r="M1886" s="390" t="s">
        <v>6026</v>
      </c>
      <c r="N1886" s="166" t="s">
        <v>7771</v>
      </c>
      <c r="O1886" s="166" t="s">
        <v>5027</v>
      </c>
      <c r="P1886" s="283" t="s">
        <v>5028</v>
      </c>
      <c r="Q1886" s="234" t="s">
        <v>5025</v>
      </c>
      <c r="R1886" s="75">
        <v>4208</v>
      </c>
      <c r="S1886" s="75">
        <f t="shared" si="430"/>
        <v>0</v>
      </c>
      <c r="T1886" s="75">
        <v>4208</v>
      </c>
      <c r="U1886" s="200">
        <v>1737</v>
      </c>
      <c r="V1886" s="287">
        <f t="shared" ca="1" si="426"/>
        <v>5</v>
      </c>
      <c r="W1886" s="75">
        <f t="shared" ca="1" si="427"/>
        <v>8685</v>
      </c>
      <c r="X1886" s="200">
        <f t="shared" ca="1" si="428"/>
        <v>11156</v>
      </c>
      <c r="Z1886" s="31">
        <v>0.1</v>
      </c>
      <c r="AA1886" s="223">
        <v>0.1</v>
      </c>
      <c r="AB1886" s="312" t="s">
        <v>7401</v>
      </c>
      <c r="AF1886">
        <f t="shared" si="431"/>
        <v>0</v>
      </c>
    </row>
    <row r="1887" spans="1:32" ht="26.25" hidden="1" x14ac:dyDescent="0.25">
      <c r="A1887" s="315" t="s">
        <v>5029</v>
      </c>
      <c r="B1887" s="93" t="str">
        <f t="shared" si="424"/>
        <v>YES</v>
      </c>
      <c r="C1887" s="93" t="s">
        <v>5503</v>
      </c>
      <c r="D1887" s="95">
        <v>42213</v>
      </c>
      <c r="E1887" s="97">
        <v>42248</v>
      </c>
      <c r="F1887" s="2">
        <f t="shared" si="432"/>
        <v>45901</v>
      </c>
      <c r="G1887" s="6">
        <v>720</v>
      </c>
      <c r="H1887" s="93" t="s">
        <v>2461</v>
      </c>
      <c r="I1887" s="422" t="s">
        <v>1050</v>
      </c>
      <c r="J1887" s="192" t="s">
        <v>5026</v>
      </c>
      <c r="K1887" s="266">
        <f t="shared" si="425"/>
        <v>2025</v>
      </c>
      <c r="L1887" s="393" t="s">
        <v>5576</v>
      </c>
      <c r="M1887" s="390" t="s">
        <v>7542</v>
      </c>
      <c r="N1887" s="166" t="s">
        <v>7771</v>
      </c>
      <c r="O1887" s="166" t="s">
        <v>5031</v>
      </c>
      <c r="P1887" s="283" t="s">
        <v>5032</v>
      </c>
      <c r="Q1887" s="234" t="s">
        <v>5030</v>
      </c>
      <c r="R1887" s="75">
        <v>2675</v>
      </c>
      <c r="S1887" s="75">
        <f t="shared" si="430"/>
        <v>0</v>
      </c>
      <c r="T1887" s="75">
        <v>2675</v>
      </c>
      <c r="U1887" s="200">
        <v>1080</v>
      </c>
      <c r="V1887" s="287">
        <f t="shared" ca="1" si="426"/>
        <v>5</v>
      </c>
      <c r="W1887" s="75">
        <f t="shared" ca="1" si="427"/>
        <v>5400</v>
      </c>
      <c r="X1887" s="200">
        <f t="shared" ca="1" si="428"/>
        <v>6995</v>
      </c>
      <c r="Z1887" s="31">
        <v>0.1</v>
      </c>
      <c r="AA1887" s="223">
        <v>0.1</v>
      </c>
      <c r="AB1887" s="312" t="s">
        <v>7402</v>
      </c>
      <c r="AF1887">
        <f t="shared" si="431"/>
        <v>0</v>
      </c>
    </row>
    <row r="1888" spans="1:32" hidden="1" x14ac:dyDescent="0.25">
      <c r="A1888" s="315" t="s">
        <v>5033</v>
      </c>
      <c r="B1888" s="93" t="str">
        <f t="shared" si="424"/>
        <v>YES</v>
      </c>
      <c r="C1888" s="93" t="s">
        <v>5503</v>
      </c>
      <c r="D1888" s="95">
        <v>42213</v>
      </c>
      <c r="E1888" s="97">
        <v>42248</v>
      </c>
      <c r="F1888" s="2">
        <f t="shared" si="432"/>
        <v>45901</v>
      </c>
      <c r="G1888" s="6">
        <v>158.09</v>
      </c>
      <c r="H1888" s="93" t="s">
        <v>2461</v>
      </c>
      <c r="I1888" s="402" t="s">
        <v>1050</v>
      </c>
      <c r="J1888" s="192" t="s">
        <v>5035</v>
      </c>
      <c r="K1888" s="266">
        <f t="shared" si="425"/>
        <v>2025</v>
      </c>
      <c r="L1888" s="393" t="s">
        <v>5576</v>
      </c>
      <c r="M1888" s="390" t="s">
        <v>7542</v>
      </c>
      <c r="N1888" s="166" t="s">
        <v>7771</v>
      </c>
      <c r="O1888" s="166" t="s">
        <v>5036</v>
      </c>
      <c r="Q1888" s="234" t="s">
        <v>5034</v>
      </c>
      <c r="R1888" s="75">
        <v>711.5</v>
      </c>
      <c r="S1888" s="75">
        <f t="shared" si="430"/>
        <v>0</v>
      </c>
      <c r="T1888" s="75">
        <v>711.5</v>
      </c>
      <c r="U1888" s="200">
        <v>238.5</v>
      </c>
      <c r="V1888" s="287">
        <f t="shared" ca="1" si="426"/>
        <v>5</v>
      </c>
      <c r="W1888" s="75">
        <f t="shared" ca="1" si="427"/>
        <v>1192.5</v>
      </c>
      <c r="X1888" s="200">
        <f t="shared" ca="1" si="428"/>
        <v>1665.5</v>
      </c>
      <c r="Z1888" s="31">
        <v>0.1</v>
      </c>
      <c r="AA1888" s="223">
        <v>0.1</v>
      </c>
      <c r="AB1888" s="312" t="s">
        <v>7403</v>
      </c>
      <c r="AF1888">
        <f t="shared" si="431"/>
        <v>0</v>
      </c>
    </row>
    <row r="1889" spans="1:32" hidden="1" x14ac:dyDescent="0.25">
      <c r="A1889" s="315" t="s">
        <v>5037</v>
      </c>
      <c r="B1889" s="93" t="str">
        <f t="shared" si="424"/>
        <v>YES</v>
      </c>
      <c r="C1889" s="93" t="s">
        <v>5503</v>
      </c>
      <c r="D1889" s="95">
        <v>42213</v>
      </c>
      <c r="E1889" s="97">
        <v>42248</v>
      </c>
      <c r="F1889" s="2">
        <f t="shared" si="432"/>
        <v>45901</v>
      </c>
      <c r="G1889" s="6">
        <v>120</v>
      </c>
      <c r="H1889" s="93" t="s">
        <v>2461</v>
      </c>
      <c r="I1889" s="402" t="s">
        <v>1050</v>
      </c>
      <c r="J1889" s="192" t="s">
        <v>5022</v>
      </c>
      <c r="K1889" s="266">
        <f t="shared" si="425"/>
        <v>2025</v>
      </c>
      <c r="L1889" s="393" t="s">
        <v>5638</v>
      </c>
      <c r="M1889" s="390" t="s">
        <v>6026</v>
      </c>
      <c r="N1889" s="166" t="s">
        <v>7771</v>
      </c>
      <c r="O1889" s="166" t="s">
        <v>5039</v>
      </c>
      <c r="Q1889" s="234" t="s">
        <v>5038</v>
      </c>
      <c r="R1889" s="75">
        <v>575</v>
      </c>
      <c r="S1889" s="75">
        <f t="shared" si="430"/>
        <v>2880</v>
      </c>
      <c r="T1889" s="75">
        <v>3455</v>
      </c>
      <c r="U1889" s="200">
        <v>180</v>
      </c>
      <c r="V1889" s="287">
        <f t="shared" ca="1" si="426"/>
        <v>5</v>
      </c>
      <c r="W1889" s="75">
        <f t="shared" ca="1" si="427"/>
        <v>900</v>
      </c>
      <c r="X1889" s="200">
        <f t="shared" ca="1" si="428"/>
        <v>4175</v>
      </c>
      <c r="Z1889" s="31">
        <v>0.1</v>
      </c>
      <c r="AA1889" s="223">
        <v>0.1</v>
      </c>
      <c r="AB1889" s="312" t="s">
        <v>7404</v>
      </c>
      <c r="AF1889">
        <f t="shared" si="431"/>
        <v>0</v>
      </c>
    </row>
    <row r="1890" spans="1:32" hidden="1" x14ac:dyDescent="0.25">
      <c r="A1890" s="315" t="s">
        <v>5040</v>
      </c>
      <c r="B1890" s="93" t="str">
        <f t="shared" si="424"/>
        <v>YES</v>
      </c>
      <c r="C1890" s="93" t="s">
        <v>5503</v>
      </c>
      <c r="D1890" s="95">
        <v>42213</v>
      </c>
      <c r="E1890" s="97">
        <v>42248</v>
      </c>
      <c r="F1890" s="2">
        <f t="shared" si="432"/>
        <v>45901</v>
      </c>
      <c r="G1890" s="6">
        <v>40</v>
      </c>
      <c r="H1890" s="93" t="s">
        <v>2461</v>
      </c>
      <c r="I1890" s="402" t="s">
        <v>1050</v>
      </c>
      <c r="J1890" s="192" t="s">
        <v>5044</v>
      </c>
      <c r="K1890" s="266">
        <f t="shared" si="425"/>
        <v>2025</v>
      </c>
      <c r="L1890" s="393" t="s">
        <v>5638</v>
      </c>
      <c r="M1890" s="390" t="s">
        <v>6026</v>
      </c>
      <c r="N1890" s="166" t="s">
        <v>7771</v>
      </c>
      <c r="O1890" s="166" t="s">
        <v>5045</v>
      </c>
      <c r="Q1890" s="234" t="s">
        <v>5042</v>
      </c>
      <c r="R1890" s="75">
        <v>295</v>
      </c>
      <c r="S1890" s="75">
        <f t="shared" si="430"/>
        <v>960</v>
      </c>
      <c r="T1890" s="75">
        <v>1255</v>
      </c>
      <c r="U1890" s="200">
        <v>60</v>
      </c>
      <c r="V1890" s="287">
        <f t="shared" ca="1" si="426"/>
        <v>5</v>
      </c>
      <c r="W1890" s="75">
        <f t="shared" ca="1" si="427"/>
        <v>300</v>
      </c>
      <c r="X1890" s="200">
        <f t="shared" ca="1" si="428"/>
        <v>1495</v>
      </c>
      <c r="Z1890" s="31">
        <v>0.1</v>
      </c>
      <c r="AA1890" s="223">
        <v>0.1</v>
      </c>
      <c r="AB1890" s="312" t="s">
        <v>7405</v>
      </c>
      <c r="AF1890">
        <f t="shared" si="431"/>
        <v>0</v>
      </c>
    </row>
    <row r="1891" spans="1:32" hidden="1" x14ac:dyDescent="0.25">
      <c r="A1891" s="315" t="s">
        <v>5041</v>
      </c>
      <c r="B1891" s="93" t="str">
        <f t="shared" si="424"/>
        <v>YES</v>
      </c>
      <c r="C1891" s="93" t="s">
        <v>5503</v>
      </c>
      <c r="D1891" s="95">
        <v>42213</v>
      </c>
      <c r="E1891" s="97">
        <v>42248</v>
      </c>
      <c r="F1891" s="2">
        <f t="shared" si="432"/>
        <v>45901</v>
      </c>
      <c r="G1891" s="6">
        <v>160</v>
      </c>
      <c r="H1891" s="93" t="s">
        <v>2461</v>
      </c>
      <c r="I1891" s="422" t="s">
        <v>1050</v>
      </c>
      <c r="J1891" s="192" t="s">
        <v>5046</v>
      </c>
      <c r="K1891" s="266">
        <f t="shared" si="425"/>
        <v>2025</v>
      </c>
      <c r="L1891" s="393" t="s">
        <v>5576</v>
      </c>
      <c r="M1891" s="390" t="s">
        <v>6026</v>
      </c>
      <c r="N1891" s="166" t="s">
        <v>7771</v>
      </c>
      <c r="O1891" s="166" t="s">
        <v>5047</v>
      </c>
      <c r="Q1891" s="234" t="s">
        <v>5043</v>
      </c>
      <c r="R1891" s="75">
        <v>715</v>
      </c>
      <c r="S1891" s="75">
        <f t="shared" si="430"/>
        <v>0</v>
      </c>
      <c r="T1891" s="75">
        <v>715</v>
      </c>
      <c r="U1891" s="200">
        <v>240</v>
      </c>
      <c r="V1891" s="287">
        <f t="shared" ca="1" si="426"/>
        <v>5</v>
      </c>
      <c r="W1891" s="75">
        <f t="shared" ca="1" si="427"/>
        <v>1200</v>
      </c>
      <c r="X1891" s="200">
        <f t="shared" ca="1" si="428"/>
        <v>1675</v>
      </c>
      <c r="Z1891" s="31">
        <v>0.1</v>
      </c>
      <c r="AA1891" s="223">
        <v>0.1</v>
      </c>
      <c r="AB1891" s="312" t="s">
        <v>7406</v>
      </c>
      <c r="AF1891">
        <f t="shared" si="431"/>
        <v>0</v>
      </c>
    </row>
    <row r="1892" spans="1:32" ht="15.75" hidden="1" thickBot="1" x14ac:dyDescent="0.3">
      <c r="A1892" s="328"/>
      <c r="D1892" s="95"/>
      <c r="E1892" s="97"/>
      <c r="F1892" s="2"/>
      <c r="G1892" s="6"/>
      <c r="I1892" s="93"/>
      <c r="J1892" s="184"/>
      <c r="K1892" s="184"/>
      <c r="L1892" s="387"/>
      <c r="M1892" s="387"/>
      <c r="Q1892" s="234"/>
      <c r="R1892" s="76">
        <f>SUM(R1854:R1891)</f>
        <v>64679.5</v>
      </c>
      <c r="S1892" s="76">
        <f>SUM(S1854:S1891)</f>
        <v>134008</v>
      </c>
      <c r="T1892" s="76">
        <f>SUM(T1854:T1891)</f>
        <v>198687.5</v>
      </c>
      <c r="U1892" s="200"/>
      <c r="V1892" s="75"/>
      <c r="W1892" s="75"/>
      <c r="X1892" s="200"/>
      <c r="Z1892" s="31"/>
      <c r="AA1892" s="223"/>
      <c r="AF1892">
        <f t="shared" si="431"/>
        <v>0</v>
      </c>
    </row>
    <row r="1893" spans="1:32" hidden="1" x14ac:dyDescent="0.25">
      <c r="D1893" s="95"/>
      <c r="E1893" s="97"/>
      <c r="F1893" s="2"/>
      <c r="G1893" s="6"/>
      <c r="I1893" s="93"/>
      <c r="J1893" s="184"/>
      <c r="K1893" s="184"/>
      <c r="L1893" s="387"/>
      <c r="M1893" s="387"/>
      <c r="Q1893" s="234"/>
      <c r="R1893" s="75"/>
      <c r="S1893" s="75"/>
      <c r="T1893" s="75"/>
      <c r="U1893" s="200"/>
      <c r="V1893" s="75"/>
      <c r="W1893" s="75"/>
      <c r="X1893" s="200"/>
      <c r="Z1893" s="31"/>
      <c r="AA1893" s="223"/>
      <c r="AF1893">
        <f t="shared" si="431"/>
        <v>0</v>
      </c>
    </row>
    <row r="1894" spans="1:32" hidden="1" x14ac:dyDescent="0.25">
      <c r="A1894" s="315" t="s">
        <v>5293</v>
      </c>
      <c r="B1894" s="93" t="str">
        <f t="shared" ref="B1894:B1911" si="433">IF(COUNTIF(GIS,A1894),"YES","NO")</f>
        <v>YES</v>
      </c>
      <c r="C1894" s="93" t="s">
        <v>5503</v>
      </c>
      <c r="D1894" s="95">
        <v>43354</v>
      </c>
      <c r="E1894" s="97">
        <v>43405</v>
      </c>
      <c r="F1894" s="2">
        <f t="shared" si="432"/>
        <v>47058</v>
      </c>
      <c r="G1894" s="6">
        <v>40.1</v>
      </c>
      <c r="H1894" s="93" t="s">
        <v>5284</v>
      </c>
      <c r="I1894" s="93" t="s">
        <v>5285</v>
      </c>
      <c r="J1894" s="184"/>
      <c r="K1894" s="266">
        <f t="shared" ref="K1894:K1911" si="434">YEAR(F1894)</f>
        <v>2028</v>
      </c>
      <c r="L1894" s="390" t="s">
        <v>7608</v>
      </c>
      <c r="M1894" s="393" t="s">
        <v>5609</v>
      </c>
      <c r="N1894" s="166" t="s">
        <v>7770</v>
      </c>
      <c r="O1894" s="166" t="s">
        <v>5308</v>
      </c>
      <c r="Q1894" s="234" t="s">
        <v>5307</v>
      </c>
      <c r="R1894" s="75">
        <f>160+61.5+82</f>
        <v>303.5</v>
      </c>
      <c r="S1894" s="75">
        <v>1066</v>
      </c>
      <c r="T1894" s="75">
        <f>S1894+R1894</f>
        <v>1369.5</v>
      </c>
      <c r="U1894" s="200">
        <v>61.5</v>
      </c>
      <c r="V1894" s="287">
        <f t="shared" ref="V1894:V1911" ca="1" si="435">IF(YEAR($W$3)-YEAR(E1894)&gt;9,10,IF(MONTH($W$3)&lt;MONTH(E1894),YEAR($W$3)-YEAR(E1894),YEAR($W$3)-YEAR(E1894)+1))</f>
        <v>2</v>
      </c>
      <c r="W1894" s="75">
        <f t="shared" ref="W1894:W1911" ca="1" si="436">IF(V1894&lt;6, ROUNDUP(G1894,0)*$W$6*V1894, ROUNDUP(G1894,0)*($W$6*5 + (V1894-5)*$W$7))</f>
        <v>123</v>
      </c>
      <c r="X1894" s="200">
        <f t="shared" ref="X1894:X1911" ca="1" si="437">IF(V1894=0,T1894,((T1894-ROUNDUP(G1894,0)*1.5)+W1894))</f>
        <v>1431</v>
      </c>
      <c r="Z1894" s="31">
        <v>0.1</v>
      </c>
      <c r="AA1894" s="223">
        <v>0.1</v>
      </c>
      <c r="AB1894" s="312" t="s">
        <v>7910</v>
      </c>
      <c r="AF1894">
        <f t="shared" si="431"/>
        <v>0</v>
      </c>
    </row>
    <row r="1895" spans="1:32" ht="26.25" hidden="1" x14ac:dyDescent="0.25">
      <c r="A1895" s="315" t="s">
        <v>5294</v>
      </c>
      <c r="B1895" s="93" t="str">
        <f t="shared" si="433"/>
        <v>YES</v>
      </c>
      <c r="C1895" s="93" t="s">
        <v>5503</v>
      </c>
      <c r="D1895" s="95">
        <v>43354</v>
      </c>
      <c r="E1895" s="97">
        <v>43405</v>
      </c>
      <c r="F1895" s="2">
        <f t="shared" si="432"/>
        <v>47058</v>
      </c>
      <c r="G1895" s="6">
        <v>960.32</v>
      </c>
      <c r="H1895" s="93" t="s">
        <v>5284</v>
      </c>
      <c r="I1895" s="93" t="s">
        <v>5285</v>
      </c>
      <c r="J1895" s="184"/>
      <c r="K1895" s="266">
        <f t="shared" si="434"/>
        <v>2028</v>
      </c>
      <c r="L1895" s="390" t="s">
        <v>7609</v>
      </c>
      <c r="M1895" s="393" t="s">
        <v>5617</v>
      </c>
      <c r="N1895" s="166" t="s">
        <v>7770</v>
      </c>
      <c r="O1895" s="166" t="s">
        <v>5310</v>
      </c>
      <c r="P1895" s="283" t="s">
        <v>5311</v>
      </c>
      <c r="Q1895" s="234" t="s">
        <v>5309</v>
      </c>
      <c r="R1895" s="75">
        <f>160+1441.5+1922</f>
        <v>3523.5</v>
      </c>
      <c r="S1895" s="75">
        <v>3844</v>
      </c>
      <c r="T1895" s="75">
        <f t="shared" ref="T1895:T1896" si="438">S1895+R1895</f>
        <v>7367.5</v>
      </c>
      <c r="U1895" s="200">
        <v>1441.5</v>
      </c>
      <c r="V1895" s="287">
        <f t="shared" ca="1" si="435"/>
        <v>2</v>
      </c>
      <c r="W1895" s="75">
        <f t="shared" ca="1" si="436"/>
        <v>2883</v>
      </c>
      <c r="X1895" s="200">
        <f t="shared" ca="1" si="437"/>
        <v>8809</v>
      </c>
      <c r="Z1895" s="31">
        <v>0.1</v>
      </c>
      <c r="AA1895" s="223">
        <v>0.1</v>
      </c>
      <c r="AB1895" s="312" t="s">
        <v>7910</v>
      </c>
      <c r="AF1895">
        <f t="shared" si="431"/>
        <v>0</v>
      </c>
    </row>
    <row r="1896" spans="1:32" ht="26.25" hidden="1" x14ac:dyDescent="0.25">
      <c r="A1896" s="315" t="s">
        <v>5295</v>
      </c>
      <c r="B1896" s="93" t="str">
        <f t="shared" si="433"/>
        <v>YES</v>
      </c>
      <c r="C1896" s="93" t="s">
        <v>5503</v>
      </c>
      <c r="D1896" s="95">
        <v>43354</v>
      </c>
      <c r="E1896" s="97">
        <v>43405</v>
      </c>
      <c r="F1896" s="2">
        <f t="shared" si="432"/>
        <v>47058</v>
      </c>
      <c r="G1896" s="6">
        <v>800</v>
      </c>
      <c r="H1896" s="93" t="s">
        <v>5284</v>
      </c>
      <c r="I1896" s="93" t="s">
        <v>5285</v>
      </c>
      <c r="J1896" s="184"/>
      <c r="K1896" s="266">
        <f t="shared" si="434"/>
        <v>2028</v>
      </c>
      <c r="L1896" s="390" t="s">
        <v>7609</v>
      </c>
      <c r="M1896" s="393" t="s">
        <v>5617</v>
      </c>
      <c r="N1896" s="166" t="s">
        <v>7770</v>
      </c>
      <c r="O1896" s="166" t="s">
        <v>5315</v>
      </c>
      <c r="P1896" s="283" t="s">
        <v>5316</v>
      </c>
      <c r="Q1896" s="234" t="s">
        <v>5314</v>
      </c>
      <c r="R1896" s="75">
        <f>160+1200+1600</f>
        <v>2960</v>
      </c>
      <c r="S1896" s="75">
        <v>800</v>
      </c>
      <c r="T1896" s="75">
        <f t="shared" si="438"/>
        <v>3760</v>
      </c>
      <c r="U1896" s="200">
        <v>1200</v>
      </c>
      <c r="V1896" s="287">
        <f t="shared" ca="1" si="435"/>
        <v>2</v>
      </c>
      <c r="W1896" s="75">
        <f t="shared" ca="1" si="436"/>
        <v>2400</v>
      </c>
      <c r="X1896" s="200">
        <f t="shared" ca="1" si="437"/>
        <v>4960</v>
      </c>
      <c r="Z1896" s="31">
        <v>0.1</v>
      </c>
      <c r="AA1896" s="223">
        <v>0.1</v>
      </c>
      <c r="AB1896" s="312" t="s">
        <v>7910</v>
      </c>
      <c r="AF1896">
        <f t="shared" si="431"/>
        <v>0</v>
      </c>
    </row>
    <row r="1897" spans="1:32" ht="26.25" hidden="1" x14ac:dyDescent="0.25">
      <c r="A1897" s="315" t="s">
        <v>5280</v>
      </c>
      <c r="B1897" s="93" t="str">
        <f t="shared" si="433"/>
        <v>YES</v>
      </c>
      <c r="C1897" s="93" t="s">
        <v>5503</v>
      </c>
      <c r="D1897" s="95">
        <v>43354</v>
      </c>
      <c r="E1897" s="97">
        <v>43405</v>
      </c>
      <c r="F1897" s="2">
        <f t="shared" si="432"/>
        <v>47058</v>
      </c>
      <c r="G1897" s="6">
        <v>638.49</v>
      </c>
      <c r="H1897" s="93" t="s">
        <v>5284</v>
      </c>
      <c r="I1897" s="93" t="s">
        <v>5285</v>
      </c>
      <c r="J1897" s="184"/>
      <c r="K1897" s="266">
        <f t="shared" si="434"/>
        <v>2028</v>
      </c>
      <c r="L1897" s="390" t="s">
        <v>7609</v>
      </c>
      <c r="M1897" s="393" t="s">
        <v>5617</v>
      </c>
      <c r="N1897" s="166" t="s">
        <v>7770</v>
      </c>
      <c r="O1897" s="166" t="s">
        <v>5287</v>
      </c>
      <c r="P1897" s="283" t="s">
        <v>5288</v>
      </c>
      <c r="Q1897" s="234" t="s">
        <v>5286</v>
      </c>
      <c r="R1897" s="75">
        <f>160+958.5+1278</f>
        <v>2396.5</v>
      </c>
      <c r="S1897" s="75">
        <v>639</v>
      </c>
      <c r="T1897" s="75">
        <f>R1897+S1897</f>
        <v>3035.5</v>
      </c>
      <c r="U1897" s="200">
        <v>958.5</v>
      </c>
      <c r="V1897" s="287">
        <f t="shared" ca="1" si="435"/>
        <v>2</v>
      </c>
      <c r="W1897" s="75">
        <f t="shared" ca="1" si="436"/>
        <v>1917</v>
      </c>
      <c r="X1897" s="200">
        <f t="shared" ca="1" si="437"/>
        <v>3994</v>
      </c>
      <c r="Z1897" s="31">
        <v>0.1</v>
      </c>
      <c r="AA1897" s="223">
        <v>0.1</v>
      </c>
      <c r="AB1897" s="312" t="s">
        <v>7910</v>
      </c>
      <c r="AF1897">
        <f t="shared" si="431"/>
        <v>0</v>
      </c>
    </row>
    <row r="1898" spans="1:32" ht="26.25" hidden="1" x14ac:dyDescent="0.25">
      <c r="A1898" s="315" t="s">
        <v>5281</v>
      </c>
      <c r="B1898" s="93" t="str">
        <f t="shared" si="433"/>
        <v>YES</v>
      </c>
      <c r="C1898" s="93" t="s">
        <v>5503</v>
      </c>
      <c r="D1898" s="95">
        <v>43354</v>
      </c>
      <c r="E1898" s="97">
        <v>43405</v>
      </c>
      <c r="F1898" s="2">
        <f t="shared" si="432"/>
        <v>47058</v>
      </c>
      <c r="G1898" s="6">
        <v>560</v>
      </c>
      <c r="H1898" s="93" t="s">
        <v>5284</v>
      </c>
      <c r="I1898" s="93" t="s">
        <v>5285</v>
      </c>
      <c r="J1898" s="184"/>
      <c r="K1898" s="266">
        <f t="shared" si="434"/>
        <v>2028</v>
      </c>
      <c r="L1898" s="390" t="s">
        <v>7609</v>
      </c>
      <c r="M1898" s="393" t="s">
        <v>5617</v>
      </c>
      <c r="N1898" s="166" t="s">
        <v>7770</v>
      </c>
      <c r="O1898" s="166" t="s">
        <v>5312</v>
      </c>
      <c r="Q1898" s="234" t="s">
        <v>5289</v>
      </c>
      <c r="R1898" s="75">
        <f>160+840+1120</f>
        <v>2120</v>
      </c>
      <c r="S1898" s="75">
        <v>560</v>
      </c>
      <c r="T1898" s="75">
        <f t="shared" ref="T1898:T1900" si="439">R1898+S1898</f>
        <v>2680</v>
      </c>
      <c r="U1898" s="200">
        <v>840</v>
      </c>
      <c r="V1898" s="287">
        <f t="shared" ca="1" si="435"/>
        <v>2</v>
      </c>
      <c r="W1898" s="75">
        <f t="shared" ca="1" si="436"/>
        <v>1680</v>
      </c>
      <c r="X1898" s="200">
        <f t="shared" ca="1" si="437"/>
        <v>3520</v>
      </c>
      <c r="Z1898" s="31">
        <v>0.1</v>
      </c>
      <c r="AA1898" s="223">
        <v>0.1</v>
      </c>
      <c r="AB1898" s="312" t="s">
        <v>7910</v>
      </c>
      <c r="AF1898">
        <f t="shared" si="431"/>
        <v>0</v>
      </c>
    </row>
    <row r="1899" spans="1:32" hidden="1" x14ac:dyDescent="0.25">
      <c r="A1899" s="315" t="s">
        <v>5282</v>
      </c>
      <c r="B1899" s="93" t="str">
        <f t="shared" si="433"/>
        <v>YES</v>
      </c>
      <c r="C1899" s="93" t="s">
        <v>5503</v>
      </c>
      <c r="D1899" s="95">
        <v>43354</v>
      </c>
      <c r="E1899" s="97">
        <v>43405</v>
      </c>
      <c r="F1899" s="2">
        <f t="shared" si="432"/>
        <v>47058</v>
      </c>
      <c r="G1899" s="6">
        <v>40</v>
      </c>
      <c r="H1899" s="93" t="s">
        <v>5284</v>
      </c>
      <c r="I1899" s="93" t="s">
        <v>5285</v>
      </c>
      <c r="J1899" s="184"/>
      <c r="K1899" s="266">
        <f t="shared" si="434"/>
        <v>2028</v>
      </c>
      <c r="L1899" s="390" t="s">
        <v>7609</v>
      </c>
      <c r="M1899" s="393" t="s">
        <v>5617</v>
      </c>
      <c r="N1899" s="166" t="s">
        <v>7770</v>
      </c>
      <c r="O1899" s="166" t="s">
        <v>5291</v>
      </c>
      <c r="Q1899" s="234" t="s">
        <v>5290</v>
      </c>
      <c r="R1899" s="75">
        <f>160+60+80</f>
        <v>300</v>
      </c>
      <c r="S1899" s="75">
        <v>360</v>
      </c>
      <c r="T1899" s="75">
        <f t="shared" si="439"/>
        <v>660</v>
      </c>
      <c r="U1899" s="200">
        <v>60</v>
      </c>
      <c r="V1899" s="287">
        <f t="shared" ca="1" si="435"/>
        <v>2</v>
      </c>
      <c r="W1899" s="75">
        <f t="shared" ca="1" si="436"/>
        <v>120</v>
      </c>
      <c r="X1899" s="200">
        <f t="shared" ca="1" si="437"/>
        <v>720</v>
      </c>
      <c r="Z1899" s="31">
        <v>0.1</v>
      </c>
      <c r="AA1899" s="223">
        <v>0.1</v>
      </c>
      <c r="AB1899" s="312" t="s">
        <v>7910</v>
      </c>
      <c r="AF1899">
        <f t="shared" si="431"/>
        <v>0</v>
      </c>
    </row>
    <row r="1900" spans="1:32" hidden="1" x14ac:dyDescent="0.25">
      <c r="A1900" s="315" t="s">
        <v>5283</v>
      </c>
      <c r="B1900" s="93" t="str">
        <f t="shared" si="433"/>
        <v>YES</v>
      </c>
      <c r="C1900" s="93" t="s">
        <v>5503</v>
      </c>
      <c r="D1900" s="95">
        <v>43354</v>
      </c>
      <c r="E1900" s="97">
        <v>43405</v>
      </c>
      <c r="F1900" s="2">
        <f t="shared" si="432"/>
        <v>47058</v>
      </c>
      <c r="G1900" s="6">
        <v>440</v>
      </c>
      <c r="H1900" s="93" t="s">
        <v>5284</v>
      </c>
      <c r="I1900" s="93" t="s">
        <v>5285</v>
      </c>
      <c r="J1900" s="184"/>
      <c r="K1900" s="266">
        <f t="shared" si="434"/>
        <v>2028</v>
      </c>
      <c r="L1900" s="390" t="s">
        <v>7608</v>
      </c>
      <c r="M1900" s="393" t="s">
        <v>5617</v>
      </c>
      <c r="N1900" s="166" t="s">
        <v>7770</v>
      </c>
      <c r="O1900" s="166" t="s">
        <v>5313</v>
      </c>
      <c r="Q1900" s="234" t="s">
        <v>5292</v>
      </c>
      <c r="R1900" s="75">
        <f>160+660+880</f>
        <v>1700</v>
      </c>
      <c r="S1900" s="75">
        <v>5280</v>
      </c>
      <c r="T1900" s="75">
        <f t="shared" si="439"/>
        <v>6980</v>
      </c>
      <c r="U1900" s="200">
        <v>660</v>
      </c>
      <c r="V1900" s="287">
        <f t="shared" ca="1" si="435"/>
        <v>2</v>
      </c>
      <c r="W1900" s="75">
        <f t="shared" ca="1" si="436"/>
        <v>1320</v>
      </c>
      <c r="X1900" s="200">
        <f t="shared" ca="1" si="437"/>
        <v>7640</v>
      </c>
      <c r="Z1900" s="31">
        <v>0.1</v>
      </c>
      <c r="AA1900" s="223">
        <v>0.1</v>
      </c>
      <c r="AB1900" s="312" t="s">
        <v>7910</v>
      </c>
      <c r="AF1900">
        <f t="shared" si="431"/>
        <v>0</v>
      </c>
    </row>
    <row r="1901" spans="1:32" ht="26.25" hidden="1" x14ac:dyDescent="0.25">
      <c r="A1901" s="315" t="s">
        <v>5278</v>
      </c>
      <c r="B1901" s="93" t="str">
        <f t="shared" si="433"/>
        <v>YES</v>
      </c>
      <c r="C1901" s="93" t="s">
        <v>5503</v>
      </c>
      <c r="D1901" s="95">
        <v>43354</v>
      </c>
      <c r="E1901" s="97">
        <v>43405</v>
      </c>
      <c r="F1901" s="2">
        <f t="shared" si="432"/>
        <v>47058</v>
      </c>
      <c r="G1901" s="6">
        <v>834.84</v>
      </c>
      <c r="H1901" s="93" t="s">
        <v>5284</v>
      </c>
      <c r="I1901" s="93" t="s">
        <v>5285</v>
      </c>
      <c r="J1901" s="184"/>
      <c r="K1901" s="266">
        <f t="shared" si="434"/>
        <v>2028</v>
      </c>
      <c r="L1901" s="390" t="s">
        <v>7608</v>
      </c>
      <c r="M1901" s="393" t="s">
        <v>5617</v>
      </c>
      <c r="N1901" s="166" t="s">
        <v>7770</v>
      </c>
      <c r="O1901" s="166" t="s">
        <v>5386</v>
      </c>
      <c r="Q1901" s="234" t="s">
        <v>5279</v>
      </c>
      <c r="R1901" s="75">
        <f>160+1252.5+1670</f>
        <v>3082.5</v>
      </c>
      <c r="S1901" s="75">
        <v>7515</v>
      </c>
      <c r="T1901" s="75">
        <f>R1901+S1901</f>
        <v>10597.5</v>
      </c>
      <c r="U1901" s="200">
        <v>1252.5</v>
      </c>
      <c r="V1901" s="287">
        <f t="shared" ca="1" si="435"/>
        <v>2</v>
      </c>
      <c r="W1901" s="75">
        <f t="shared" ca="1" si="436"/>
        <v>2505</v>
      </c>
      <c r="X1901" s="200">
        <f t="shared" ca="1" si="437"/>
        <v>11850</v>
      </c>
      <c r="Z1901" s="31">
        <v>0.1</v>
      </c>
      <c r="AA1901" s="223">
        <v>0.1</v>
      </c>
      <c r="AB1901" s="312" t="s">
        <v>7910</v>
      </c>
      <c r="AF1901">
        <f t="shared" si="431"/>
        <v>0</v>
      </c>
    </row>
    <row r="1902" spans="1:32" ht="26.25" hidden="1" x14ac:dyDescent="0.25">
      <c r="A1902" s="315" t="s">
        <v>5296</v>
      </c>
      <c r="B1902" s="93" t="str">
        <f t="shared" si="433"/>
        <v>YES</v>
      </c>
      <c r="C1902" s="93" t="s">
        <v>5503</v>
      </c>
      <c r="D1902" s="95">
        <v>43354</v>
      </c>
      <c r="E1902" s="97">
        <v>43405</v>
      </c>
      <c r="F1902" s="2">
        <f t="shared" si="432"/>
        <v>47058</v>
      </c>
      <c r="G1902" s="6">
        <v>1076.32</v>
      </c>
      <c r="H1902" s="93" t="s">
        <v>5284</v>
      </c>
      <c r="I1902" s="93" t="s">
        <v>5285</v>
      </c>
      <c r="J1902" s="184"/>
      <c r="K1902" s="266">
        <f t="shared" si="434"/>
        <v>2028</v>
      </c>
      <c r="L1902" s="390" t="s">
        <v>7608</v>
      </c>
      <c r="M1902" s="393" t="s">
        <v>5617</v>
      </c>
      <c r="N1902" s="166" t="s">
        <v>7770</v>
      </c>
      <c r="O1902" s="166" t="s">
        <v>5318</v>
      </c>
      <c r="Q1902" s="234" t="s">
        <v>5317</v>
      </c>
      <c r="R1902" s="75">
        <f>160+1615.5+2154</f>
        <v>3929.5</v>
      </c>
      <c r="S1902" s="75">
        <v>1077</v>
      </c>
      <c r="T1902" s="75">
        <f>R1902+S1902</f>
        <v>5006.5</v>
      </c>
      <c r="U1902" s="200">
        <v>1615.5</v>
      </c>
      <c r="V1902" s="287">
        <f t="shared" ca="1" si="435"/>
        <v>2</v>
      </c>
      <c r="W1902" s="75">
        <f t="shared" ca="1" si="436"/>
        <v>3231</v>
      </c>
      <c r="X1902" s="200">
        <f t="shared" ca="1" si="437"/>
        <v>6622</v>
      </c>
      <c r="Z1902" s="31">
        <v>0.1</v>
      </c>
      <c r="AA1902" s="223">
        <v>0.1</v>
      </c>
      <c r="AB1902" s="312" t="s">
        <v>7910</v>
      </c>
      <c r="AF1902">
        <f t="shared" si="431"/>
        <v>0</v>
      </c>
    </row>
    <row r="1903" spans="1:32" ht="26.25" hidden="1" x14ac:dyDescent="0.25">
      <c r="A1903" s="315" t="s">
        <v>5297</v>
      </c>
      <c r="B1903" s="93" t="str">
        <f t="shared" si="433"/>
        <v>YES</v>
      </c>
      <c r="C1903" s="93" t="s">
        <v>5503</v>
      </c>
      <c r="D1903" s="95">
        <v>43354</v>
      </c>
      <c r="E1903" s="97">
        <v>43405</v>
      </c>
      <c r="F1903" s="2">
        <f t="shared" si="432"/>
        <v>47058</v>
      </c>
      <c r="G1903" s="6">
        <v>520</v>
      </c>
      <c r="H1903" s="93" t="s">
        <v>5284</v>
      </c>
      <c r="I1903" s="93" t="s">
        <v>5285</v>
      </c>
      <c r="J1903" s="184"/>
      <c r="K1903" s="266">
        <f t="shared" si="434"/>
        <v>2028</v>
      </c>
      <c r="L1903" s="390" t="s">
        <v>7608</v>
      </c>
      <c r="M1903" s="393" t="s">
        <v>5617</v>
      </c>
      <c r="N1903" s="166" t="s">
        <v>7770</v>
      </c>
      <c r="O1903" s="166" t="s">
        <v>5320</v>
      </c>
      <c r="Q1903" s="234" t="s">
        <v>5319</v>
      </c>
      <c r="R1903" s="75">
        <f>160+780+1040</f>
        <v>1980</v>
      </c>
      <c r="S1903" s="75">
        <v>520</v>
      </c>
      <c r="T1903" s="75">
        <f t="shared" ref="T1903:T1911" si="440">R1903+S1903</f>
        <v>2500</v>
      </c>
      <c r="U1903" s="200">
        <v>780</v>
      </c>
      <c r="V1903" s="287">
        <f t="shared" ca="1" si="435"/>
        <v>2</v>
      </c>
      <c r="W1903" s="75">
        <f t="shared" ca="1" si="436"/>
        <v>1560</v>
      </c>
      <c r="X1903" s="200">
        <f t="shared" ca="1" si="437"/>
        <v>3280</v>
      </c>
      <c r="Z1903" s="31">
        <v>0.1</v>
      </c>
      <c r="AA1903" s="223">
        <v>0.1</v>
      </c>
      <c r="AB1903" s="312" t="s">
        <v>7910</v>
      </c>
      <c r="AF1903">
        <f t="shared" si="431"/>
        <v>0</v>
      </c>
    </row>
    <row r="1904" spans="1:32" ht="26.25" hidden="1" x14ac:dyDescent="0.25">
      <c r="A1904" s="315" t="s">
        <v>5298</v>
      </c>
      <c r="B1904" s="93" t="str">
        <f t="shared" si="433"/>
        <v>YES</v>
      </c>
      <c r="C1904" s="93" t="s">
        <v>5503</v>
      </c>
      <c r="D1904" s="95">
        <v>43354</v>
      </c>
      <c r="E1904" s="97">
        <v>43405</v>
      </c>
      <c r="F1904" s="2">
        <f t="shared" si="432"/>
        <v>47058</v>
      </c>
      <c r="G1904" s="6">
        <v>880.16</v>
      </c>
      <c r="H1904" s="93" t="s">
        <v>5284</v>
      </c>
      <c r="I1904" s="93" t="s">
        <v>5285</v>
      </c>
      <c r="J1904" s="184"/>
      <c r="K1904" s="266">
        <f t="shared" si="434"/>
        <v>2028</v>
      </c>
      <c r="L1904" s="390">
        <v>132</v>
      </c>
      <c r="M1904" s="393" t="s">
        <v>5617</v>
      </c>
      <c r="N1904" s="166" t="s">
        <v>7770</v>
      </c>
      <c r="O1904" s="166" t="s">
        <v>5322</v>
      </c>
      <c r="Q1904" s="234" t="s">
        <v>5321</v>
      </c>
      <c r="R1904" s="75">
        <f>160+1321.5+1762</f>
        <v>3243.5</v>
      </c>
      <c r="S1904" s="75">
        <v>1762</v>
      </c>
      <c r="T1904" s="75">
        <f t="shared" si="440"/>
        <v>5005.5</v>
      </c>
      <c r="U1904" s="200">
        <v>1321.5</v>
      </c>
      <c r="V1904" s="287">
        <f t="shared" ca="1" si="435"/>
        <v>2</v>
      </c>
      <c r="W1904" s="75">
        <f t="shared" ca="1" si="436"/>
        <v>2643</v>
      </c>
      <c r="X1904" s="200">
        <f t="shared" ca="1" si="437"/>
        <v>6327</v>
      </c>
      <c r="Z1904" s="31">
        <v>0.1</v>
      </c>
      <c r="AA1904" s="223">
        <v>0.1</v>
      </c>
      <c r="AB1904" s="312" t="s">
        <v>7910</v>
      </c>
      <c r="AF1904">
        <f t="shared" si="431"/>
        <v>0</v>
      </c>
    </row>
    <row r="1905" spans="1:32" hidden="1" x14ac:dyDescent="0.25">
      <c r="A1905" s="315" t="s">
        <v>5299</v>
      </c>
      <c r="B1905" s="93" t="str">
        <f t="shared" si="433"/>
        <v>YES</v>
      </c>
      <c r="C1905" s="93" t="s">
        <v>5503</v>
      </c>
      <c r="D1905" s="95">
        <v>43354</v>
      </c>
      <c r="E1905" s="97">
        <v>43405</v>
      </c>
      <c r="F1905" s="2">
        <f t="shared" si="432"/>
        <v>47058</v>
      </c>
      <c r="G1905" s="6">
        <v>440</v>
      </c>
      <c r="H1905" s="93" t="s">
        <v>5284</v>
      </c>
      <c r="I1905" s="93" t="s">
        <v>5285</v>
      </c>
      <c r="J1905" s="184"/>
      <c r="K1905" s="266">
        <f t="shared" si="434"/>
        <v>2028</v>
      </c>
      <c r="L1905" s="390" t="s">
        <v>7609</v>
      </c>
      <c r="M1905" s="393" t="s">
        <v>7635</v>
      </c>
      <c r="N1905" s="166" t="s">
        <v>7770</v>
      </c>
      <c r="O1905" s="166" t="s">
        <v>5324</v>
      </c>
      <c r="Q1905" s="234" t="s">
        <v>5323</v>
      </c>
      <c r="R1905" s="75">
        <f>160+660+880</f>
        <v>1700</v>
      </c>
      <c r="S1905" s="75">
        <v>1320</v>
      </c>
      <c r="T1905" s="75">
        <f t="shared" si="440"/>
        <v>3020</v>
      </c>
      <c r="U1905" s="200">
        <v>660</v>
      </c>
      <c r="V1905" s="287">
        <f t="shared" ca="1" si="435"/>
        <v>2</v>
      </c>
      <c r="W1905" s="75">
        <f t="shared" ca="1" si="436"/>
        <v>1320</v>
      </c>
      <c r="X1905" s="200">
        <f t="shared" ca="1" si="437"/>
        <v>3680</v>
      </c>
      <c r="Z1905" s="31">
        <v>0.1</v>
      </c>
      <c r="AA1905" s="223">
        <v>0.1</v>
      </c>
      <c r="AB1905" s="312" t="s">
        <v>7910</v>
      </c>
      <c r="AF1905">
        <f t="shared" si="431"/>
        <v>0</v>
      </c>
    </row>
    <row r="1906" spans="1:32" hidden="1" x14ac:dyDescent="0.25">
      <c r="A1906" s="315" t="s">
        <v>5300</v>
      </c>
      <c r="B1906" s="93" t="str">
        <f t="shared" si="433"/>
        <v>YES</v>
      </c>
      <c r="C1906" s="93" t="s">
        <v>5503</v>
      </c>
      <c r="D1906" s="95">
        <v>43354</v>
      </c>
      <c r="E1906" s="97">
        <v>43405</v>
      </c>
      <c r="F1906" s="2">
        <f t="shared" si="432"/>
        <v>47058</v>
      </c>
      <c r="G1906" s="6">
        <v>720</v>
      </c>
      <c r="H1906" s="93" t="s">
        <v>5284</v>
      </c>
      <c r="I1906" s="93" t="s">
        <v>5285</v>
      </c>
      <c r="J1906" s="184"/>
      <c r="K1906" s="266">
        <f t="shared" si="434"/>
        <v>2028</v>
      </c>
      <c r="L1906" s="390" t="s">
        <v>7609</v>
      </c>
      <c r="M1906" s="393" t="s">
        <v>7635</v>
      </c>
      <c r="N1906" s="166" t="s">
        <v>7770</v>
      </c>
      <c r="O1906" s="166" t="s">
        <v>5326</v>
      </c>
      <c r="Q1906" s="234" t="s">
        <v>5325</v>
      </c>
      <c r="R1906" s="75">
        <f>160+1080+1440</f>
        <v>2680</v>
      </c>
      <c r="S1906" s="75">
        <v>720</v>
      </c>
      <c r="T1906" s="75">
        <f t="shared" si="440"/>
        <v>3400</v>
      </c>
      <c r="U1906" s="200">
        <v>1080</v>
      </c>
      <c r="V1906" s="287">
        <f t="shared" ca="1" si="435"/>
        <v>2</v>
      </c>
      <c r="W1906" s="75">
        <f t="shared" ca="1" si="436"/>
        <v>2160</v>
      </c>
      <c r="X1906" s="200">
        <f t="shared" ca="1" si="437"/>
        <v>4480</v>
      </c>
      <c r="Z1906" s="31">
        <v>0.1</v>
      </c>
      <c r="AA1906" s="223">
        <v>0.1</v>
      </c>
      <c r="AB1906" s="312" t="s">
        <v>7910</v>
      </c>
      <c r="AF1906">
        <f t="shared" si="431"/>
        <v>0</v>
      </c>
    </row>
    <row r="1907" spans="1:32" hidden="1" x14ac:dyDescent="0.25">
      <c r="A1907" s="315" t="s">
        <v>5301</v>
      </c>
      <c r="B1907" s="93" t="str">
        <f t="shared" si="433"/>
        <v>YES</v>
      </c>
      <c r="C1907" s="93" t="s">
        <v>5503</v>
      </c>
      <c r="D1907" s="95">
        <v>43354</v>
      </c>
      <c r="E1907" s="97">
        <v>43405</v>
      </c>
      <c r="F1907" s="2">
        <f t="shared" si="432"/>
        <v>47058</v>
      </c>
      <c r="G1907" s="6">
        <v>160</v>
      </c>
      <c r="H1907" s="93" t="s">
        <v>5284</v>
      </c>
      <c r="I1907" s="93" t="s">
        <v>5285</v>
      </c>
      <c r="J1907" s="184"/>
      <c r="K1907" s="266">
        <f t="shared" si="434"/>
        <v>2028</v>
      </c>
      <c r="L1907" s="390" t="s">
        <v>7610</v>
      </c>
      <c r="M1907" s="393" t="s">
        <v>7635</v>
      </c>
      <c r="N1907" s="166" t="s">
        <v>7770</v>
      </c>
      <c r="O1907" s="166" t="s">
        <v>5328</v>
      </c>
      <c r="Q1907" s="234" t="s">
        <v>5327</v>
      </c>
      <c r="R1907" s="75">
        <f>160+240+320</f>
        <v>720</v>
      </c>
      <c r="S1907" s="75">
        <v>640</v>
      </c>
      <c r="T1907" s="75">
        <f t="shared" si="440"/>
        <v>1360</v>
      </c>
      <c r="U1907" s="200">
        <v>240</v>
      </c>
      <c r="V1907" s="287">
        <f t="shared" ca="1" si="435"/>
        <v>2</v>
      </c>
      <c r="W1907" s="75">
        <f t="shared" ca="1" si="436"/>
        <v>480</v>
      </c>
      <c r="X1907" s="200">
        <f t="shared" ca="1" si="437"/>
        <v>1600</v>
      </c>
      <c r="Z1907" s="31">
        <v>0.1</v>
      </c>
      <c r="AA1907" s="223">
        <v>0.1</v>
      </c>
      <c r="AB1907" s="312" t="s">
        <v>7910</v>
      </c>
      <c r="AF1907">
        <f t="shared" si="431"/>
        <v>0</v>
      </c>
    </row>
    <row r="1908" spans="1:32" hidden="1" x14ac:dyDescent="0.25">
      <c r="A1908" s="315" t="s">
        <v>5302</v>
      </c>
      <c r="B1908" s="93" t="str">
        <f t="shared" si="433"/>
        <v>YES</v>
      </c>
      <c r="C1908" s="93" t="s">
        <v>5503</v>
      </c>
      <c r="D1908" s="95">
        <v>43354</v>
      </c>
      <c r="E1908" s="97">
        <v>43405</v>
      </c>
      <c r="F1908" s="2">
        <f t="shared" si="432"/>
        <v>47058</v>
      </c>
      <c r="G1908" s="6">
        <v>320</v>
      </c>
      <c r="H1908" s="93" t="s">
        <v>5284</v>
      </c>
      <c r="I1908" s="93" t="s">
        <v>5285</v>
      </c>
      <c r="J1908" s="184"/>
      <c r="K1908" s="266">
        <f t="shared" si="434"/>
        <v>2028</v>
      </c>
      <c r="L1908" s="390" t="s">
        <v>7611</v>
      </c>
      <c r="M1908" s="393" t="s">
        <v>7636</v>
      </c>
      <c r="N1908" s="166" t="s">
        <v>7770</v>
      </c>
      <c r="O1908" s="166" t="s">
        <v>5330</v>
      </c>
      <c r="Q1908" s="234" t="s">
        <v>5329</v>
      </c>
      <c r="R1908" s="75">
        <f>160+480+640</f>
        <v>1280</v>
      </c>
      <c r="S1908" s="75">
        <v>27840</v>
      </c>
      <c r="T1908" s="75">
        <f t="shared" si="440"/>
        <v>29120</v>
      </c>
      <c r="U1908" s="200">
        <v>480</v>
      </c>
      <c r="V1908" s="287">
        <f t="shared" ca="1" si="435"/>
        <v>2</v>
      </c>
      <c r="W1908" s="75">
        <f t="shared" ca="1" si="436"/>
        <v>960</v>
      </c>
      <c r="X1908" s="200">
        <f t="shared" ca="1" si="437"/>
        <v>29600</v>
      </c>
      <c r="Z1908" s="31">
        <v>0.1</v>
      </c>
      <c r="AA1908" s="223">
        <v>0.1</v>
      </c>
      <c r="AB1908" s="312" t="s">
        <v>7910</v>
      </c>
      <c r="AF1908">
        <f t="shared" si="431"/>
        <v>0</v>
      </c>
    </row>
    <row r="1909" spans="1:32" hidden="1" x14ac:dyDescent="0.25">
      <c r="A1909" s="315" t="s">
        <v>5303</v>
      </c>
      <c r="B1909" s="93" t="str">
        <f t="shared" si="433"/>
        <v>YES</v>
      </c>
      <c r="C1909" s="93" t="s">
        <v>5503</v>
      </c>
      <c r="D1909" s="95">
        <v>43354</v>
      </c>
      <c r="E1909" s="97">
        <v>43405</v>
      </c>
      <c r="F1909" s="2">
        <f t="shared" si="432"/>
        <v>47058</v>
      </c>
      <c r="G1909" s="6">
        <v>880</v>
      </c>
      <c r="H1909" s="93" t="s">
        <v>5334</v>
      </c>
      <c r="I1909" s="93" t="s">
        <v>5306</v>
      </c>
      <c r="J1909" s="184"/>
      <c r="K1909" s="266">
        <f t="shared" si="434"/>
        <v>2028</v>
      </c>
      <c r="L1909" s="393" t="s">
        <v>5741</v>
      </c>
      <c r="M1909" s="390" t="s">
        <v>5683</v>
      </c>
      <c r="N1909" s="166" t="s">
        <v>7769</v>
      </c>
      <c r="O1909" s="166" t="s">
        <v>5332</v>
      </c>
      <c r="Q1909" s="377" t="s">
        <v>5331</v>
      </c>
      <c r="R1909" s="75">
        <f>160+1320+1760</f>
        <v>3240</v>
      </c>
      <c r="S1909" s="75">
        <v>1760</v>
      </c>
      <c r="T1909" s="75">
        <f t="shared" si="440"/>
        <v>5000</v>
      </c>
      <c r="U1909" s="200">
        <v>1320</v>
      </c>
      <c r="V1909" s="287">
        <f t="shared" ca="1" si="435"/>
        <v>2</v>
      </c>
      <c r="W1909" s="75">
        <f t="shared" ca="1" si="436"/>
        <v>2640</v>
      </c>
      <c r="X1909" s="200">
        <f t="shared" ca="1" si="437"/>
        <v>6320</v>
      </c>
      <c r="Z1909" s="31">
        <v>0.1</v>
      </c>
      <c r="AA1909" s="223">
        <v>0.1</v>
      </c>
      <c r="AB1909" s="312" t="s">
        <v>8127</v>
      </c>
      <c r="AF1909">
        <f t="shared" si="431"/>
        <v>0</v>
      </c>
    </row>
    <row r="1910" spans="1:32" ht="26.25" hidden="1" x14ac:dyDescent="0.25">
      <c r="A1910" s="315" t="s">
        <v>5304</v>
      </c>
      <c r="B1910" s="93" t="str">
        <f t="shared" si="433"/>
        <v>YES</v>
      </c>
      <c r="C1910" s="93" t="s">
        <v>5503</v>
      </c>
      <c r="D1910" s="95">
        <v>43354</v>
      </c>
      <c r="E1910" s="97">
        <v>43405</v>
      </c>
      <c r="F1910" s="2">
        <f t="shared" si="432"/>
        <v>47058</v>
      </c>
      <c r="G1910" s="6">
        <v>720</v>
      </c>
      <c r="H1910" s="93" t="s">
        <v>5334</v>
      </c>
      <c r="I1910" s="93" t="s">
        <v>5306</v>
      </c>
      <c r="J1910" s="184"/>
      <c r="K1910" s="266">
        <f t="shared" si="434"/>
        <v>2028</v>
      </c>
      <c r="L1910" s="393" t="s">
        <v>5783</v>
      </c>
      <c r="M1910" s="390" t="s">
        <v>5835</v>
      </c>
      <c r="N1910" s="166" t="s">
        <v>7769</v>
      </c>
      <c r="O1910" s="166" t="s">
        <v>5335</v>
      </c>
      <c r="Q1910" s="234" t="s">
        <v>5333</v>
      </c>
      <c r="R1910" s="75">
        <f>160+1080+1440</f>
        <v>2680</v>
      </c>
      <c r="S1910" s="75">
        <v>1440</v>
      </c>
      <c r="T1910" s="75">
        <f t="shared" si="440"/>
        <v>4120</v>
      </c>
      <c r="U1910" s="200">
        <v>1080</v>
      </c>
      <c r="V1910" s="287">
        <f t="shared" ca="1" si="435"/>
        <v>2</v>
      </c>
      <c r="W1910" s="75">
        <f t="shared" ca="1" si="436"/>
        <v>2160</v>
      </c>
      <c r="X1910" s="200">
        <f t="shared" ca="1" si="437"/>
        <v>5200</v>
      </c>
      <c r="Z1910" s="31">
        <v>0.1</v>
      </c>
      <c r="AA1910" s="223">
        <v>0.1</v>
      </c>
      <c r="AB1910" s="312" t="s">
        <v>8127</v>
      </c>
      <c r="AF1910">
        <f t="shared" si="431"/>
        <v>0</v>
      </c>
    </row>
    <row r="1911" spans="1:32" hidden="1" x14ac:dyDescent="0.25">
      <c r="A1911" s="315" t="s">
        <v>5305</v>
      </c>
      <c r="B1911" s="93" t="str">
        <f t="shared" si="433"/>
        <v>YES</v>
      </c>
      <c r="C1911" s="93" t="s">
        <v>5503</v>
      </c>
      <c r="D1911" s="95">
        <v>43354</v>
      </c>
      <c r="E1911" s="97">
        <v>43405</v>
      </c>
      <c r="F1911" s="2">
        <f t="shared" si="432"/>
        <v>47058</v>
      </c>
      <c r="G1911" s="6">
        <v>200</v>
      </c>
      <c r="H1911" s="93" t="s">
        <v>5334</v>
      </c>
      <c r="I1911" s="93" t="s">
        <v>5306</v>
      </c>
      <c r="J1911" s="184"/>
      <c r="K1911" s="266">
        <f t="shared" si="434"/>
        <v>2028</v>
      </c>
      <c r="L1911" s="393" t="s">
        <v>5783</v>
      </c>
      <c r="M1911" s="390" t="s">
        <v>5835</v>
      </c>
      <c r="N1911" s="166" t="s">
        <v>7769</v>
      </c>
      <c r="O1911" s="166" t="s">
        <v>5337</v>
      </c>
      <c r="Q1911" s="234" t="s">
        <v>5336</v>
      </c>
      <c r="R1911" s="75">
        <f>160+300+400</f>
        <v>860</v>
      </c>
      <c r="S1911" s="75">
        <v>1800</v>
      </c>
      <c r="T1911" s="75">
        <f t="shared" si="440"/>
        <v>2660</v>
      </c>
      <c r="U1911" s="200">
        <v>300</v>
      </c>
      <c r="V1911" s="287">
        <f t="shared" ca="1" si="435"/>
        <v>2</v>
      </c>
      <c r="W1911" s="75">
        <f t="shared" ca="1" si="436"/>
        <v>600</v>
      </c>
      <c r="X1911" s="200">
        <f t="shared" ca="1" si="437"/>
        <v>2960</v>
      </c>
      <c r="Z1911" s="31">
        <v>0.1</v>
      </c>
      <c r="AA1911" s="223">
        <v>0.1</v>
      </c>
      <c r="AB1911" s="312" t="s">
        <v>8127</v>
      </c>
      <c r="AF1911">
        <f t="shared" si="431"/>
        <v>0</v>
      </c>
    </row>
    <row r="1912" spans="1:32" ht="15.75" hidden="1" thickBot="1" x14ac:dyDescent="0.3">
      <c r="F1912" s="2"/>
      <c r="G1912" s="6"/>
      <c r="I1912" s="93"/>
      <c r="J1912" s="184"/>
      <c r="K1912" s="184"/>
      <c r="L1912" s="387"/>
      <c r="M1912" s="387"/>
      <c r="Q1912" s="234"/>
      <c r="R1912" s="76">
        <f>SUM(R1894:R1911)</f>
        <v>38699</v>
      </c>
      <c r="S1912" s="76">
        <f>SUM(S1894:S1911)</f>
        <v>58943</v>
      </c>
      <c r="T1912" s="76">
        <f>SUM(T1894:T1911)</f>
        <v>97642</v>
      </c>
      <c r="U1912" s="200"/>
      <c r="V1912" s="75"/>
      <c r="W1912" s="75"/>
      <c r="X1912" s="200"/>
      <c r="Z1912" s="31"/>
      <c r="AA1912" s="223"/>
      <c r="AF1912">
        <f t="shared" si="431"/>
        <v>0</v>
      </c>
    </row>
    <row r="1913" spans="1:32" hidden="1" x14ac:dyDescent="0.25">
      <c r="F1913" s="2"/>
      <c r="G1913" s="6"/>
      <c r="I1913" s="93"/>
      <c r="J1913" s="184"/>
      <c r="K1913" s="184"/>
      <c r="L1913" s="387"/>
      <c r="M1913" s="387"/>
      <c r="Q1913" s="234"/>
      <c r="R1913" s="75"/>
      <c r="S1913" s="75"/>
      <c r="T1913" s="75"/>
      <c r="U1913" s="200"/>
      <c r="V1913" s="75"/>
      <c r="W1913" s="75"/>
      <c r="X1913" s="200"/>
      <c r="Z1913" s="31"/>
      <c r="AA1913" s="223"/>
      <c r="AF1913">
        <f t="shared" si="431"/>
        <v>0</v>
      </c>
    </row>
    <row r="1914" spans="1:32" hidden="1" x14ac:dyDescent="0.25">
      <c r="A1914" s="315" t="s">
        <v>5338</v>
      </c>
      <c r="B1914" s="93" t="str">
        <f t="shared" ref="B1914:B1929" si="441">IF(COUNTIF(GIS,A1914),"YES","NO")</f>
        <v>YES</v>
      </c>
      <c r="C1914" s="93" t="s">
        <v>5503</v>
      </c>
      <c r="D1914" s="95">
        <v>43363</v>
      </c>
      <c r="E1914" s="97">
        <v>43374</v>
      </c>
      <c r="F1914" s="2">
        <f t="shared" si="432"/>
        <v>47027</v>
      </c>
      <c r="G1914" s="6">
        <v>80</v>
      </c>
      <c r="H1914" s="93" t="s">
        <v>376</v>
      </c>
      <c r="I1914" s="93" t="s">
        <v>72</v>
      </c>
      <c r="J1914" s="184"/>
      <c r="K1914" s="266">
        <f t="shared" ref="K1914:K1929" si="442">YEAR(F1914)</f>
        <v>2028</v>
      </c>
      <c r="L1914" s="390" t="s">
        <v>6015</v>
      </c>
      <c r="M1914" s="393" t="s">
        <v>6145</v>
      </c>
      <c r="N1914" s="166" t="s">
        <v>7766</v>
      </c>
      <c r="O1914" s="166" t="s">
        <v>7767</v>
      </c>
      <c r="Q1914" s="234" t="s">
        <v>5350</v>
      </c>
      <c r="R1914" s="75">
        <f>160+160+120</f>
        <v>440</v>
      </c>
      <c r="S1914" s="75">
        <f>T1914-R1914</f>
        <v>0</v>
      </c>
      <c r="T1914" s="75">
        <v>440</v>
      </c>
      <c r="U1914" s="200">
        <v>120</v>
      </c>
      <c r="V1914" s="287">
        <f t="shared" ref="V1914:V1929" ca="1" si="443">IF(YEAR($W$3)-YEAR(E1914)&gt;9,10,IF(MONTH($W$3)&lt;MONTH(E1914),YEAR($W$3)-YEAR(E1914),YEAR($W$3)-YEAR(E1914)+1))</f>
        <v>2</v>
      </c>
      <c r="W1914" s="75">
        <f t="shared" ref="W1914:W1929" ca="1" si="444">IF(V1914&lt;6, ROUNDUP(G1914,0)*$W$6*V1914, ROUNDUP(G1914,0)*($W$6*5 + (V1914-5)*$W$7))</f>
        <v>240</v>
      </c>
      <c r="X1914" s="200">
        <f t="shared" ref="X1914:X1929" ca="1" si="445">IF(V1914=0,T1914,((T1914-ROUNDUP(G1914,0)*1.5)+W1914))</f>
        <v>560</v>
      </c>
      <c r="Z1914" s="31">
        <v>0.1</v>
      </c>
      <c r="AA1914" s="223">
        <v>0.1</v>
      </c>
      <c r="AB1914" s="312" t="s">
        <v>7651</v>
      </c>
      <c r="AF1914">
        <f t="shared" si="431"/>
        <v>0</v>
      </c>
    </row>
    <row r="1915" spans="1:32" hidden="1" x14ac:dyDescent="0.25">
      <c r="A1915" s="315" t="s">
        <v>5339</v>
      </c>
      <c r="B1915" s="93" t="str">
        <f t="shared" si="441"/>
        <v>YES</v>
      </c>
      <c r="C1915" s="93" t="s">
        <v>5503</v>
      </c>
      <c r="D1915" s="95">
        <v>43363</v>
      </c>
      <c r="E1915" s="97">
        <v>43374</v>
      </c>
      <c r="F1915" s="2">
        <f t="shared" si="432"/>
        <v>47027</v>
      </c>
      <c r="G1915" s="6">
        <v>40</v>
      </c>
      <c r="H1915" s="93" t="s">
        <v>5366</v>
      </c>
      <c r="I1915" s="93" t="s">
        <v>72</v>
      </c>
      <c r="J1915" s="184"/>
      <c r="K1915" s="266">
        <f t="shared" si="442"/>
        <v>2028</v>
      </c>
      <c r="L1915" s="390" t="s">
        <v>5507</v>
      </c>
      <c r="M1915" s="393" t="s">
        <v>5790</v>
      </c>
      <c r="N1915" s="166" t="s">
        <v>7766</v>
      </c>
      <c r="O1915" s="166" t="s">
        <v>5371</v>
      </c>
      <c r="Q1915" s="234" t="s">
        <v>5351</v>
      </c>
      <c r="R1915" s="75">
        <f>80+160+60</f>
        <v>300</v>
      </c>
      <c r="S1915" s="75">
        <f t="shared" ref="S1915:S1928" si="446">T1915-R1915</f>
        <v>0</v>
      </c>
      <c r="T1915" s="75">
        <v>300</v>
      </c>
      <c r="U1915" s="200">
        <v>60</v>
      </c>
      <c r="V1915" s="287">
        <f t="shared" ca="1" si="443"/>
        <v>2</v>
      </c>
      <c r="W1915" s="75">
        <f t="shared" ca="1" si="444"/>
        <v>120</v>
      </c>
      <c r="X1915" s="200">
        <f t="shared" ca="1" si="445"/>
        <v>360</v>
      </c>
      <c r="Z1915" s="31">
        <v>0.1</v>
      </c>
      <c r="AA1915" s="223">
        <v>0.1</v>
      </c>
      <c r="AB1915" s="312" t="s">
        <v>7835</v>
      </c>
      <c r="AF1915">
        <f t="shared" si="431"/>
        <v>0</v>
      </c>
    </row>
    <row r="1916" spans="1:32" hidden="1" x14ac:dyDescent="0.25">
      <c r="A1916" s="315" t="s">
        <v>5340</v>
      </c>
      <c r="B1916" s="93" t="str">
        <f t="shared" si="441"/>
        <v>YES</v>
      </c>
      <c r="C1916" s="93" t="s">
        <v>5503</v>
      </c>
      <c r="D1916" s="95">
        <v>43363</v>
      </c>
      <c r="E1916" s="97">
        <v>43374</v>
      </c>
      <c r="F1916" s="2">
        <f t="shared" si="432"/>
        <v>47027</v>
      </c>
      <c r="G1916" s="6">
        <v>40</v>
      </c>
      <c r="H1916" s="93" t="s">
        <v>5366</v>
      </c>
      <c r="I1916" s="93" t="s">
        <v>72</v>
      </c>
      <c r="J1916" s="184"/>
      <c r="K1916" s="266">
        <f t="shared" si="442"/>
        <v>2028</v>
      </c>
      <c r="L1916" s="390" t="s">
        <v>5507</v>
      </c>
      <c r="M1916" s="393" t="s">
        <v>5790</v>
      </c>
      <c r="N1916" s="166" t="s">
        <v>7766</v>
      </c>
      <c r="O1916" s="166" t="s">
        <v>5372</v>
      </c>
      <c r="Q1916" s="234" t="s">
        <v>5352</v>
      </c>
      <c r="R1916" s="75">
        <f>80+160+60</f>
        <v>300</v>
      </c>
      <c r="S1916" s="75">
        <f t="shared" si="446"/>
        <v>0</v>
      </c>
      <c r="T1916" s="75">
        <v>300</v>
      </c>
      <c r="U1916" s="200">
        <v>60</v>
      </c>
      <c r="V1916" s="287">
        <f t="shared" ca="1" si="443"/>
        <v>2</v>
      </c>
      <c r="W1916" s="75">
        <f t="shared" ca="1" si="444"/>
        <v>120</v>
      </c>
      <c r="X1916" s="200">
        <f t="shared" ca="1" si="445"/>
        <v>360</v>
      </c>
      <c r="Z1916" s="31">
        <v>0.1</v>
      </c>
      <c r="AA1916" s="223">
        <v>0.1</v>
      </c>
      <c r="AB1916" s="312" t="s">
        <v>7835</v>
      </c>
      <c r="AF1916">
        <f t="shared" si="431"/>
        <v>0</v>
      </c>
    </row>
    <row r="1917" spans="1:32" hidden="1" x14ac:dyDescent="0.25">
      <c r="A1917" s="315" t="s">
        <v>5341</v>
      </c>
      <c r="B1917" s="93" t="str">
        <f t="shared" si="441"/>
        <v>YES</v>
      </c>
      <c r="C1917" s="93" t="s">
        <v>5503</v>
      </c>
      <c r="D1917" s="95">
        <v>43363</v>
      </c>
      <c r="E1917" s="97">
        <v>43374</v>
      </c>
      <c r="F1917" s="2">
        <f t="shared" si="432"/>
        <v>47027</v>
      </c>
      <c r="G1917" s="6">
        <v>40</v>
      </c>
      <c r="H1917" s="93" t="s">
        <v>5366</v>
      </c>
      <c r="I1917" s="93" t="s">
        <v>72</v>
      </c>
      <c r="J1917" s="184"/>
      <c r="K1917" s="266">
        <f t="shared" si="442"/>
        <v>2028</v>
      </c>
      <c r="L1917" s="390" t="s">
        <v>5507</v>
      </c>
      <c r="M1917" s="393" t="s">
        <v>5790</v>
      </c>
      <c r="N1917" s="166" t="s">
        <v>7766</v>
      </c>
      <c r="O1917" s="166" t="s">
        <v>5373</v>
      </c>
      <c r="Q1917" s="234" t="s">
        <v>5353</v>
      </c>
      <c r="R1917" s="75">
        <f>80+160+60</f>
        <v>300</v>
      </c>
      <c r="S1917" s="75">
        <f t="shared" si="446"/>
        <v>0</v>
      </c>
      <c r="T1917" s="75">
        <v>300</v>
      </c>
      <c r="U1917" s="200">
        <v>60</v>
      </c>
      <c r="V1917" s="287">
        <f t="shared" ca="1" si="443"/>
        <v>2</v>
      </c>
      <c r="W1917" s="75">
        <f t="shared" ca="1" si="444"/>
        <v>120</v>
      </c>
      <c r="X1917" s="200">
        <f t="shared" ca="1" si="445"/>
        <v>360</v>
      </c>
      <c r="Z1917" s="31">
        <v>0.1</v>
      </c>
      <c r="AA1917" s="223">
        <v>0.1</v>
      </c>
      <c r="AB1917" s="312" t="s">
        <v>7835</v>
      </c>
      <c r="AF1917">
        <f t="shared" si="431"/>
        <v>0</v>
      </c>
    </row>
    <row r="1918" spans="1:32" hidden="1" x14ac:dyDescent="0.25">
      <c r="A1918" s="315" t="s">
        <v>5342</v>
      </c>
      <c r="B1918" s="93" t="str">
        <f t="shared" si="441"/>
        <v>YES</v>
      </c>
      <c r="C1918" s="93" t="s">
        <v>5503</v>
      </c>
      <c r="D1918" s="95">
        <v>43363</v>
      </c>
      <c r="E1918" s="97">
        <v>43374</v>
      </c>
      <c r="F1918" s="2">
        <f t="shared" si="432"/>
        <v>47027</v>
      </c>
      <c r="G1918" s="6">
        <v>40</v>
      </c>
      <c r="H1918" s="93" t="s">
        <v>5366</v>
      </c>
      <c r="I1918" s="93" t="s">
        <v>72</v>
      </c>
      <c r="J1918" s="184"/>
      <c r="K1918" s="266">
        <f t="shared" si="442"/>
        <v>2028</v>
      </c>
      <c r="L1918" s="390" t="s">
        <v>5507</v>
      </c>
      <c r="M1918" s="393" t="s">
        <v>5790</v>
      </c>
      <c r="N1918" s="166" t="s">
        <v>7766</v>
      </c>
      <c r="O1918" s="166" t="s">
        <v>5374</v>
      </c>
      <c r="Q1918" s="234" t="s">
        <v>5354</v>
      </c>
      <c r="R1918" s="75">
        <f>80+160+60</f>
        <v>300</v>
      </c>
      <c r="S1918" s="75">
        <f t="shared" si="446"/>
        <v>0</v>
      </c>
      <c r="T1918" s="75">
        <v>300</v>
      </c>
      <c r="U1918" s="200">
        <v>60</v>
      </c>
      <c r="V1918" s="287">
        <f t="shared" ca="1" si="443"/>
        <v>2</v>
      </c>
      <c r="W1918" s="75">
        <f t="shared" ca="1" si="444"/>
        <v>120</v>
      </c>
      <c r="X1918" s="200">
        <f t="shared" ca="1" si="445"/>
        <v>360</v>
      </c>
      <c r="Z1918" s="31">
        <v>0.1</v>
      </c>
      <c r="AA1918" s="223">
        <v>0.1</v>
      </c>
      <c r="AB1918" s="312" t="s">
        <v>7835</v>
      </c>
      <c r="AF1918">
        <f t="shared" si="431"/>
        <v>0</v>
      </c>
    </row>
    <row r="1919" spans="1:32" hidden="1" x14ac:dyDescent="0.25">
      <c r="A1919" s="315" t="s">
        <v>5343</v>
      </c>
      <c r="B1919" s="93" t="str">
        <f t="shared" si="441"/>
        <v>YES</v>
      </c>
      <c r="C1919" s="93" t="s">
        <v>5503</v>
      </c>
      <c r="D1919" s="95">
        <v>43363</v>
      </c>
      <c r="E1919" s="97">
        <v>43374</v>
      </c>
      <c r="F1919" s="2">
        <f t="shared" si="432"/>
        <v>47027</v>
      </c>
      <c r="G1919" s="6">
        <v>20</v>
      </c>
      <c r="H1919" s="93" t="s">
        <v>5366</v>
      </c>
      <c r="I1919" s="93" t="s">
        <v>72</v>
      </c>
      <c r="J1919" s="184"/>
      <c r="K1919" s="266">
        <f t="shared" si="442"/>
        <v>2028</v>
      </c>
      <c r="L1919" s="390" t="s">
        <v>5789</v>
      </c>
      <c r="M1919" s="393" t="s">
        <v>6145</v>
      </c>
      <c r="N1919" s="166" t="s">
        <v>7766</v>
      </c>
      <c r="O1919" s="166" t="s">
        <v>5375</v>
      </c>
      <c r="Q1919" s="234" t="s">
        <v>5359</v>
      </c>
      <c r="R1919" s="75">
        <f>40+160+30</f>
        <v>230</v>
      </c>
      <c r="S1919" s="75">
        <f>T1919-R1919</f>
        <v>0</v>
      </c>
      <c r="T1919" s="75">
        <v>230</v>
      </c>
      <c r="U1919" s="200">
        <v>30</v>
      </c>
      <c r="V1919" s="287">
        <f t="shared" ca="1" si="443"/>
        <v>2</v>
      </c>
      <c r="W1919" s="75">
        <f t="shared" ca="1" si="444"/>
        <v>60</v>
      </c>
      <c r="X1919" s="200">
        <f t="shared" ca="1" si="445"/>
        <v>260</v>
      </c>
      <c r="Z1919" s="31">
        <v>0.1</v>
      </c>
      <c r="AA1919" s="223">
        <v>0.1</v>
      </c>
      <c r="AB1919" s="312" t="s">
        <v>7835</v>
      </c>
      <c r="AF1919">
        <f t="shared" si="431"/>
        <v>0</v>
      </c>
    </row>
    <row r="1920" spans="1:32" hidden="1" x14ac:dyDescent="0.25">
      <c r="A1920" s="315" t="s">
        <v>5344</v>
      </c>
      <c r="B1920" s="93" t="str">
        <f t="shared" si="441"/>
        <v>YES</v>
      </c>
      <c r="C1920" s="93" t="s">
        <v>5503</v>
      </c>
      <c r="D1920" s="95">
        <v>43363</v>
      </c>
      <c r="E1920" s="97">
        <v>43374</v>
      </c>
      <c r="F1920" s="2">
        <f t="shared" si="432"/>
        <v>47027</v>
      </c>
      <c r="G1920" s="6">
        <v>13.2</v>
      </c>
      <c r="H1920" s="93" t="s">
        <v>5366</v>
      </c>
      <c r="I1920" s="93" t="s">
        <v>72</v>
      </c>
      <c r="J1920" s="184"/>
      <c r="K1920" s="266">
        <f t="shared" si="442"/>
        <v>2028</v>
      </c>
      <c r="L1920" s="390" t="s">
        <v>5507</v>
      </c>
      <c r="M1920" s="393" t="s">
        <v>7536</v>
      </c>
      <c r="N1920" s="166" t="s">
        <v>7766</v>
      </c>
      <c r="O1920" s="166" t="s">
        <v>5376</v>
      </c>
      <c r="Q1920" s="234" t="s">
        <v>5360</v>
      </c>
      <c r="R1920" s="75">
        <f>28+160+21</f>
        <v>209</v>
      </c>
      <c r="S1920" s="75">
        <f>T1920-R1920</f>
        <v>0</v>
      </c>
      <c r="T1920" s="75">
        <v>209</v>
      </c>
      <c r="U1920" s="200">
        <v>21</v>
      </c>
      <c r="V1920" s="287">
        <f t="shared" ca="1" si="443"/>
        <v>2</v>
      </c>
      <c r="W1920" s="75">
        <f t="shared" ca="1" si="444"/>
        <v>42</v>
      </c>
      <c r="X1920" s="200">
        <f t="shared" ca="1" si="445"/>
        <v>230</v>
      </c>
      <c r="Z1920" s="31">
        <v>0.1</v>
      </c>
      <c r="AA1920" s="223">
        <v>0.1</v>
      </c>
      <c r="AB1920" s="312" t="s">
        <v>7835</v>
      </c>
      <c r="AF1920">
        <f t="shared" si="431"/>
        <v>0</v>
      </c>
    </row>
    <row r="1921" spans="1:32" hidden="1" x14ac:dyDescent="0.25">
      <c r="A1921" s="315" t="s">
        <v>5345</v>
      </c>
      <c r="B1921" s="93" t="str">
        <f t="shared" si="441"/>
        <v>YES</v>
      </c>
      <c r="C1921" s="93" t="s">
        <v>5503</v>
      </c>
      <c r="D1921" s="95">
        <v>43363</v>
      </c>
      <c r="E1921" s="97">
        <v>43374</v>
      </c>
      <c r="F1921" s="2">
        <f t="shared" si="432"/>
        <v>47027</v>
      </c>
      <c r="G1921" s="6">
        <v>80</v>
      </c>
      <c r="H1921" s="93" t="s">
        <v>5366</v>
      </c>
      <c r="I1921" s="93" t="s">
        <v>72</v>
      </c>
      <c r="J1921" s="184"/>
      <c r="K1921" s="266">
        <f t="shared" si="442"/>
        <v>2028</v>
      </c>
      <c r="L1921" s="390" t="s">
        <v>5507</v>
      </c>
      <c r="M1921" s="393" t="s">
        <v>7536</v>
      </c>
      <c r="N1921" s="166" t="s">
        <v>7766</v>
      </c>
      <c r="O1921" s="166" t="s">
        <v>5377</v>
      </c>
      <c r="Q1921" s="234" t="s">
        <v>5361</v>
      </c>
      <c r="R1921" s="75">
        <f>160+160+120</f>
        <v>440</v>
      </c>
      <c r="S1921" s="75">
        <f>T1921-R1921</f>
        <v>0</v>
      </c>
      <c r="T1921" s="75">
        <v>440</v>
      </c>
      <c r="U1921" s="200">
        <v>120</v>
      </c>
      <c r="V1921" s="287">
        <f t="shared" ca="1" si="443"/>
        <v>2</v>
      </c>
      <c r="W1921" s="75">
        <f t="shared" ca="1" si="444"/>
        <v>240</v>
      </c>
      <c r="X1921" s="200">
        <f t="shared" ca="1" si="445"/>
        <v>560</v>
      </c>
      <c r="Z1921" s="31">
        <v>0.1</v>
      </c>
      <c r="AA1921" s="223">
        <v>0.1</v>
      </c>
      <c r="AB1921" s="312" t="s">
        <v>7835</v>
      </c>
      <c r="AF1921">
        <f t="shared" si="431"/>
        <v>0</v>
      </c>
    </row>
    <row r="1922" spans="1:32" hidden="1" x14ac:dyDescent="0.25">
      <c r="A1922" s="315" t="s">
        <v>5367</v>
      </c>
      <c r="B1922" s="93" t="str">
        <f t="shared" si="441"/>
        <v>YES</v>
      </c>
      <c r="C1922" s="93" t="s">
        <v>5503</v>
      </c>
      <c r="D1922" s="95">
        <v>43363</v>
      </c>
      <c r="E1922" s="97">
        <v>43374</v>
      </c>
      <c r="F1922" s="2">
        <f t="shared" si="432"/>
        <v>47027</v>
      </c>
      <c r="G1922" s="6">
        <v>120</v>
      </c>
      <c r="H1922" s="93" t="s">
        <v>1675</v>
      </c>
      <c r="I1922" s="402" t="s">
        <v>1050</v>
      </c>
      <c r="J1922" s="184"/>
      <c r="K1922" s="266">
        <f t="shared" si="442"/>
        <v>2028</v>
      </c>
      <c r="L1922" s="390" t="s">
        <v>5789</v>
      </c>
      <c r="M1922" s="393" t="s">
        <v>5577</v>
      </c>
      <c r="N1922" s="166" t="s">
        <v>7766</v>
      </c>
      <c r="O1922" s="166" t="s">
        <v>5378</v>
      </c>
      <c r="Q1922" s="234" t="s">
        <v>5355</v>
      </c>
      <c r="R1922" s="75">
        <f>240+160+180</f>
        <v>580</v>
      </c>
      <c r="S1922" s="75">
        <f t="shared" si="446"/>
        <v>0</v>
      </c>
      <c r="T1922" s="75">
        <v>580</v>
      </c>
      <c r="U1922" s="200">
        <v>180</v>
      </c>
      <c r="V1922" s="287">
        <f t="shared" ca="1" si="443"/>
        <v>2</v>
      </c>
      <c r="W1922" s="75">
        <f t="shared" ca="1" si="444"/>
        <v>360</v>
      </c>
      <c r="X1922" s="200">
        <f t="shared" ca="1" si="445"/>
        <v>760</v>
      </c>
      <c r="Z1922" s="31">
        <v>0.1</v>
      </c>
      <c r="AA1922" s="223">
        <v>0.1</v>
      </c>
      <c r="AB1922" s="312" t="s">
        <v>7829</v>
      </c>
      <c r="AF1922">
        <f t="shared" si="431"/>
        <v>0</v>
      </c>
    </row>
    <row r="1923" spans="1:32" ht="26.25" hidden="1" x14ac:dyDescent="0.25">
      <c r="A1923" s="315" t="s">
        <v>5368</v>
      </c>
      <c r="B1923" s="93" t="str">
        <f t="shared" si="441"/>
        <v>YES</v>
      </c>
      <c r="C1923" s="93" t="s">
        <v>5503</v>
      </c>
      <c r="D1923" s="95">
        <v>43363</v>
      </c>
      <c r="E1923" s="97">
        <v>43374</v>
      </c>
      <c r="F1923" s="2">
        <f t="shared" si="432"/>
        <v>47027</v>
      </c>
      <c r="G1923" s="6">
        <v>1006.86</v>
      </c>
      <c r="H1923" s="93" t="s">
        <v>1675</v>
      </c>
      <c r="I1923" s="402" t="s">
        <v>1050</v>
      </c>
      <c r="J1923" s="184"/>
      <c r="K1923" s="266">
        <f t="shared" si="442"/>
        <v>2028</v>
      </c>
      <c r="L1923" s="390" t="s">
        <v>5789</v>
      </c>
      <c r="M1923" s="393" t="s">
        <v>5577</v>
      </c>
      <c r="N1923" s="166" t="s">
        <v>7766</v>
      </c>
      <c r="O1923" s="166" t="s">
        <v>5379</v>
      </c>
      <c r="Q1923" s="234" t="s">
        <v>5356</v>
      </c>
      <c r="R1923" s="75">
        <f>2014+160+1510.5</f>
        <v>3684.5</v>
      </c>
      <c r="S1923" s="75">
        <f t="shared" si="446"/>
        <v>0</v>
      </c>
      <c r="T1923" s="75">
        <v>3684.5</v>
      </c>
      <c r="U1923" s="200">
        <v>1510.5</v>
      </c>
      <c r="V1923" s="287">
        <f t="shared" ca="1" si="443"/>
        <v>2</v>
      </c>
      <c r="W1923" s="75">
        <f t="shared" ca="1" si="444"/>
        <v>3021</v>
      </c>
      <c r="X1923" s="200">
        <f t="shared" ca="1" si="445"/>
        <v>5195</v>
      </c>
      <c r="Z1923" s="31">
        <v>0.1</v>
      </c>
      <c r="AA1923" s="223">
        <v>0.1</v>
      </c>
      <c r="AB1923" s="312" t="s">
        <v>7829</v>
      </c>
      <c r="AF1923">
        <f t="shared" si="431"/>
        <v>0</v>
      </c>
    </row>
    <row r="1924" spans="1:32" hidden="1" x14ac:dyDescent="0.25">
      <c r="A1924" s="315" t="s">
        <v>5369</v>
      </c>
      <c r="B1924" s="93" t="str">
        <f t="shared" si="441"/>
        <v>YES</v>
      </c>
      <c r="C1924" s="93" t="s">
        <v>5503</v>
      </c>
      <c r="D1924" s="95">
        <v>43363</v>
      </c>
      <c r="E1924" s="97">
        <v>43374</v>
      </c>
      <c r="F1924" s="2">
        <f t="shared" si="432"/>
        <v>47027</v>
      </c>
      <c r="G1924" s="6">
        <v>100</v>
      </c>
      <c r="H1924" s="93" t="s">
        <v>1675</v>
      </c>
      <c r="I1924" s="402" t="s">
        <v>1050</v>
      </c>
      <c r="J1924" s="184"/>
      <c r="K1924" s="266">
        <f t="shared" si="442"/>
        <v>2028</v>
      </c>
      <c r="L1924" s="390" t="s">
        <v>5789</v>
      </c>
      <c r="M1924" s="393" t="s">
        <v>5577</v>
      </c>
      <c r="N1924" s="166" t="s">
        <v>7766</v>
      </c>
      <c r="O1924" s="166" t="s">
        <v>5380</v>
      </c>
      <c r="Q1924" s="234" t="s">
        <v>5357</v>
      </c>
      <c r="R1924" s="75">
        <f>200+160+150</f>
        <v>510</v>
      </c>
      <c r="S1924" s="75">
        <f t="shared" si="446"/>
        <v>0</v>
      </c>
      <c r="T1924" s="75">
        <v>510</v>
      </c>
      <c r="U1924" s="200">
        <v>150</v>
      </c>
      <c r="V1924" s="287">
        <f t="shared" ca="1" si="443"/>
        <v>2</v>
      </c>
      <c r="W1924" s="75">
        <f t="shared" ca="1" si="444"/>
        <v>300</v>
      </c>
      <c r="X1924" s="200">
        <f t="shared" ca="1" si="445"/>
        <v>660</v>
      </c>
      <c r="Z1924" s="31">
        <v>0.1</v>
      </c>
      <c r="AA1924" s="223">
        <v>0.1</v>
      </c>
      <c r="AB1924" s="312" t="s">
        <v>7829</v>
      </c>
      <c r="AF1924">
        <f t="shared" si="431"/>
        <v>0</v>
      </c>
    </row>
    <row r="1925" spans="1:32" ht="26.25" hidden="1" x14ac:dyDescent="0.25">
      <c r="A1925" s="315" t="s">
        <v>5370</v>
      </c>
      <c r="B1925" s="93" t="str">
        <f t="shared" si="441"/>
        <v>YES</v>
      </c>
      <c r="C1925" s="93" t="s">
        <v>5503</v>
      </c>
      <c r="D1925" s="95">
        <v>43363</v>
      </c>
      <c r="E1925" s="97">
        <v>43374</v>
      </c>
      <c r="F1925" s="2">
        <f t="shared" si="432"/>
        <v>47027</v>
      </c>
      <c r="G1925" s="6">
        <v>1040</v>
      </c>
      <c r="H1925" s="93" t="s">
        <v>1675</v>
      </c>
      <c r="I1925" s="402" t="s">
        <v>1050</v>
      </c>
      <c r="J1925" s="184"/>
      <c r="K1925" s="266">
        <f t="shared" si="442"/>
        <v>2028</v>
      </c>
      <c r="L1925" s="390" t="s">
        <v>5789</v>
      </c>
      <c r="M1925" s="393" t="s">
        <v>5577</v>
      </c>
      <c r="N1925" s="166" t="s">
        <v>7766</v>
      </c>
      <c r="O1925" s="166" t="s">
        <v>5381</v>
      </c>
      <c r="Q1925" s="234" t="s">
        <v>5358</v>
      </c>
      <c r="R1925" s="75">
        <f>2080+160+1560</f>
        <v>3800</v>
      </c>
      <c r="S1925" s="75">
        <f t="shared" si="446"/>
        <v>0</v>
      </c>
      <c r="T1925" s="75">
        <v>3800</v>
      </c>
      <c r="U1925" s="200">
        <v>1560</v>
      </c>
      <c r="V1925" s="287">
        <f t="shared" ca="1" si="443"/>
        <v>2</v>
      </c>
      <c r="W1925" s="75">
        <f t="shared" ca="1" si="444"/>
        <v>3120</v>
      </c>
      <c r="X1925" s="200">
        <f t="shared" ca="1" si="445"/>
        <v>5360</v>
      </c>
      <c r="Z1925" s="31">
        <v>0.1</v>
      </c>
      <c r="AA1925" s="223">
        <v>0.1</v>
      </c>
      <c r="AB1925" s="312" t="s">
        <v>7829</v>
      </c>
      <c r="AF1925">
        <f t="shared" si="431"/>
        <v>0</v>
      </c>
    </row>
    <row r="1926" spans="1:32" hidden="1" x14ac:dyDescent="0.25">
      <c r="A1926" s="315" t="s">
        <v>5346</v>
      </c>
      <c r="B1926" s="93" t="str">
        <f t="shared" si="441"/>
        <v>YES</v>
      </c>
      <c r="C1926" s="93" t="s">
        <v>5503</v>
      </c>
      <c r="D1926" s="95">
        <v>43363</v>
      </c>
      <c r="E1926" s="97">
        <v>43374</v>
      </c>
      <c r="F1926" s="2">
        <f t="shared" si="432"/>
        <v>47027</v>
      </c>
      <c r="G1926" s="6">
        <v>340</v>
      </c>
      <c r="H1926" s="93" t="s">
        <v>1675</v>
      </c>
      <c r="I1926" s="402" t="s">
        <v>1050</v>
      </c>
      <c r="J1926" s="184"/>
      <c r="K1926" s="266">
        <f t="shared" si="442"/>
        <v>2028</v>
      </c>
      <c r="L1926" s="390" t="s">
        <v>5789</v>
      </c>
      <c r="M1926" s="393" t="s">
        <v>5577</v>
      </c>
      <c r="N1926" s="166" t="s">
        <v>7766</v>
      </c>
      <c r="O1926" s="166" t="s">
        <v>5382</v>
      </c>
      <c r="Q1926" s="234" t="s">
        <v>5362</v>
      </c>
      <c r="R1926" s="75">
        <f>680+160+510</f>
        <v>1350</v>
      </c>
      <c r="S1926" s="75">
        <f t="shared" si="446"/>
        <v>0</v>
      </c>
      <c r="T1926" s="75">
        <v>1350</v>
      </c>
      <c r="U1926" s="200">
        <v>510</v>
      </c>
      <c r="V1926" s="287">
        <f t="shared" ca="1" si="443"/>
        <v>2</v>
      </c>
      <c r="W1926" s="75">
        <f t="shared" ca="1" si="444"/>
        <v>1020</v>
      </c>
      <c r="X1926" s="200">
        <f t="shared" ca="1" si="445"/>
        <v>1860</v>
      </c>
      <c r="Z1926" s="31">
        <v>0.1</v>
      </c>
      <c r="AA1926" s="223">
        <v>0.1</v>
      </c>
      <c r="AB1926" s="312" t="s">
        <v>7829</v>
      </c>
      <c r="AF1926">
        <f t="shared" si="431"/>
        <v>0</v>
      </c>
    </row>
    <row r="1927" spans="1:32" hidden="1" x14ac:dyDescent="0.25">
      <c r="A1927" s="315" t="s">
        <v>5347</v>
      </c>
      <c r="B1927" s="93" t="str">
        <f t="shared" si="441"/>
        <v>YES</v>
      </c>
      <c r="C1927" s="93" t="s">
        <v>5503</v>
      </c>
      <c r="D1927" s="95">
        <v>43363</v>
      </c>
      <c r="E1927" s="97">
        <v>43374</v>
      </c>
      <c r="F1927" s="2">
        <f t="shared" si="432"/>
        <v>47027</v>
      </c>
      <c r="G1927" s="6">
        <v>80</v>
      </c>
      <c r="H1927" s="93" t="s">
        <v>1675</v>
      </c>
      <c r="I1927" s="402" t="s">
        <v>1050</v>
      </c>
      <c r="J1927" s="184"/>
      <c r="K1927" s="266">
        <f t="shared" si="442"/>
        <v>2028</v>
      </c>
      <c r="L1927" s="390" t="s">
        <v>5789</v>
      </c>
      <c r="M1927" s="393" t="s">
        <v>5577</v>
      </c>
      <c r="N1927" s="166" t="s">
        <v>7766</v>
      </c>
      <c r="O1927" s="166" t="s">
        <v>5383</v>
      </c>
      <c r="Q1927" s="234" t="s">
        <v>5363</v>
      </c>
      <c r="R1927" s="75">
        <f>160+160+120</f>
        <v>440</v>
      </c>
      <c r="S1927" s="75">
        <f t="shared" si="446"/>
        <v>0</v>
      </c>
      <c r="T1927" s="75">
        <v>440</v>
      </c>
      <c r="U1927" s="200">
        <v>120</v>
      </c>
      <c r="V1927" s="287">
        <f t="shared" ca="1" si="443"/>
        <v>2</v>
      </c>
      <c r="W1927" s="75">
        <f t="shared" ca="1" si="444"/>
        <v>240</v>
      </c>
      <c r="X1927" s="200">
        <f t="shared" ca="1" si="445"/>
        <v>560</v>
      </c>
      <c r="Z1927" s="31">
        <v>0.1</v>
      </c>
      <c r="AA1927" s="223">
        <v>0.1</v>
      </c>
      <c r="AB1927" s="312" t="s">
        <v>7829</v>
      </c>
      <c r="AF1927">
        <f t="shared" si="431"/>
        <v>0</v>
      </c>
    </row>
    <row r="1928" spans="1:32" hidden="1" x14ac:dyDescent="0.25">
      <c r="A1928" s="315" t="s">
        <v>5348</v>
      </c>
      <c r="B1928" s="93" t="str">
        <f t="shared" si="441"/>
        <v>YES</v>
      </c>
      <c r="C1928" s="93" t="s">
        <v>5503</v>
      </c>
      <c r="D1928" s="95">
        <v>43363</v>
      </c>
      <c r="E1928" s="97">
        <v>43374</v>
      </c>
      <c r="F1928" s="2">
        <f t="shared" si="432"/>
        <v>47027</v>
      </c>
      <c r="G1928" s="6">
        <v>40</v>
      </c>
      <c r="H1928" s="93" t="s">
        <v>1675</v>
      </c>
      <c r="I1928" s="402" t="s">
        <v>1050</v>
      </c>
      <c r="J1928" s="184"/>
      <c r="K1928" s="266">
        <f t="shared" si="442"/>
        <v>2028</v>
      </c>
      <c r="L1928" s="390" t="s">
        <v>5507</v>
      </c>
      <c r="M1928" s="393" t="s">
        <v>5796</v>
      </c>
      <c r="N1928" s="166" t="s">
        <v>7766</v>
      </c>
      <c r="O1928" s="166" t="s">
        <v>5384</v>
      </c>
      <c r="Q1928" s="234" t="s">
        <v>5364</v>
      </c>
      <c r="R1928" s="75">
        <f>80+160+60</f>
        <v>300</v>
      </c>
      <c r="S1928" s="75">
        <f t="shared" si="446"/>
        <v>0</v>
      </c>
      <c r="T1928" s="75">
        <v>300</v>
      </c>
      <c r="U1928" s="200">
        <v>60</v>
      </c>
      <c r="V1928" s="287">
        <f t="shared" ca="1" si="443"/>
        <v>2</v>
      </c>
      <c r="W1928" s="75">
        <f t="shared" ca="1" si="444"/>
        <v>120</v>
      </c>
      <c r="X1928" s="200">
        <f t="shared" ca="1" si="445"/>
        <v>360</v>
      </c>
      <c r="Z1928" s="31">
        <v>0.1</v>
      </c>
      <c r="AA1928" s="223">
        <v>0.1</v>
      </c>
      <c r="AB1928" s="312" t="s">
        <v>7829</v>
      </c>
      <c r="AF1928">
        <f t="shared" si="431"/>
        <v>0</v>
      </c>
    </row>
    <row r="1929" spans="1:32" hidden="1" x14ac:dyDescent="0.25">
      <c r="A1929" s="315" t="s">
        <v>5349</v>
      </c>
      <c r="B1929" s="93" t="str">
        <f t="shared" si="441"/>
        <v>YES</v>
      </c>
      <c r="C1929" s="93" t="s">
        <v>5503</v>
      </c>
      <c r="D1929" s="95">
        <v>43363</v>
      </c>
      <c r="E1929" s="97">
        <v>43374</v>
      </c>
      <c r="F1929" s="2">
        <f t="shared" si="432"/>
        <v>47027</v>
      </c>
      <c r="G1929" s="6">
        <v>40</v>
      </c>
      <c r="H1929" s="93" t="s">
        <v>1675</v>
      </c>
      <c r="I1929" s="402" t="s">
        <v>1050</v>
      </c>
      <c r="J1929" s="184"/>
      <c r="K1929" s="266">
        <f t="shared" si="442"/>
        <v>2028</v>
      </c>
      <c r="L1929" s="390" t="s">
        <v>5789</v>
      </c>
      <c r="M1929" s="393" t="s">
        <v>5577</v>
      </c>
      <c r="N1929" s="166" t="s">
        <v>7766</v>
      </c>
      <c r="O1929" s="166" t="s">
        <v>5385</v>
      </c>
      <c r="Q1929" s="234" t="s">
        <v>5365</v>
      </c>
      <c r="R1929" s="75">
        <f>80+160+60</f>
        <v>300</v>
      </c>
      <c r="S1929" s="75">
        <f>T1929-R1929</f>
        <v>0</v>
      </c>
      <c r="T1929" s="75">
        <v>300</v>
      </c>
      <c r="U1929" s="200">
        <v>60</v>
      </c>
      <c r="V1929" s="287">
        <f t="shared" ca="1" si="443"/>
        <v>2</v>
      </c>
      <c r="W1929" s="75">
        <f t="shared" ca="1" si="444"/>
        <v>120</v>
      </c>
      <c r="X1929" s="200">
        <f t="shared" ca="1" si="445"/>
        <v>360</v>
      </c>
      <c r="Z1929" s="31">
        <v>0.1</v>
      </c>
      <c r="AA1929" s="223">
        <v>0.1</v>
      </c>
      <c r="AB1929" s="312" t="s">
        <v>7829</v>
      </c>
      <c r="AF1929">
        <f t="shared" si="431"/>
        <v>0</v>
      </c>
    </row>
    <row r="1930" spans="1:32" ht="15.75" hidden="1" thickBot="1" x14ac:dyDescent="0.3">
      <c r="F1930" s="2"/>
      <c r="G1930" s="6"/>
      <c r="I1930" s="93"/>
      <c r="J1930" s="184"/>
      <c r="K1930" s="184"/>
      <c r="L1930" s="387"/>
      <c r="M1930" s="387"/>
      <c r="Q1930" s="234"/>
      <c r="R1930" s="76">
        <f>SUM(R1914:R1929)</f>
        <v>13483.5</v>
      </c>
      <c r="S1930" s="76">
        <f>SUM(S1914:S1929)</f>
        <v>0</v>
      </c>
      <c r="T1930" s="76">
        <f>SUM(T1914:T1929)</f>
        <v>13483.5</v>
      </c>
      <c r="U1930" s="200"/>
      <c r="V1930" s="75"/>
      <c r="W1930" s="75"/>
      <c r="X1930" s="200"/>
      <c r="AF1930">
        <f t="shared" si="431"/>
        <v>0</v>
      </c>
    </row>
    <row r="1931" spans="1:32" hidden="1" x14ac:dyDescent="0.25">
      <c r="F1931" s="2"/>
      <c r="G1931" s="6"/>
      <c r="I1931" s="93"/>
      <c r="J1931" s="184"/>
      <c r="K1931" s="184"/>
      <c r="L1931" s="387"/>
      <c r="M1931" s="387"/>
      <c r="Q1931" s="234"/>
      <c r="R1931" s="75"/>
      <c r="S1931" s="75"/>
      <c r="T1931" s="75"/>
      <c r="U1931" s="200"/>
      <c r="V1931" s="75"/>
      <c r="W1931" s="75"/>
      <c r="X1931" s="200"/>
      <c r="AF1931">
        <f t="shared" si="431"/>
        <v>0</v>
      </c>
    </row>
    <row r="1932" spans="1:32" ht="64.5" hidden="1" x14ac:dyDescent="0.25">
      <c r="A1932" s="315" t="s">
        <v>5457</v>
      </c>
      <c r="B1932" s="93" t="str">
        <f>IF(COUNTIF(GIS,A1932),"YES","NO")</f>
        <v>YES</v>
      </c>
      <c r="C1932" s="93" t="s">
        <v>5503</v>
      </c>
      <c r="D1932" s="95">
        <v>43354</v>
      </c>
      <c r="E1932" s="97">
        <v>43405</v>
      </c>
      <c r="F1932" s="2">
        <f t="shared" si="432"/>
        <v>47058</v>
      </c>
      <c r="G1932" s="6">
        <v>896.97</v>
      </c>
      <c r="H1932" s="93" t="s">
        <v>5459</v>
      </c>
      <c r="I1932" s="93" t="s">
        <v>5460</v>
      </c>
      <c r="J1932" s="192" t="s">
        <v>7827</v>
      </c>
      <c r="K1932" s="266">
        <f>YEAR(F1932)</f>
        <v>2028</v>
      </c>
      <c r="L1932" s="94" t="s">
        <v>5995</v>
      </c>
      <c r="M1932" s="8" t="s">
        <v>7587</v>
      </c>
      <c r="N1932" s="166" t="s">
        <v>5461</v>
      </c>
      <c r="O1932" s="166" t="s">
        <v>5462</v>
      </c>
      <c r="Q1932" s="234" t="s">
        <v>5458</v>
      </c>
      <c r="R1932" s="75">
        <f>2691+160+1345.5</f>
        <v>4196.5</v>
      </c>
      <c r="S1932" s="75">
        <f>T1932-R1932</f>
        <v>0</v>
      </c>
      <c r="T1932" s="75">
        <v>4196.5</v>
      </c>
      <c r="U1932" s="200">
        <v>1345.5</v>
      </c>
      <c r="V1932" s="287">
        <f ca="1">IF(YEAR($W$3)-YEAR(E1932)&gt;9,10,IF(MONTH($W$3)&lt;MONTH(E1932),YEAR($W$3)-YEAR(E1932),YEAR($W$3)-YEAR(E1932)+1))</f>
        <v>2</v>
      </c>
      <c r="W1932" s="75">
        <f ca="1">IF(V1932&lt;6, ROUNDUP(G1932,0)*$W$6*V1932, ROUNDUP(G1932,0)*($W$6*5 + (V1932-5)*$W$7))</f>
        <v>2691</v>
      </c>
      <c r="X1932" s="200">
        <f ca="1">IF(V1932=0,T1932,((T1932-ROUNDUP(G1932,0)*1.5)+W1932))</f>
        <v>5542</v>
      </c>
      <c r="Z1932" s="31">
        <v>0.1</v>
      </c>
      <c r="AA1932" s="346">
        <v>0.1</v>
      </c>
      <c r="AB1932" s="312" t="s">
        <v>7731</v>
      </c>
      <c r="AF1932">
        <f t="shared" si="431"/>
        <v>0</v>
      </c>
    </row>
    <row r="1933" spans="1:32" hidden="1" x14ac:dyDescent="0.25">
      <c r="F1933" s="2"/>
      <c r="G1933" s="6"/>
      <c r="I1933" s="93"/>
      <c r="J1933" s="184"/>
      <c r="K1933" s="184"/>
      <c r="L1933" s="387"/>
      <c r="M1933" s="387"/>
      <c r="Q1933" s="234"/>
      <c r="R1933" s="75"/>
      <c r="S1933" s="75"/>
      <c r="T1933" s="75"/>
      <c r="U1933" s="200"/>
      <c r="V1933" s="75"/>
      <c r="W1933" s="75"/>
      <c r="X1933" s="200"/>
      <c r="AF1933">
        <f t="shared" si="431"/>
        <v>0</v>
      </c>
    </row>
    <row r="1934" spans="1:32" ht="15.75" hidden="1" thickBot="1" x14ac:dyDescent="0.3">
      <c r="F1934" s="2"/>
      <c r="G1934" s="6"/>
      <c r="I1934" s="93"/>
      <c r="J1934" s="184"/>
      <c r="K1934" s="184"/>
      <c r="L1934" s="387"/>
      <c r="M1934" s="387"/>
      <c r="Q1934" s="234"/>
      <c r="R1934" s="76">
        <f>SUM(R1932:R1933)</f>
        <v>4196.5</v>
      </c>
      <c r="S1934" s="76">
        <f t="shared" ref="S1934:T1934" si="447">SUM(S1932:S1933)</f>
        <v>0</v>
      </c>
      <c r="T1934" s="76">
        <f t="shared" si="447"/>
        <v>4196.5</v>
      </c>
      <c r="U1934" s="200"/>
      <c r="V1934" s="75"/>
      <c r="W1934" s="75"/>
      <c r="X1934" s="200"/>
      <c r="AF1934">
        <f t="shared" si="431"/>
        <v>0</v>
      </c>
    </row>
    <row r="1935" spans="1:32" hidden="1" x14ac:dyDescent="0.25">
      <c r="F1935" s="2"/>
      <c r="G1935" s="6"/>
      <c r="I1935" s="93"/>
      <c r="J1935" s="184"/>
      <c r="K1935" s="184"/>
      <c r="L1935" s="387"/>
      <c r="M1935" s="387"/>
      <c r="Q1935" s="234"/>
      <c r="R1935" s="75"/>
      <c r="S1935" s="75"/>
      <c r="T1935" s="75"/>
      <c r="U1935" s="200"/>
      <c r="V1935" s="75"/>
      <c r="W1935" s="75"/>
      <c r="X1935" s="200"/>
      <c r="AF1935">
        <f t="shared" si="431"/>
        <v>0</v>
      </c>
    </row>
    <row r="1936" spans="1:32" hidden="1" x14ac:dyDescent="0.25">
      <c r="A1936" s="315" t="s">
        <v>5463</v>
      </c>
      <c r="B1936" s="93" t="str">
        <f t="shared" ref="B1936:B2142" si="448">IF(COUNTIF(GIS,A1936),"YES","NO")</f>
        <v>YES</v>
      </c>
      <c r="C1936" s="93" t="s">
        <v>5503</v>
      </c>
      <c r="D1936" s="95">
        <v>43348</v>
      </c>
      <c r="E1936" s="96">
        <v>43405</v>
      </c>
      <c r="F1936" s="2">
        <f t="shared" si="432"/>
        <v>47058</v>
      </c>
      <c r="G1936" s="6">
        <v>320</v>
      </c>
      <c r="H1936" s="93" t="s">
        <v>899</v>
      </c>
      <c r="I1936" s="93" t="s">
        <v>512</v>
      </c>
      <c r="J1936" s="184"/>
      <c r="K1936" s="266">
        <f t="shared" ref="K1936:K1943" si="449">YEAR(F1936)</f>
        <v>2028</v>
      </c>
      <c r="L1936" s="393" t="s">
        <v>5741</v>
      </c>
      <c r="M1936" s="393" t="s">
        <v>7528</v>
      </c>
      <c r="N1936" s="166" t="s">
        <v>5472</v>
      </c>
      <c r="O1936" s="166" t="s">
        <v>5473</v>
      </c>
      <c r="Q1936" s="234" t="s">
        <v>5471</v>
      </c>
      <c r="R1936" s="75">
        <v>24320</v>
      </c>
      <c r="S1936" s="75">
        <f>T1936-R1936</f>
        <v>0</v>
      </c>
      <c r="T1936" s="75">
        <v>24320</v>
      </c>
      <c r="U1936" s="200">
        <v>480</v>
      </c>
      <c r="V1936" s="287">
        <f t="shared" ref="V1936:V1943" ca="1" si="450">IF(YEAR($W$3)-YEAR(E1936)&gt;9,10,IF(MONTH($W$3)&lt;MONTH(E1936),YEAR($W$3)-YEAR(E1936),YEAR($W$3)-YEAR(E1936)+1))</f>
        <v>2</v>
      </c>
      <c r="W1936" s="75">
        <f t="shared" ref="W1936:W1943" ca="1" si="451">IF(V1936&lt;6, ROUNDUP(G1936,0)*$W$6*V1936, ROUNDUP(G1936,0)*($W$6*5 + (V1936-5)*$W$7))</f>
        <v>960</v>
      </c>
      <c r="X1936" s="200">
        <f t="shared" ref="X1936:X1943" ca="1" si="452">IF(V1936=0,T1936,((T1936-ROUNDUP(G1936,0)*1.5)+W1936))</f>
        <v>24800</v>
      </c>
      <c r="Z1936" s="31">
        <v>0.1</v>
      </c>
      <c r="AA1936" s="223">
        <v>0.1</v>
      </c>
      <c r="AB1936" s="312" t="s">
        <v>7847</v>
      </c>
      <c r="AC1936" s="310">
        <v>43478</v>
      </c>
      <c r="AD1936" s="311">
        <v>0.25</v>
      </c>
      <c r="AE1936" s="312" t="s">
        <v>8240</v>
      </c>
      <c r="AF1936">
        <f t="shared" si="431"/>
        <v>0</v>
      </c>
    </row>
    <row r="1937" spans="1:32" hidden="1" x14ac:dyDescent="0.25">
      <c r="A1937" s="315" t="s">
        <v>5464</v>
      </c>
      <c r="B1937" s="93" t="str">
        <f t="shared" si="448"/>
        <v>YES</v>
      </c>
      <c r="C1937" s="93" t="s">
        <v>5503</v>
      </c>
      <c r="D1937" s="95">
        <v>43348</v>
      </c>
      <c r="E1937" s="96">
        <v>43405</v>
      </c>
      <c r="F1937" s="2">
        <f t="shared" si="432"/>
        <v>47058</v>
      </c>
      <c r="G1937" s="6">
        <v>320</v>
      </c>
      <c r="H1937" s="93" t="s">
        <v>899</v>
      </c>
      <c r="I1937" s="93" t="s">
        <v>512</v>
      </c>
      <c r="J1937" s="184"/>
      <c r="K1937" s="266">
        <f t="shared" si="449"/>
        <v>2028</v>
      </c>
      <c r="L1937" s="393" t="s">
        <v>5741</v>
      </c>
      <c r="M1937" s="393" t="s">
        <v>7528</v>
      </c>
      <c r="N1937" s="166" t="s">
        <v>5472</v>
      </c>
      <c r="O1937" s="166" t="s">
        <v>5475</v>
      </c>
      <c r="Q1937" s="234" t="s">
        <v>5474</v>
      </c>
      <c r="R1937" s="75">
        <v>24320</v>
      </c>
      <c r="S1937" s="75">
        <f>T1937-R1937</f>
        <v>0</v>
      </c>
      <c r="T1937" s="75">
        <v>24320</v>
      </c>
      <c r="U1937" s="200">
        <v>480</v>
      </c>
      <c r="V1937" s="287">
        <f t="shared" ca="1" si="450"/>
        <v>2</v>
      </c>
      <c r="W1937" s="75">
        <f t="shared" ca="1" si="451"/>
        <v>960</v>
      </c>
      <c r="X1937" s="200">
        <f t="shared" ca="1" si="452"/>
        <v>24800</v>
      </c>
      <c r="Z1937" s="31">
        <v>0.1</v>
      </c>
      <c r="AA1937" s="223">
        <v>0.1</v>
      </c>
      <c r="AB1937" s="312" t="s">
        <v>7847</v>
      </c>
      <c r="AC1937" s="310">
        <v>43478</v>
      </c>
      <c r="AD1937" s="311">
        <v>0.25</v>
      </c>
      <c r="AE1937" s="312" t="s">
        <v>8240</v>
      </c>
      <c r="AF1937">
        <f t="shared" si="431"/>
        <v>0</v>
      </c>
    </row>
    <row r="1938" spans="1:32" hidden="1" x14ac:dyDescent="0.25">
      <c r="A1938" s="315" t="s">
        <v>5465</v>
      </c>
      <c r="B1938" s="93" t="str">
        <f t="shared" si="448"/>
        <v>YES</v>
      </c>
      <c r="C1938" s="93" t="s">
        <v>5503</v>
      </c>
      <c r="D1938" s="95">
        <v>43348</v>
      </c>
      <c r="E1938" s="96">
        <v>43405</v>
      </c>
      <c r="F1938" s="2">
        <f t="shared" si="432"/>
        <v>47058</v>
      </c>
      <c r="G1938" s="6">
        <v>321.01</v>
      </c>
      <c r="H1938" s="93" t="s">
        <v>899</v>
      </c>
      <c r="I1938" s="93" t="s">
        <v>512</v>
      </c>
      <c r="J1938" s="184"/>
      <c r="K1938" s="266">
        <f t="shared" si="449"/>
        <v>2028</v>
      </c>
      <c r="L1938" s="393" t="s">
        <v>7522</v>
      </c>
      <c r="M1938" s="393" t="s">
        <v>7527</v>
      </c>
      <c r="N1938" s="166" t="s">
        <v>5477</v>
      </c>
      <c r="O1938" s="166" t="s">
        <v>5478</v>
      </c>
      <c r="Q1938" s="234" t="s">
        <v>5476</v>
      </c>
      <c r="R1938" s="75">
        <v>64078</v>
      </c>
      <c r="S1938" s="75">
        <f t="shared" ref="S1938:S1943" si="453">T1938-R1938</f>
        <v>0</v>
      </c>
      <c r="T1938" s="75">
        <v>64078</v>
      </c>
      <c r="U1938" s="200">
        <v>483</v>
      </c>
      <c r="V1938" s="287">
        <f t="shared" ca="1" si="450"/>
        <v>2</v>
      </c>
      <c r="W1938" s="75">
        <f t="shared" ca="1" si="451"/>
        <v>966</v>
      </c>
      <c r="X1938" s="200">
        <f t="shared" ca="1" si="452"/>
        <v>64561</v>
      </c>
      <c r="Z1938" s="31">
        <v>0.1</v>
      </c>
      <c r="AA1938" s="223">
        <v>0.1</v>
      </c>
      <c r="AB1938" s="312" t="s">
        <v>7847</v>
      </c>
      <c r="AC1938" s="310">
        <v>43478</v>
      </c>
      <c r="AD1938" s="311">
        <v>0.25</v>
      </c>
      <c r="AE1938" s="312" t="s">
        <v>8240</v>
      </c>
      <c r="AF1938">
        <f t="shared" si="431"/>
        <v>0</v>
      </c>
    </row>
    <row r="1939" spans="1:32" hidden="1" x14ac:dyDescent="0.25">
      <c r="A1939" s="315" t="s">
        <v>5466</v>
      </c>
      <c r="B1939" s="93" t="str">
        <f t="shared" si="448"/>
        <v>YES</v>
      </c>
      <c r="C1939" s="93" t="s">
        <v>5503</v>
      </c>
      <c r="D1939" s="95">
        <v>43348</v>
      </c>
      <c r="E1939" s="96">
        <v>43405</v>
      </c>
      <c r="F1939" s="2">
        <f t="shared" si="432"/>
        <v>47058</v>
      </c>
      <c r="G1939" s="6">
        <v>320</v>
      </c>
      <c r="H1939" s="93" t="s">
        <v>899</v>
      </c>
      <c r="I1939" s="93" t="s">
        <v>512</v>
      </c>
      <c r="J1939" s="184"/>
      <c r="K1939" s="266">
        <f t="shared" si="449"/>
        <v>2028</v>
      </c>
      <c r="L1939" s="393" t="s">
        <v>7522</v>
      </c>
      <c r="M1939" s="393" t="s">
        <v>7527</v>
      </c>
      <c r="N1939" s="166" t="s">
        <v>5477</v>
      </c>
      <c r="O1939" s="166" t="s">
        <v>5480</v>
      </c>
      <c r="Q1939" s="234" t="s">
        <v>5479</v>
      </c>
      <c r="R1939" s="75">
        <v>95680</v>
      </c>
      <c r="S1939" s="75">
        <f t="shared" si="453"/>
        <v>0</v>
      </c>
      <c r="T1939" s="75">
        <v>95680</v>
      </c>
      <c r="U1939" s="200">
        <v>480</v>
      </c>
      <c r="V1939" s="287">
        <f t="shared" ca="1" si="450"/>
        <v>2</v>
      </c>
      <c r="W1939" s="75">
        <f t="shared" ca="1" si="451"/>
        <v>960</v>
      </c>
      <c r="X1939" s="200">
        <f t="shared" ca="1" si="452"/>
        <v>96160</v>
      </c>
      <c r="Z1939" s="31">
        <v>0.1</v>
      </c>
      <c r="AA1939" s="223">
        <v>0.1</v>
      </c>
      <c r="AB1939" s="312" t="s">
        <v>7847</v>
      </c>
      <c r="AC1939" s="310">
        <v>43478</v>
      </c>
      <c r="AD1939" s="311">
        <v>0.25</v>
      </c>
      <c r="AE1939" s="312" t="s">
        <v>8240</v>
      </c>
      <c r="AF1939">
        <f t="shared" si="431"/>
        <v>0</v>
      </c>
    </row>
    <row r="1940" spans="1:32" hidden="1" x14ac:dyDescent="0.25">
      <c r="A1940" s="315" t="s">
        <v>5467</v>
      </c>
      <c r="B1940" s="93" t="str">
        <f t="shared" si="448"/>
        <v>YES</v>
      </c>
      <c r="C1940" s="93" t="s">
        <v>5503</v>
      </c>
      <c r="D1940" s="95">
        <v>43348</v>
      </c>
      <c r="E1940" s="96">
        <v>43405</v>
      </c>
      <c r="F1940" s="2">
        <f t="shared" si="432"/>
        <v>47058</v>
      </c>
      <c r="G1940" s="6">
        <v>40</v>
      </c>
      <c r="H1940" s="93" t="s">
        <v>899</v>
      </c>
      <c r="I1940" s="93" t="s">
        <v>512</v>
      </c>
      <c r="J1940" s="184"/>
      <c r="K1940" s="266">
        <f t="shared" si="449"/>
        <v>2028</v>
      </c>
      <c r="L1940" s="393" t="s">
        <v>7523</v>
      </c>
      <c r="M1940" s="393" t="s">
        <v>7526</v>
      </c>
      <c r="N1940" s="166" t="s">
        <v>5485</v>
      </c>
      <c r="O1940" s="166" t="s">
        <v>5486</v>
      </c>
      <c r="Q1940" s="234" t="s">
        <v>5481</v>
      </c>
      <c r="R1940" s="75">
        <v>13040</v>
      </c>
      <c r="S1940" s="75">
        <f t="shared" si="453"/>
        <v>0</v>
      </c>
      <c r="T1940" s="75">
        <v>13040</v>
      </c>
      <c r="U1940" s="200">
        <v>60</v>
      </c>
      <c r="V1940" s="287">
        <f t="shared" ca="1" si="450"/>
        <v>2</v>
      </c>
      <c r="W1940" s="75">
        <f t="shared" ca="1" si="451"/>
        <v>120</v>
      </c>
      <c r="X1940" s="200">
        <f t="shared" ca="1" si="452"/>
        <v>13100</v>
      </c>
      <c r="Z1940" s="31">
        <v>0.1</v>
      </c>
      <c r="AA1940" s="223">
        <v>0.1</v>
      </c>
      <c r="AB1940" s="312" t="s">
        <v>7847</v>
      </c>
      <c r="AC1940" s="310">
        <v>43478</v>
      </c>
      <c r="AD1940" s="311">
        <v>0.25</v>
      </c>
      <c r="AE1940" s="312" t="s">
        <v>8240</v>
      </c>
      <c r="AF1940">
        <f t="shared" si="431"/>
        <v>0</v>
      </c>
    </row>
    <row r="1941" spans="1:32" hidden="1" x14ac:dyDescent="0.25">
      <c r="A1941" s="315" t="s">
        <v>5468</v>
      </c>
      <c r="B1941" s="93" t="str">
        <f t="shared" si="448"/>
        <v>YES</v>
      </c>
      <c r="C1941" s="93" t="s">
        <v>5503</v>
      </c>
      <c r="D1941" s="95">
        <v>43348</v>
      </c>
      <c r="E1941" s="96">
        <v>43405</v>
      </c>
      <c r="F1941" s="2">
        <f t="shared" si="432"/>
        <v>47058</v>
      </c>
      <c r="G1941" s="6">
        <v>40</v>
      </c>
      <c r="H1941" s="93" t="s">
        <v>899</v>
      </c>
      <c r="I1941" s="93" t="s">
        <v>512</v>
      </c>
      <c r="J1941" s="184"/>
      <c r="K1941" s="266">
        <f t="shared" si="449"/>
        <v>2028</v>
      </c>
      <c r="L1941" s="393" t="s">
        <v>7523</v>
      </c>
      <c r="M1941" s="393" t="s">
        <v>7526</v>
      </c>
      <c r="N1941" s="166" t="s">
        <v>5485</v>
      </c>
      <c r="O1941" s="166" t="s">
        <v>5487</v>
      </c>
      <c r="Q1941" s="234" t="s">
        <v>5483</v>
      </c>
      <c r="R1941" s="75">
        <v>10160</v>
      </c>
      <c r="S1941" s="75">
        <f t="shared" si="453"/>
        <v>0</v>
      </c>
      <c r="T1941" s="75">
        <v>10160</v>
      </c>
      <c r="U1941" s="200">
        <v>60</v>
      </c>
      <c r="V1941" s="287">
        <f t="shared" ca="1" si="450"/>
        <v>2</v>
      </c>
      <c r="W1941" s="75">
        <f t="shared" ca="1" si="451"/>
        <v>120</v>
      </c>
      <c r="X1941" s="200">
        <f t="shared" ca="1" si="452"/>
        <v>10220</v>
      </c>
      <c r="Z1941" s="31">
        <v>0.1</v>
      </c>
      <c r="AA1941" s="223">
        <v>0.1</v>
      </c>
      <c r="AB1941" s="312" t="s">
        <v>7847</v>
      </c>
      <c r="AC1941" s="310">
        <v>43478</v>
      </c>
      <c r="AD1941" s="311">
        <v>0.25</v>
      </c>
      <c r="AE1941" s="312" t="s">
        <v>8240</v>
      </c>
      <c r="AF1941">
        <f t="shared" si="431"/>
        <v>0</v>
      </c>
    </row>
    <row r="1942" spans="1:32" hidden="1" x14ac:dyDescent="0.25">
      <c r="A1942" s="315" t="s">
        <v>5469</v>
      </c>
      <c r="B1942" s="93" t="str">
        <f t="shared" si="448"/>
        <v>YES</v>
      </c>
      <c r="C1942" s="93" t="s">
        <v>5503</v>
      </c>
      <c r="D1942" s="95">
        <v>43348</v>
      </c>
      <c r="E1942" s="96">
        <v>43405</v>
      </c>
      <c r="F1942" s="2">
        <f t="shared" si="432"/>
        <v>47058</v>
      </c>
      <c r="G1942" s="6">
        <v>40</v>
      </c>
      <c r="H1942" s="93" t="s">
        <v>899</v>
      </c>
      <c r="I1942" s="93" t="s">
        <v>512</v>
      </c>
      <c r="J1942" s="184"/>
      <c r="K1942" s="266">
        <f t="shared" si="449"/>
        <v>2028</v>
      </c>
      <c r="L1942" s="393" t="s">
        <v>6187</v>
      </c>
      <c r="M1942" s="393" t="s">
        <v>7525</v>
      </c>
      <c r="N1942" s="166" t="s">
        <v>5488</v>
      </c>
      <c r="O1942" s="166" t="s">
        <v>5489</v>
      </c>
      <c r="Q1942" s="234" t="s">
        <v>5482</v>
      </c>
      <c r="R1942" s="75">
        <v>17040</v>
      </c>
      <c r="S1942" s="75">
        <f t="shared" si="453"/>
        <v>0</v>
      </c>
      <c r="T1942" s="75">
        <v>17040</v>
      </c>
      <c r="U1942" s="200">
        <v>60</v>
      </c>
      <c r="V1942" s="287">
        <f t="shared" ca="1" si="450"/>
        <v>2</v>
      </c>
      <c r="W1942" s="75">
        <f t="shared" ca="1" si="451"/>
        <v>120</v>
      </c>
      <c r="X1942" s="200">
        <f t="shared" ca="1" si="452"/>
        <v>17100</v>
      </c>
      <c r="Z1942" s="31">
        <v>0.1</v>
      </c>
      <c r="AA1942" s="223">
        <v>0.1</v>
      </c>
      <c r="AB1942" s="312" t="s">
        <v>7847</v>
      </c>
      <c r="AC1942" s="310">
        <v>43478</v>
      </c>
      <c r="AD1942" s="311">
        <v>0.25</v>
      </c>
      <c r="AE1942" s="312" t="s">
        <v>8240</v>
      </c>
      <c r="AF1942">
        <f t="shared" si="431"/>
        <v>0</v>
      </c>
    </row>
    <row r="1943" spans="1:32" hidden="1" x14ac:dyDescent="0.25">
      <c r="A1943" s="315" t="s">
        <v>5470</v>
      </c>
      <c r="B1943" s="93" t="str">
        <f t="shared" si="448"/>
        <v>YES</v>
      </c>
      <c r="C1943" s="93" t="s">
        <v>5503</v>
      </c>
      <c r="D1943" s="95">
        <v>43348</v>
      </c>
      <c r="E1943" s="96">
        <v>43405</v>
      </c>
      <c r="F1943" s="2">
        <f t="shared" si="432"/>
        <v>47058</v>
      </c>
      <c r="G1943" s="6">
        <v>47.2</v>
      </c>
      <c r="H1943" s="93" t="s">
        <v>899</v>
      </c>
      <c r="I1943" s="93" t="s">
        <v>512</v>
      </c>
      <c r="J1943" s="184"/>
      <c r="K1943" s="266">
        <f t="shared" si="449"/>
        <v>2028</v>
      </c>
      <c r="L1943" s="393" t="s">
        <v>5741</v>
      </c>
      <c r="M1943" s="393" t="s">
        <v>7524</v>
      </c>
      <c r="N1943" s="166" t="s">
        <v>5490</v>
      </c>
      <c r="O1943" s="166" t="s">
        <v>5491</v>
      </c>
      <c r="Q1943" s="234" t="s">
        <v>5484</v>
      </c>
      <c r="R1943" s="75">
        <v>4752</v>
      </c>
      <c r="S1943" s="75">
        <f t="shared" si="453"/>
        <v>0</v>
      </c>
      <c r="T1943" s="75">
        <v>4752</v>
      </c>
      <c r="U1943" s="200">
        <v>72</v>
      </c>
      <c r="V1943" s="287">
        <f t="shared" ca="1" si="450"/>
        <v>2</v>
      </c>
      <c r="W1943" s="75">
        <f t="shared" ca="1" si="451"/>
        <v>144</v>
      </c>
      <c r="X1943" s="200">
        <f t="shared" ca="1" si="452"/>
        <v>4824</v>
      </c>
      <c r="Z1943" s="31">
        <v>0.1</v>
      </c>
      <c r="AA1943" s="223">
        <v>0.1</v>
      </c>
      <c r="AB1943" s="312" t="s">
        <v>7847</v>
      </c>
      <c r="AC1943" s="310">
        <v>43478</v>
      </c>
      <c r="AD1943" s="311">
        <v>0.25</v>
      </c>
      <c r="AE1943" s="312" t="s">
        <v>8240</v>
      </c>
      <c r="AF1943">
        <f t="shared" si="431"/>
        <v>0</v>
      </c>
    </row>
    <row r="1944" spans="1:32" ht="15.75" hidden="1" thickBot="1" x14ac:dyDescent="0.3">
      <c r="A1944" s="316"/>
      <c r="F1944" s="2"/>
      <c r="G1944" s="6"/>
      <c r="I1944" s="93"/>
      <c r="J1944" s="184"/>
      <c r="K1944" s="184"/>
      <c r="L1944" s="387"/>
      <c r="M1944" s="387"/>
      <c r="Q1944" s="234"/>
      <c r="R1944" s="76">
        <f>SUM(R1936:R1943)</f>
        <v>253390</v>
      </c>
      <c r="S1944" s="76">
        <f t="shared" ref="S1944:T1944" si="454">SUM(S1936:S1943)</f>
        <v>0</v>
      </c>
      <c r="T1944" s="76">
        <f t="shared" si="454"/>
        <v>253390</v>
      </c>
      <c r="U1944" s="200"/>
      <c r="V1944" s="75"/>
      <c r="W1944" s="75"/>
      <c r="X1944" s="200"/>
      <c r="Z1944" s="31"/>
      <c r="AA1944" s="223"/>
      <c r="AF1944">
        <f t="shared" si="431"/>
        <v>0</v>
      </c>
    </row>
    <row r="1945" spans="1:32" hidden="1" x14ac:dyDescent="0.25">
      <c r="A1945" s="316"/>
      <c r="F1945" s="2"/>
      <c r="G1945" s="6"/>
      <c r="I1945" s="93"/>
      <c r="J1945" s="184"/>
      <c r="K1945" s="184"/>
      <c r="L1945" s="393"/>
      <c r="M1945" s="393"/>
      <c r="Q1945" s="234"/>
      <c r="R1945" s="75"/>
      <c r="S1945" s="75"/>
      <c r="T1945" s="75"/>
      <c r="U1945" s="200"/>
      <c r="V1945" s="75"/>
      <c r="W1945" s="75"/>
      <c r="X1945" s="200"/>
      <c r="Z1945" s="31"/>
      <c r="AA1945" s="223"/>
    </row>
    <row r="1946" spans="1:32" hidden="1" x14ac:dyDescent="0.25">
      <c r="A1946" s="315" t="s">
        <v>6262</v>
      </c>
      <c r="B1946" s="93" t="str">
        <f t="shared" si="448"/>
        <v>YES</v>
      </c>
      <c r="C1946" s="93" t="s">
        <v>5503</v>
      </c>
      <c r="D1946" s="95">
        <v>43361</v>
      </c>
      <c r="E1946" s="96">
        <v>43435</v>
      </c>
      <c r="F1946" s="2">
        <f t="shared" si="432"/>
        <v>47088</v>
      </c>
      <c r="G1946" s="6">
        <v>240</v>
      </c>
      <c r="H1946" s="93" t="s">
        <v>6267</v>
      </c>
      <c r="I1946" s="93" t="s">
        <v>5437</v>
      </c>
      <c r="J1946" s="184"/>
      <c r="K1946" s="192">
        <v>2028</v>
      </c>
      <c r="L1946" s="393" t="s">
        <v>7627</v>
      </c>
      <c r="M1946" s="393" t="s">
        <v>7632</v>
      </c>
      <c r="N1946" s="166" t="s">
        <v>6268</v>
      </c>
      <c r="O1946" s="166" t="s">
        <v>6280</v>
      </c>
      <c r="Q1946" s="234" t="s">
        <v>6269</v>
      </c>
      <c r="R1946" s="75">
        <f>1000</f>
        <v>1000</v>
      </c>
      <c r="S1946" s="75">
        <f>T1946-R1946</f>
        <v>960</v>
      </c>
      <c r="T1946" s="75">
        <f>1440+160+360</f>
        <v>1960</v>
      </c>
      <c r="U1946" s="200">
        <v>360</v>
      </c>
      <c r="V1946" s="75"/>
      <c r="W1946" s="75"/>
      <c r="X1946" s="200"/>
      <c r="Z1946" s="31"/>
      <c r="AA1946" s="223"/>
      <c r="AB1946" s="312" t="s">
        <v>7515</v>
      </c>
    </row>
    <row r="1947" spans="1:32" hidden="1" x14ac:dyDescent="0.25">
      <c r="A1947" s="315" t="s">
        <v>6263</v>
      </c>
      <c r="B1947" s="93" t="str">
        <f t="shared" si="448"/>
        <v>YES</v>
      </c>
      <c r="C1947" s="93" t="s">
        <v>5503</v>
      </c>
      <c r="D1947" s="95">
        <v>43361</v>
      </c>
      <c r="E1947" s="96">
        <v>43435</v>
      </c>
      <c r="F1947" s="2">
        <f t="shared" si="432"/>
        <v>47088</v>
      </c>
      <c r="G1947" s="6">
        <v>40</v>
      </c>
      <c r="H1947" s="93" t="s">
        <v>6267</v>
      </c>
      <c r="I1947" s="93" t="s">
        <v>5437</v>
      </c>
      <c r="J1947" s="184"/>
      <c r="K1947" s="192">
        <v>2028</v>
      </c>
      <c r="L1947" s="390" t="s">
        <v>7612</v>
      </c>
      <c r="M1947" s="393" t="s">
        <v>7632</v>
      </c>
      <c r="N1947" s="166" t="s">
        <v>6270</v>
      </c>
      <c r="O1947" s="166" t="s">
        <v>6271</v>
      </c>
      <c r="Q1947" s="234" t="s">
        <v>6272</v>
      </c>
      <c r="R1947" s="75">
        <f>300</f>
        <v>300</v>
      </c>
      <c r="S1947" s="75">
        <f t="shared" ref="S1947:S1951" si="455">T1947-R1947</f>
        <v>360</v>
      </c>
      <c r="T1947" s="75">
        <f>440+160+60</f>
        <v>660</v>
      </c>
      <c r="U1947" s="200">
        <v>60</v>
      </c>
      <c r="V1947" s="75"/>
      <c r="W1947" s="75"/>
      <c r="X1947" s="200"/>
      <c r="Z1947" s="31"/>
      <c r="AA1947" s="223"/>
      <c r="AB1947" s="312" t="s">
        <v>7514</v>
      </c>
    </row>
    <row r="1948" spans="1:32" hidden="1" x14ac:dyDescent="0.25">
      <c r="A1948" s="315" t="s">
        <v>8002</v>
      </c>
      <c r="B1948" s="93" t="str">
        <f t="shared" si="448"/>
        <v>YES</v>
      </c>
      <c r="C1948" s="93" t="s">
        <v>5503</v>
      </c>
      <c r="D1948" s="95">
        <v>43361</v>
      </c>
      <c r="E1948" s="97">
        <v>43800</v>
      </c>
      <c r="F1948" s="11">
        <f t="shared" si="432"/>
        <v>47453</v>
      </c>
      <c r="G1948" s="6">
        <v>400</v>
      </c>
      <c r="H1948" s="93" t="s">
        <v>6267</v>
      </c>
      <c r="I1948" s="93" t="s">
        <v>5437</v>
      </c>
      <c r="J1948" s="425"/>
      <c r="K1948" s="192">
        <v>2029</v>
      </c>
      <c r="L1948" s="390" t="s">
        <v>8003</v>
      </c>
      <c r="M1948" s="393" t="s">
        <v>8004</v>
      </c>
      <c r="N1948" s="166" t="s">
        <v>8005</v>
      </c>
      <c r="O1948" s="166" t="s">
        <v>8006</v>
      </c>
      <c r="Q1948" s="234" t="s">
        <v>8007</v>
      </c>
      <c r="R1948" s="75"/>
      <c r="S1948" s="75"/>
      <c r="T1948" s="75">
        <f>20400+160+600</f>
        <v>21160</v>
      </c>
      <c r="U1948" s="200"/>
      <c r="V1948" s="75"/>
      <c r="W1948" s="75"/>
      <c r="X1948" s="200"/>
      <c r="Z1948" s="31"/>
      <c r="AA1948" s="223"/>
    </row>
    <row r="1949" spans="1:32" hidden="1" x14ac:dyDescent="0.25">
      <c r="A1949" s="315" t="s">
        <v>6264</v>
      </c>
      <c r="B1949" s="93" t="str">
        <f t="shared" si="448"/>
        <v>YES</v>
      </c>
      <c r="C1949" s="93" t="s">
        <v>5503</v>
      </c>
      <c r="D1949" s="95">
        <v>43361</v>
      </c>
      <c r="E1949" s="96">
        <v>43435</v>
      </c>
      <c r="F1949" s="2">
        <f t="shared" si="432"/>
        <v>47088</v>
      </c>
      <c r="G1949" s="6">
        <v>82.56</v>
      </c>
      <c r="H1949" s="93" t="s">
        <v>5436</v>
      </c>
      <c r="I1949" s="93" t="s">
        <v>5437</v>
      </c>
      <c r="J1949" s="184"/>
      <c r="K1949" s="192">
        <v>2028</v>
      </c>
      <c r="L1949" s="390" t="s">
        <v>5947</v>
      </c>
      <c r="M1949" s="393" t="s">
        <v>7618</v>
      </c>
      <c r="N1949" s="166" t="s">
        <v>6273</v>
      </c>
      <c r="O1949" s="166" t="s">
        <v>6274</v>
      </c>
      <c r="Q1949" s="234" t="s">
        <v>6275</v>
      </c>
      <c r="R1949" s="75">
        <v>450.5</v>
      </c>
      <c r="S1949" s="75">
        <f t="shared" si="455"/>
        <v>6557</v>
      </c>
      <c r="T1949" s="75">
        <f>6723+160+124.5</f>
        <v>7007.5</v>
      </c>
      <c r="U1949" s="200">
        <v>124.5</v>
      </c>
      <c r="V1949" s="75"/>
      <c r="W1949" s="75"/>
      <c r="X1949" s="200"/>
      <c r="Z1949" s="31"/>
      <c r="AA1949" s="223"/>
      <c r="AB1949" s="312" t="s">
        <v>7498</v>
      </c>
      <c r="AC1949" s="310">
        <v>43703</v>
      </c>
      <c r="AD1949" s="311">
        <v>0.2</v>
      </c>
      <c r="AE1949" s="312" t="s">
        <v>7920</v>
      </c>
    </row>
    <row r="1950" spans="1:32" hidden="1" x14ac:dyDescent="0.25">
      <c r="A1950" s="315" t="s">
        <v>6265</v>
      </c>
      <c r="B1950" s="93" t="str">
        <f t="shared" si="448"/>
        <v>YES</v>
      </c>
      <c r="C1950" s="93" t="s">
        <v>5503</v>
      </c>
      <c r="D1950" s="95">
        <v>43361</v>
      </c>
      <c r="E1950" s="96">
        <v>43435</v>
      </c>
      <c r="F1950" s="2">
        <f t="shared" si="432"/>
        <v>47088</v>
      </c>
      <c r="G1950" s="6">
        <v>158.88999999999999</v>
      </c>
      <c r="H1950" s="93" t="s">
        <v>5436</v>
      </c>
      <c r="I1950" s="93" t="s">
        <v>5437</v>
      </c>
      <c r="J1950" s="184"/>
      <c r="K1950" s="192">
        <v>2028</v>
      </c>
      <c r="L1950" s="390" t="s">
        <v>5947</v>
      </c>
      <c r="M1950" s="393" t="s">
        <v>7618</v>
      </c>
      <c r="N1950" s="166" t="s">
        <v>6273</v>
      </c>
      <c r="O1950" s="166" t="s">
        <v>6276</v>
      </c>
      <c r="Q1950" s="234" t="s">
        <v>6277</v>
      </c>
      <c r="R1950" s="75">
        <v>716.5</v>
      </c>
      <c r="S1950" s="75">
        <f t="shared" si="455"/>
        <v>7791</v>
      </c>
      <c r="T1950" s="75">
        <f>8109+160+238.5</f>
        <v>8507.5</v>
      </c>
      <c r="U1950" s="200">
        <v>238.5</v>
      </c>
      <c r="V1950" s="75"/>
      <c r="W1950" s="75"/>
      <c r="X1950" s="200"/>
      <c r="Z1950" s="31"/>
      <c r="AA1950" s="223"/>
      <c r="AB1950" s="312" t="s">
        <v>7499</v>
      </c>
      <c r="AC1950" s="310">
        <v>43703</v>
      </c>
      <c r="AD1950" s="311">
        <v>0.2</v>
      </c>
      <c r="AE1950" s="312" t="s">
        <v>7920</v>
      </c>
    </row>
    <row r="1951" spans="1:32" hidden="1" x14ac:dyDescent="0.25">
      <c r="A1951" s="315" t="s">
        <v>6266</v>
      </c>
      <c r="B1951" s="93" t="str">
        <f t="shared" si="448"/>
        <v>YES</v>
      </c>
      <c r="C1951" s="93" t="s">
        <v>5503</v>
      </c>
      <c r="D1951" s="95">
        <v>43361</v>
      </c>
      <c r="E1951" s="96">
        <v>43435</v>
      </c>
      <c r="F1951" s="2">
        <f t="shared" si="432"/>
        <v>47088</v>
      </c>
      <c r="G1951" s="6">
        <v>281.06</v>
      </c>
      <c r="H1951" s="93" t="s">
        <v>5436</v>
      </c>
      <c r="I1951" s="93" t="s">
        <v>5437</v>
      </c>
      <c r="J1951" s="184"/>
      <c r="K1951" s="192">
        <v>2028</v>
      </c>
      <c r="L1951" s="390" t="s">
        <v>7613</v>
      </c>
      <c r="M1951" s="393" t="s">
        <v>7633</v>
      </c>
      <c r="N1951" s="166" t="s">
        <v>6278</v>
      </c>
      <c r="O1951" s="166" t="s">
        <v>6279</v>
      </c>
      <c r="Q1951" s="234" t="s">
        <v>6281</v>
      </c>
      <c r="R1951" s="75">
        <f>1147</f>
        <v>1147</v>
      </c>
      <c r="S1951" s="75">
        <f t="shared" si="455"/>
        <v>98418</v>
      </c>
      <c r="T1951" s="75">
        <f>98982+160+423</f>
        <v>99565</v>
      </c>
      <c r="U1951" s="200">
        <v>423</v>
      </c>
      <c r="V1951" s="75"/>
      <c r="W1951" s="75"/>
      <c r="X1951" s="200"/>
      <c r="Z1951" s="31"/>
      <c r="AA1951" s="223"/>
      <c r="AB1951" s="312" t="s">
        <v>7500</v>
      </c>
      <c r="AC1951" s="310">
        <v>43703</v>
      </c>
      <c r="AD1951" s="311">
        <v>0.2</v>
      </c>
      <c r="AE1951" s="312" t="s">
        <v>7920</v>
      </c>
    </row>
    <row r="1952" spans="1:32" ht="15.75" hidden="1" thickBot="1" x14ac:dyDescent="0.3">
      <c r="A1952" s="316"/>
      <c r="F1952" s="2"/>
      <c r="G1952" s="6"/>
      <c r="I1952" s="93"/>
      <c r="J1952" s="184"/>
      <c r="K1952" s="184"/>
      <c r="L1952" s="387"/>
      <c r="M1952" s="387"/>
      <c r="Q1952" s="234"/>
      <c r="R1952" s="76">
        <f>SUM(R1946:R1951)</f>
        <v>3614</v>
      </c>
      <c r="S1952" s="76">
        <f t="shared" ref="S1952:T1952" si="456">SUM(S1946:S1951)</f>
        <v>114086</v>
      </c>
      <c r="T1952" s="76">
        <f t="shared" si="456"/>
        <v>138860</v>
      </c>
      <c r="U1952" s="200"/>
      <c r="V1952" s="75"/>
      <c r="W1952" s="75"/>
      <c r="X1952" s="200"/>
      <c r="Z1952" s="31"/>
      <c r="AA1952" s="223"/>
    </row>
    <row r="1953" spans="1:28" hidden="1" x14ac:dyDescent="0.25">
      <c r="A1953" s="316"/>
      <c r="F1953" s="2"/>
      <c r="G1953" s="6"/>
      <c r="I1953" s="93"/>
      <c r="J1953" s="184"/>
      <c r="K1953" s="184"/>
      <c r="L1953" s="387"/>
      <c r="M1953" s="387"/>
      <c r="Q1953" s="234"/>
      <c r="R1953" s="431"/>
      <c r="S1953" s="431"/>
      <c r="T1953" s="431"/>
      <c r="U1953" s="200"/>
      <c r="V1953" s="75"/>
      <c r="W1953" s="75"/>
      <c r="X1953" s="200"/>
      <c r="Z1953" s="31"/>
      <c r="AA1953" s="223"/>
    </row>
    <row r="1954" spans="1:28" ht="26.25" hidden="1" x14ac:dyDescent="0.25">
      <c r="A1954" s="315" t="s">
        <v>7924</v>
      </c>
      <c r="B1954" s="352" t="str">
        <f t="shared" ref="B1954:B1964" si="457">IF(COUNTIF(GIS,A1954),"YES","NO")</f>
        <v>YES</v>
      </c>
      <c r="C1954" s="352" t="s">
        <v>5503</v>
      </c>
      <c r="D1954" s="95">
        <v>43439</v>
      </c>
      <c r="E1954" s="96">
        <v>43770</v>
      </c>
      <c r="F1954" s="96">
        <v>47423</v>
      </c>
      <c r="G1954" s="6">
        <v>930.8</v>
      </c>
      <c r="H1954" s="93" t="s">
        <v>511</v>
      </c>
      <c r="I1954" s="93" t="s">
        <v>512</v>
      </c>
      <c r="J1954" s="425"/>
      <c r="K1954" s="192">
        <v>2029</v>
      </c>
      <c r="L1954" s="399" t="s">
        <v>7936</v>
      </c>
      <c r="M1954" s="399" t="s">
        <v>7937</v>
      </c>
      <c r="N1954" s="166" t="s">
        <v>7938</v>
      </c>
      <c r="O1954" s="166" t="s">
        <v>7939</v>
      </c>
      <c r="Q1954" s="234" t="s">
        <v>7940</v>
      </c>
      <c r="R1954" s="75">
        <v>3423.5</v>
      </c>
      <c r="S1954" s="75">
        <f>T1954-R1954</f>
        <v>53067</v>
      </c>
      <c r="T1954" s="75">
        <f>54929+165+1396.5</f>
        <v>56490.5</v>
      </c>
      <c r="U1954" s="200">
        <v>1396.5</v>
      </c>
      <c r="V1954" s="75"/>
      <c r="W1954" s="75"/>
      <c r="X1954" s="200"/>
      <c r="Z1954" s="31"/>
      <c r="AA1954" s="223"/>
    </row>
    <row r="1955" spans="1:28" hidden="1" x14ac:dyDescent="0.25">
      <c r="A1955" s="315" t="s">
        <v>7925</v>
      </c>
      <c r="B1955" s="352" t="str">
        <f t="shared" si="457"/>
        <v>YES</v>
      </c>
      <c r="C1955" s="352" t="s">
        <v>5503</v>
      </c>
      <c r="D1955" s="95">
        <v>43439</v>
      </c>
      <c r="E1955" s="96">
        <v>43770</v>
      </c>
      <c r="F1955" s="96">
        <v>47423</v>
      </c>
      <c r="G1955" s="6">
        <v>640</v>
      </c>
      <c r="H1955" s="93" t="s">
        <v>511</v>
      </c>
      <c r="I1955" s="93" t="s">
        <v>512</v>
      </c>
      <c r="J1955" s="425"/>
      <c r="K1955" s="192">
        <v>2029</v>
      </c>
      <c r="L1955" s="399" t="s">
        <v>7951</v>
      </c>
      <c r="M1955" s="399" t="s">
        <v>7937</v>
      </c>
      <c r="N1955" s="166" t="s">
        <v>7938</v>
      </c>
      <c r="O1955" s="166" t="s">
        <v>7952</v>
      </c>
      <c r="Q1955" s="234" t="s">
        <v>7941</v>
      </c>
      <c r="R1955" s="75">
        <v>2405</v>
      </c>
      <c r="S1955" s="75">
        <f t="shared" ref="S1955:S1964" si="458">T1955-R1955</f>
        <v>71040</v>
      </c>
      <c r="T1955" s="75">
        <f>72320+165+960</f>
        <v>73445</v>
      </c>
      <c r="U1955" s="200">
        <v>960</v>
      </c>
      <c r="V1955" s="75"/>
      <c r="W1955" s="75"/>
      <c r="X1955" s="200"/>
      <c r="Z1955" s="31"/>
      <c r="AA1955" s="223"/>
    </row>
    <row r="1956" spans="1:28" hidden="1" x14ac:dyDescent="0.25">
      <c r="A1956" s="315" t="s">
        <v>7926</v>
      </c>
      <c r="B1956" s="352" t="str">
        <f t="shared" si="457"/>
        <v>YES</v>
      </c>
      <c r="C1956" s="352" t="s">
        <v>5503</v>
      </c>
      <c r="D1956" s="95">
        <v>43439</v>
      </c>
      <c r="E1956" s="96">
        <v>43770</v>
      </c>
      <c r="F1956" s="96">
        <v>47423</v>
      </c>
      <c r="G1956" s="6">
        <v>160</v>
      </c>
      <c r="H1956" s="93" t="s">
        <v>511</v>
      </c>
      <c r="I1956" s="93" t="s">
        <v>512</v>
      </c>
      <c r="J1956" s="425"/>
      <c r="K1956" s="192">
        <v>2029</v>
      </c>
      <c r="L1956" s="399" t="s">
        <v>6079</v>
      </c>
      <c r="M1956" s="399" t="s">
        <v>7953</v>
      </c>
      <c r="N1956" s="166" t="s">
        <v>7938</v>
      </c>
      <c r="O1956" s="166" t="s">
        <v>7954</v>
      </c>
      <c r="Q1956" s="234" t="s">
        <v>7942</v>
      </c>
      <c r="R1956" s="75">
        <v>725</v>
      </c>
      <c r="S1956" s="75">
        <f t="shared" si="458"/>
        <v>19200</v>
      </c>
      <c r="T1956" s="75">
        <f>19520+165+240</f>
        <v>19925</v>
      </c>
      <c r="U1956" s="200">
        <v>240</v>
      </c>
      <c r="V1956" s="75"/>
      <c r="W1956" s="75"/>
      <c r="X1956" s="200"/>
      <c r="Z1956" s="31"/>
      <c r="AA1956" s="223"/>
    </row>
    <row r="1957" spans="1:28" hidden="1" x14ac:dyDescent="0.25">
      <c r="A1957" s="315" t="s">
        <v>7927</v>
      </c>
      <c r="B1957" s="352" t="str">
        <f t="shared" si="457"/>
        <v>YES</v>
      </c>
      <c r="C1957" s="352" t="s">
        <v>5503</v>
      </c>
      <c r="D1957" s="95">
        <v>43439</v>
      </c>
      <c r="E1957" s="96">
        <v>43770</v>
      </c>
      <c r="F1957" s="96">
        <v>47423</v>
      </c>
      <c r="G1957" s="6">
        <v>640</v>
      </c>
      <c r="H1957" s="93" t="s">
        <v>892</v>
      </c>
      <c r="I1957" s="93" t="s">
        <v>512</v>
      </c>
      <c r="J1957" s="425"/>
      <c r="K1957" s="266">
        <f t="shared" ref="K1957:K1958" si="459">YEAR(F1957)</f>
        <v>2029</v>
      </c>
      <c r="L1957" s="399" t="s">
        <v>7955</v>
      </c>
      <c r="M1957" s="399" t="s">
        <v>6071</v>
      </c>
      <c r="N1957" s="166" t="s">
        <v>7938</v>
      </c>
      <c r="O1957" s="166" t="s">
        <v>7956</v>
      </c>
      <c r="Q1957" s="234" t="s">
        <v>7943</v>
      </c>
      <c r="R1957" s="75">
        <v>2405</v>
      </c>
      <c r="S1957" s="75">
        <f t="shared" si="458"/>
        <v>63360</v>
      </c>
      <c r="T1957" s="75">
        <f>64640+165+960</f>
        <v>65765</v>
      </c>
      <c r="U1957" s="200">
        <v>960</v>
      </c>
      <c r="V1957" s="75"/>
      <c r="W1957" s="75"/>
      <c r="X1957" s="200"/>
      <c r="Z1957" s="31"/>
      <c r="AA1957" s="223"/>
      <c r="AB1957" s="312" t="s">
        <v>8236</v>
      </c>
    </row>
    <row r="1958" spans="1:28" ht="26.25" hidden="1" x14ac:dyDescent="0.25">
      <c r="A1958" s="315" t="s">
        <v>7928</v>
      </c>
      <c r="B1958" s="352" t="str">
        <f t="shared" si="457"/>
        <v>YES</v>
      </c>
      <c r="C1958" s="352" t="s">
        <v>5503</v>
      </c>
      <c r="D1958" s="95">
        <v>43439</v>
      </c>
      <c r="E1958" s="96">
        <v>43770</v>
      </c>
      <c r="F1958" s="96">
        <v>47423</v>
      </c>
      <c r="G1958" s="6">
        <v>950.58</v>
      </c>
      <c r="H1958" s="93" t="s">
        <v>892</v>
      </c>
      <c r="I1958" s="93" t="s">
        <v>512</v>
      </c>
      <c r="J1958" s="425"/>
      <c r="K1958" s="266">
        <f t="shared" si="459"/>
        <v>2029</v>
      </c>
      <c r="L1958" s="399" t="s">
        <v>7955</v>
      </c>
      <c r="M1958" s="399" t="s">
        <v>6071</v>
      </c>
      <c r="N1958" s="166" t="s">
        <v>7938</v>
      </c>
      <c r="O1958" s="166" t="s">
        <v>7957</v>
      </c>
      <c r="Q1958" s="234" t="s">
        <v>7944</v>
      </c>
      <c r="R1958" s="75">
        <v>3493.5</v>
      </c>
      <c r="S1958" s="75">
        <f t="shared" si="458"/>
        <v>70374</v>
      </c>
      <c r="T1958" s="75">
        <f>72276+165+1426.5</f>
        <v>73867.5</v>
      </c>
      <c r="U1958" s="200">
        <v>1426.5</v>
      </c>
      <c r="V1958" s="75"/>
      <c r="W1958" s="75"/>
      <c r="X1958" s="200"/>
      <c r="Z1958" s="31"/>
      <c r="AA1958" s="223"/>
      <c r="AB1958" s="312" t="s">
        <v>8236</v>
      </c>
    </row>
    <row r="1959" spans="1:28" hidden="1" x14ac:dyDescent="0.25">
      <c r="A1959" s="315" t="s">
        <v>7929</v>
      </c>
      <c r="B1959" s="352" t="str">
        <f t="shared" si="457"/>
        <v>YES</v>
      </c>
      <c r="C1959" s="352" t="s">
        <v>5503</v>
      </c>
      <c r="D1959" s="95">
        <v>43439</v>
      </c>
      <c r="E1959" s="96">
        <v>43770</v>
      </c>
      <c r="F1959" s="96">
        <v>47423</v>
      </c>
      <c r="G1959" s="6">
        <v>320</v>
      </c>
      <c r="H1959" s="93" t="s">
        <v>899</v>
      </c>
      <c r="I1959" s="93" t="s">
        <v>512</v>
      </c>
      <c r="J1959" s="425"/>
      <c r="K1959" s="192">
        <v>2029</v>
      </c>
      <c r="L1959" s="399" t="s">
        <v>7958</v>
      </c>
      <c r="M1959" s="399" t="s">
        <v>7959</v>
      </c>
      <c r="N1959" s="166" t="s">
        <v>7938</v>
      </c>
      <c r="O1959" s="166" t="s">
        <v>7960</v>
      </c>
      <c r="Q1959" s="234" t="s">
        <v>7945</v>
      </c>
      <c r="R1959" s="75">
        <v>1285</v>
      </c>
      <c r="S1959" s="75">
        <f t="shared" si="458"/>
        <v>49600</v>
      </c>
      <c r="T1959" s="75">
        <v>50885</v>
      </c>
      <c r="U1959" s="200">
        <v>480</v>
      </c>
      <c r="V1959" s="75"/>
      <c r="W1959" s="75"/>
      <c r="X1959" s="200"/>
      <c r="Z1959" s="31"/>
      <c r="AA1959" s="223"/>
    </row>
    <row r="1960" spans="1:28" hidden="1" x14ac:dyDescent="0.25">
      <c r="A1960" s="315" t="s">
        <v>7930</v>
      </c>
      <c r="B1960" s="352" t="str">
        <f t="shared" si="457"/>
        <v>YES</v>
      </c>
      <c r="C1960" s="352" t="s">
        <v>5503</v>
      </c>
      <c r="D1960" s="95">
        <v>43439</v>
      </c>
      <c r="E1960" s="97">
        <v>43770</v>
      </c>
      <c r="F1960" s="2">
        <f t="shared" ref="F1960:F1963" si="460">DATE(YEAR(E1960)+10,MONTH(E1960),DAY(E1960))</f>
        <v>47423</v>
      </c>
      <c r="G1960" s="6">
        <v>10</v>
      </c>
      <c r="H1960" s="93" t="s">
        <v>7935</v>
      </c>
      <c r="I1960" s="93" t="s">
        <v>198</v>
      </c>
      <c r="J1960" s="425"/>
      <c r="K1960" s="266">
        <f t="shared" ref="K1960:K1963" si="461">YEAR(F1960)</f>
        <v>2029</v>
      </c>
      <c r="L1960" s="399" t="s">
        <v>7961</v>
      </c>
      <c r="M1960" s="399" t="s">
        <v>7621</v>
      </c>
      <c r="N1960" s="166" t="s">
        <v>7962</v>
      </c>
      <c r="O1960" s="166" t="s">
        <v>7963</v>
      </c>
      <c r="Q1960" s="234" t="s">
        <v>7946</v>
      </c>
      <c r="R1960" s="75">
        <v>200</v>
      </c>
      <c r="S1960" s="75">
        <f t="shared" si="458"/>
        <v>90</v>
      </c>
      <c r="T1960" s="75">
        <v>290</v>
      </c>
      <c r="U1960" s="200">
        <v>15</v>
      </c>
      <c r="V1960" s="75"/>
      <c r="W1960" s="75"/>
      <c r="X1960" s="200"/>
      <c r="Z1960" s="31"/>
      <c r="AA1960" s="223"/>
    </row>
    <row r="1961" spans="1:28" hidden="1" x14ac:dyDescent="0.25">
      <c r="A1961" s="315" t="s">
        <v>7931</v>
      </c>
      <c r="B1961" s="352" t="str">
        <f t="shared" si="457"/>
        <v>YES</v>
      </c>
      <c r="C1961" s="352" t="s">
        <v>5503</v>
      </c>
      <c r="D1961" s="95">
        <v>43439</v>
      </c>
      <c r="E1961" s="97">
        <v>43770</v>
      </c>
      <c r="F1961" s="2">
        <f t="shared" si="460"/>
        <v>47423</v>
      </c>
      <c r="G1961" s="6">
        <v>38.450000000000003</v>
      </c>
      <c r="H1961" s="93" t="s">
        <v>935</v>
      </c>
      <c r="I1961" s="93" t="s">
        <v>198</v>
      </c>
      <c r="J1961" s="425"/>
      <c r="K1961" s="266">
        <f t="shared" si="461"/>
        <v>2029</v>
      </c>
      <c r="L1961" s="399" t="s">
        <v>7625</v>
      </c>
      <c r="M1961" s="399" t="s">
        <v>7623</v>
      </c>
      <c r="N1961" s="166" t="s">
        <v>7962</v>
      </c>
      <c r="O1961" s="166" t="s">
        <v>7964</v>
      </c>
      <c r="Q1961" s="234" t="s">
        <v>7947</v>
      </c>
      <c r="R1961" s="75">
        <v>301.5</v>
      </c>
      <c r="S1961" s="75">
        <f t="shared" si="458"/>
        <v>9711</v>
      </c>
      <c r="T1961" s="75">
        <v>10012.5</v>
      </c>
      <c r="U1961" s="200">
        <v>58.5</v>
      </c>
      <c r="V1961" s="75"/>
      <c r="W1961" s="75"/>
      <c r="X1961" s="200"/>
      <c r="Z1961" s="31"/>
      <c r="AA1961" s="223"/>
    </row>
    <row r="1962" spans="1:28" hidden="1" x14ac:dyDescent="0.25">
      <c r="A1962" s="315" t="s">
        <v>7932</v>
      </c>
      <c r="B1962" s="352" t="str">
        <f t="shared" si="457"/>
        <v>YES</v>
      </c>
      <c r="C1962" s="352" t="s">
        <v>5503</v>
      </c>
      <c r="D1962" s="95">
        <v>43439</v>
      </c>
      <c r="E1962" s="97">
        <v>43770</v>
      </c>
      <c r="F1962" s="2">
        <f t="shared" si="460"/>
        <v>47423</v>
      </c>
      <c r="G1962" s="6">
        <v>40</v>
      </c>
      <c r="H1962" s="93" t="s">
        <v>973</v>
      </c>
      <c r="I1962" s="93" t="s">
        <v>198</v>
      </c>
      <c r="J1962" s="425"/>
      <c r="K1962" s="266">
        <f t="shared" si="461"/>
        <v>2029</v>
      </c>
      <c r="L1962" s="399" t="s">
        <v>7965</v>
      </c>
      <c r="M1962" s="399" t="s">
        <v>7966</v>
      </c>
      <c r="N1962" s="166" t="s">
        <v>7962</v>
      </c>
      <c r="O1962" s="166" t="s">
        <v>7967</v>
      </c>
      <c r="Q1962" s="234" t="s">
        <v>7948</v>
      </c>
      <c r="R1962" s="75">
        <v>305</v>
      </c>
      <c r="S1962" s="75">
        <f t="shared" si="458"/>
        <v>760</v>
      </c>
      <c r="T1962" s="75">
        <v>1065</v>
      </c>
      <c r="U1962" s="200">
        <v>60</v>
      </c>
      <c r="V1962" s="75"/>
      <c r="W1962" s="75"/>
      <c r="X1962" s="200"/>
      <c r="Z1962" s="31"/>
      <c r="AA1962" s="223"/>
    </row>
    <row r="1963" spans="1:28" hidden="1" x14ac:dyDescent="0.25">
      <c r="A1963" s="315" t="s">
        <v>7933</v>
      </c>
      <c r="B1963" s="352" t="str">
        <f t="shared" si="457"/>
        <v>YES</v>
      </c>
      <c r="C1963" s="352" t="s">
        <v>5503</v>
      </c>
      <c r="D1963" s="95">
        <v>43439</v>
      </c>
      <c r="E1963" s="97">
        <v>43770</v>
      </c>
      <c r="F1963" s="2">
        <f t="shared" si="460"/>
        <v>47423</v>
      </c>
      <c r="G1963" s="6">
        <v>40</v>
      </c>
      <c r="H1963" s="93" t="s">
        <v>951</v>
      </c>
      <c r="I1963" s="93" t="s">
        <v>198</v>
      </c>
      <c r="J1963" s="425"/>
      <c r="K1963" s="266">
        <f t="shared" si="461"/>
        <v>2029</v>
      </c>
      <c r="L1963" s="399" t="s">
        <v>7968</v>
      </c>
      <c r="M1963" s="399" t="s">
        <v>7969</v>
      </c>
      <c r="N1963" s="166" t="s">
        <v>7962</v>
      </c>
      <c r="O1963" s="166" t="s">
        <v>7970</v>
      </c>
      <c r="Q1963" s="234" t="s">
        <v>7949</v>
      </c>
      <c r="R1963" s="75">
        <v>305</v>
      </c>
      <c r="S1963" s="75">
        <f t="shared" si="458"/>
        <v>27960</v>
      </c>
      <c r="T1963" s="75">
        <v>28265</v>
      </c>
      <c r="U1963" s="200">
        <v>60</v>
      </c>
      <c r="V1963" s="75"/>
      <c r="W1963" s="75"/>
      <c r="X1963" s="200"/>
      <c r="Z1963" s="31"/>
      <c r="AA1963" s="223"/>
    </row>
    <row r="1964" spans="1:28" hidden="1" x14ac:dyDescent="0.25">
      <c r="A1964" s="315" t="s">
        <v>7934</v>
      </c>
      <c r="B1964" s="352" t="str">
        <f t="shared" si="457"/>
        <v>YES</v>
      </c>
      <c r="C1964" s="352" t="s">
        <v>5503</v>
      </c>
      <c r="D1964" s="95">
        <v>43439</v>
      </c>
      <c r="G1964" s="6">
        <v>632.16999999999996</v>
      </c>
      <c r="H1964" s="93" t="s">
        <v>1393</v>
      </c>
      <c r="I1964" s="93" t="s">
        <v>15</v>
      </c>
      <c r="J1964" s="425"/>
      <c r="K1964" s="184"/>
      <c r="L1964" s="399">
        <v>297</v>
      </c>
      <c r="N1964" s="166" t="s">
        <v>7971</v>
      </c>
      <c r="O1964" s="166" t="s">
        <v>7972</v>
      </c>
      <c r="Q1964" s="234" t="s">
        <v>7950</v>
      </c>
      <c r="R1964" s="75">
        <v>2380.5</v>
      </c>
      <c r="S1964" s="75">
        <f t="shared" si="458"/>
        <v>2531367</v>
      </c>
      <c r="T1964" s="75">
        <v>2533747.5</v>
      </c>
      <c r="U1964" s="200">
        <v>949.5</v>
      </c>
      <c r="V1964" s="75"/>
      <c r="W1964" s="75"/>
      <c r="X1964" s="200"/>
      <c r="Z1964" s="31"/>
      <c r="AA1964" s="223"/>
    </row>
    <row r="1965" spans="1:28" ht="15.75" hidden="1" thickBot="1" x14ac:dyDescent="0.3">
      <c r="A1965" s="316"/>
      <c r="B1965" s="352"/>
      <c r="G1965" s="6"/>
      <c r="I1965" s="93"/>
      <c r="J1965" s="184"/>
      <c r="K1965" s="184"/>
      <c r="L1965" s="393"/>
      <c r="M1965" s="393"/>
      <c r="Q1965" s="234"/>
      <c r="R1965" s="76">
        <f>SUM(R1954:R1964)</f>
        <v>17229</v>
      </c>
      <c r="S1965" s="76">
        <f t="shared" ref="S1965:T1965" si="462">SUM(S1954:S1964)</f>
        <v>2896529</v>
      </c>
      <c r="T1965" s="76">
        <f t="shared" si="462"/>
        <v>2913758</v>
      </c>
      <c r="U1965" s="200"/>
      <c r="V1965" s="75"/>
      <c r="W1965" s="75"/>
      <c r="X1965" s="200"/>
      <c r="Z1965" s="31"/>
      <c r="AA1965" s="223"/>
    </row>
    <row r="1966" spans="1:28" hidden="1" x14ac:dyDescent="0.25">
      <c r="A1966" s="316"/>
      <c r="F1966" s="2"/>
      <c r="G1966" s="6"/>
      <c r="I1966" s="93"/>
      <c r="J1966" s="184"/>
      <c r="K1966" s="184"/>
      <c r="L1966" s="387"/>
      <c r="M1966" s="387"/>
      <c r="Q1966" s="234"/>
      <c r="R1966" s="431"/>
      <c r="S1966" s="431"/>
      <c r="T1966" s="431"/>
      <c r="U1966" s="200"/>
      <c r="V1966" s="75"/>
      <c r="W1966" s="75"/>
      <c r="X1966" s="200"/>
      <c r="Z1966" s="31"/>
      <c r="AA1966" s="223"/>
    </row>
    <row r="1967" spans="1:28" hidden="1" x14ac:dyDescent="0.25">
      <c r="A1967" s="316"/>
      <c r="F1967" s="2"/>
      <c r="G1967" s="6"/>
      <c r="I1967" s="93"/>
      <c r="J1967" s="184"/>
      <c r="K1967" s="184"/>
      <c r="L1967" s="393"/>
      <c r="M1967" s="393"/>
      <c r="Q1967" s="234"/>
      <c r="R1967" s="75"/>
      <c r="S1967" s="75"/>
      <c r="T1967" s="75"/>
      <c r="U1967" s="200"/>
      <c r="V1967" s="75"/>
      <c r="W1967" s="75"/>
      <c r="X1967" s="200"/>
      <c r="Z1967" s="31"/>
      <c r="AA1967" s="223"/>
    </row>
    <row r="1968" spans="1:28" ht="39" hidden="1" x14ac:dyDescent="0.25">
      <c r="A1968" s="315" t="s">
        <v>6392</v>
      </c>
      <c r="B1968" s="93" t="str">
        <f t="shared" si="448"/>
        <v>YES</v>
      </c>
      <c r="C1968" s="93" t="s">
        <v>5503</v>
      </c>
      <c r="D1968" s="95">
        <v>43445</v>
      </c>
      <c r="E1968" s="96">
        <v>43497</v>
      </c>
      <c r="F1968" s="2">
        <f t="shared" si="432"/>
        <v>47150</v>
      </c>
      <c r="G1968" s="6">
        <v>185.76</v>
      </c>
      <c r="H1968" s="93" t="s">
        <v>6397</v>
      </c>
      <c r="I1968" s="93" t="s">
        <v>5622</v>
      </c>
      <c r="J1968" s="184"/>
      <c r="K1968" s="192">
        <v>2029</v>
      </c>
      <c r="L1968" s="393" t="s">
        <v>7624</v>
      </c>
      <c r="M1968" s="390" t="s">
        <v>7600</v>
      </c>
      <c r="N1968" s="166" t="s">
        <v>6398</v>
      </c>
      <c r="O1968" s="166" t="s">
        <v>6399</v>
      </c>
      <c r="Q1968" s="234" t="s">
        <v>6400</v>
      </c>
      <c r="R1968" s="75">
        <f>165+372+279</f>
        <v>816</v>
      </c>
      <c r="S1968" s="75">
        <f>T1968-R1968</f>
        <v>6696</v>
      </c>
      <c r="T1968" s="75">
        <f>7068+165+279</f>
        <v>7512</v>
      </c>
      <c r="U1968" s="200">
        <v>279</v>
      </c>
      <c r="V1968" s="75"/>
      <c r="W1968" s="75"/>
      <c r="X1968" s="200"/>
      <c r="Z1968" s="31"/>
      <c r="AA1968" s="223" t="s">
        <v>13</v>
      </c>
      <c r="AB1968" s="312" t="s">
        <v>7634</v>
      </c>
    </row>
    <row r="1969" spans="1:28" ht="39" hidden="1" x14ac:dyDescent="0.25">
      <c r="A1969" s="315" t="s">
        <v>6393</v>
      </c>
      <c r="B1969" s="93" t="str">
        <f t="shared" si="448"/>
        <v>YES</v>
      </c>
      <c r="C1969" s="93" t="s">
        <v>5503</v>
      </c>
      <c r="D1969" s="95">
        <v>43445</v>
      </c>
      <c r="E1969" s="96">
        <v>43497</v>
      </c>
      <c r="F1969" s="2">
        <f t="shared" si="432"/>
        <v>47150</v>
      </c>
      <c r="G1969" s="6">
        <f>712.66</f>
        <v>712.66</v>
      </c>
      <c r="H1969" s="93" t="s">
        <v>5637</v>
      </c>
      <c r="I1969" s="93" t="s">
        <v>5622</v>
      </c>
      <c r="J1969" s="184"/>
      <c r="K1969" s="192">
        <v>2029</v>
      </c>
      <c r="L1969" s="393" t="s">
        <v>5745</v>
      </c>
      <c r="M1969" s="390" t="s">
        <v>7614</v>
      </c>
      <c r="N1969" s="166" t="s">
        <v>6401</v>
      </c>
      <c r="O1969" s="166" t="s">
        <v>6402</v>
      </c>
      <c r="Q1969" s="234" t="s">
        <v>6403</v>
      </c>
      <c r="R1969" s="75">
        <f>165+1426+1069.5</f>
        <v>2660.5</v>
      </c>
      <c r="S1969" s="75">
        <f t="shared" ref="S1969:S1972" si="463">T1969-R1969</f>
        <v>141887</v>
      </c>
      <c r="T1969" s="75">
        <f>143313+165+1069.5</f>
        <v>144547.5</v>
      </c>
      <c r="U1969" s="200">
        <v>1069.5</v>
      </c>
      <c r="V1969" s="75"/>
      <c r="W1969" s="75"/>
      <c r="X1969" s="200"/>
      <c r="Z1969" s="31"/>
      <c r="AA1969" s="223"/>
      <c r="AB1969" s="312" t="s">
        <v>7505</v>
      </c>
    </row>
    <row r="1970" spans="1:28" hidden="1" x14ac:dyDescent="0.25">
      <c r="A1970" s="315" t="s">
        <v>6394</v>
      </c>
      <c r="B1970" s="93" t="str">
        <f t="shared" si="448"/>
        <v>YES</v>
      </c>
      <c r="C1970" s="93" t="s">
        <v>5503</v>
      </c>
      <c r="D1970" s="95">
        <v>43445</v>
      </c>
      <c r="E1970" s="96">
        <v>43497</v>
      </c>
      <c r="F1970" s="2">
        <f t="shared" si="432"/>
        <v>47150</v>
      </c>
      <c r="G1970" s="6">
        <v>320</v>
      </c>
      <c r="H1970" s="93" t="s">
        <v>5637</v>
      </c>
      <c r="I1970" s="93" t="s">
        <v>5622</v>
      </c>
      <c r="J1970" s="184"/>
      <c r="K1970" s="192">
        <v>2029</v>
      </c>
      <c r="L1970" s="393" t="s">
        <v>7625</v>
      </c>
      <c r="M1970" s="390" t="s">
        <v>7614</v>
      </c>
      <c r="N1970" s="166" t="s">
        <v>6404</v>
      </c>
      <c r="O1970" s="166" t="s">
        <v>6405</v>
      </c>
      <c r="Q1970" s="234" t="s">
        <v>6406</v>
      </c>
      <c r="R1970" s="75">
        <f>165+640+480</f>
        <v>1285</v>
      </c>
      <c r="S1970" s="75">
        <f t="shared" si="463"/>
        <v>68480</v>
      </c>
      <c r="T1970" s="75">
        <f>69120+165+480</f>
        <v>69765</v>
      </c>
      <c r="U1970" s="200">
        <v>480</v>
      </c>
      <c r="V1970" s="75"/>
      <c r="W1970" s="75"/>
      <c r="X1970" s="200"/>
      <c r="Z1970" s="31"/>
      <c r="AA1970" s="223"/>
      <c r="AB1970" s="312" t="s">
        <v>7506</v>
      </c>
    </row>
    <row r="1971" spans="1:28" hidden="1" x14ac:dyDescent="0.25">
      <c r="A1971" s="315" t="s">
        <v>6395</v>
      </c>
      <c r="B1971" s="93" t="str">
        <f t="shared" si="448"/>
        <v>YES</v>
      </c>
      <c r="C1971" s="93" t="s">
        <v>5503</v>
      </c>
      <c r="D1971" s="95">
        <v>43445</v>
      </c>
      <c r="E1971" s="96">
        <v>43497</v>
      </c>
      <c r="F1971" s="2">
        <f t="shared" si="432"/>
        <v>47150</v>
      </c>
      <c r="G1971" s="6">
        <v>107.01</v>
      </c>
      <c r="H1971" s="93" t="s">
        <v>5637</v>
      </c>
      <c r="I1971" s="93" t="s">
        <v>5622</v>
      </c>
      <c r="J1971" s="184"/>
      <c r="K1971" s="192">
        <v>2029</v>
      </c>
      <c r="L1971" s="393" t="s">
        <v>7626</v>
      </c>
      <c r="M1971" s="390" t="s">
        <v>7615</v>
      </c>
      <c r="N1971" s="166" t="s">
        <v>6407</v>
      </c>
      <c r="O1971" s="166" t="s">
        <v>6408</v>
      </c>
      <c r="Q1971" s="234" t="s">
        <v>6409</v>
      </c>
      <c r="R1971" s="75">
        <f>165+216+162</f>
        <v>543</v>
      </c>
      <c r="S1971" s="75">
        <f t="shared" si="463"/>
        <v>5292</v>
      </c>
      <c r="T1971" s="75">
        <f>5508+165+162</f>
        <v>5835</v>
      </c>
      <c r="U1971" s="200">
        <v>162</v>
      </c>
      <c r="V1971" s="75"/>
      <c r="W1971" s="75"/>
      <c r="X1971" s="200"/>
      <c r="Z1971" s="31"/>
      <c r="AA1971" s="223"/>
      <c r="AB1971" s="312" t="s">
        <v>7507</v>
      </c>
    </row>
    <row r="1972" spans="1:28" ht="26.25" hidden="1" x14ac:dyDescent="0.25">
      <c r="A1972" s="315" t="s">
        <v>6396</v>
      </c>
      <c r="B1972" s="93" t="str">
        <f t="shared" si="448"/>
        <v>YES</v>
      </c>
      <c r="C1972" s="93" t="s">
        <v>5503</v>
      </c>
      <c r="D1972" s="95">
        <v>43445</v>
      </c>
      <c r="E1972" s="96">
        <v>43497</v>
      </c>
      <c r="F1972" s="2">
        <f t="shared" si="432"/>
        <v>47150</v>
      </c>
      <c r="G1972" s="6">
        <v>120</v>
      </c>
      <c r="H1972" s="93" t="s">
        <v>6410</v>
      </c>
      <c r="I1972" s="93" t="s">
        <v>5622</v>
      </c>
      <c r="J1972" s="184"/>
      <c r="K1972" s="192">
        <v>2029</v>
      </c>
      <c r="L1972" s="393" t="s">
        <v>7627</v>
      </c>
      <c r="M1972" s="390" t="s">
        <v>7615</v>
      </c>
      <c r="N1972" s="166" t="s">
        <v>6411</v>
      </c>
      <c r="O1972" s="166" t="s">
        <v>6412</v>
      </c>
      <c r="Q1972" s="234" t="s">
        <v>6413</v>
      </c>
      <c r="R1972" s="75">
        <f>165+240+180</f>
        <v>585</v>
      </c>
      <c r="S1972" s="75">
        <f t="shared" si="463"/>
        <v>3000</v>
      </c>
      <c r="T1972" s="75">
        <f>3240+165+180</f>
        <v>3585</v>
      </c>
      <c r="U1972" s="200">
        <v>180</v>
      </c>
      <c r="V1972" s="75"/>
      <c r="W1972" s="75"/>
      <c r="X1972" s="200"/>
      <c r="Z1972" s="31"/>
      <c r="AA1972" s="223"/>
      <c r="AB1972" s="312" t="s">
        <v>7504</v>
      </c>
    </row>
    <row r="1973" spans="1:28" ht="15.75" hidden="1" thickBot="1" x14ac:dyDescent="0.3">
      <c r="A1973" s="316"/>
      <c r="F1973" s="2"/>
      <c r="G1973" s="6"/>
      <c r="I1973" s="93"/>
      <c r="J1973" s="184"/>
      <c r="K1973" s="184"/>
      <c r="L1973" s="387"/>
      <c r="M1973" s="387"/>
      <c r="Q1973" s="234"/>
      <c r="R1973" s="76">
        <f>SUM(R1968:R1972)</f>
        <v>5889.5</v>
      </c>
      <c r="S1973" s="76">
        <f t="shared" ref="S1973:T1973" si="464">SUM(S1968:S1972)</f>
        <v>225355</v>
      </c>
      <c r="T1973" s="76">
        <f t="shared" si="464"/>
        <v>231244.5</v>
      </c>
      <c r="U1973" s="200"/>
      <c r="V1973" s="75"/>
      <c r="W1973" s="75"/>
      <c r="X1973" s="200"/>
      <c r="Z1973" s="31"/>
      <c r="AA1973" s="223"/>
    </row>
    <row r="1974" spans="1:28" hidden="1" x14ac:dyDescent="0.25">
      <c r="A1974" s="316"/>
      <c r="F1974" s="2"/>
      <c r="G1974" s="6"/>
      <c r="I1974" s="93"/>
      <c r="J1974" s="184"/>
      <c r="K1974" s="184"/>
      <c r="L1974" s="393"/>
      <c r="M1974" s="393"/>
      <c r="Q1974" s="234"/>
      <c r="R1974" s="75"/>
      <c r="S1974" s="75"/>
      <c r="T1974" s="75"/>
      <c r="U1974" s="200"/>
      <c r="V1974" s="75"/>
      <c r="W1974" s="75"/>
      <c r="X1974" s="200"/>
      <c r="Z1974" s="31"/>
      <c r="AA1974" s="223"/>
    </row>
    <row r="1975" spans="1:28" hidden="1" x14ac:dyDescent="0.25">
      <c r="A1975" s="316"/>
      <c r="F1975" s="2"/>
      <c r="G1975" s="6"/>
      <c r="I1975" s="93"/>
      <c r="J1975" s="184"/>
      <c r="K1975" s="184"/>
      <c r="L1975" s="393"/>
      <c r="M1975" s="393"/>
      <c r="Q1975" s="234"/>
      <c r="R1975" s="75"/>
      <c r="S1975" s="75"/>
      <c r="T1975" s="75"/>
      <c r="U1975" s="200"/>
      <c r="V1975" s="75"/>
      <c r="W1975" s="75"/>
      <c r="X1975" s="200"/>
      <c r="Z1975" s="31"/>
      <c r="AA1975" s="223"/>
    </row>
    <row r="1976" spans="1:28" ht="26.25" hidden="1" x14ac:dyDescent="0.25">
      <c r="A1976" s="315" t="s">
        <v>7409</v>
      </c>
      <c r="B1976" s="93" t="str">
        <f t="shared" si="448"/>
        <v>YES</v>
      </c>
      <c r="C1976" s="93" t="s">
        <v>5503</v>
      </c>
      <c r="D1976" s="95">
        <v>43447</v>
      </c>
      <c r="E1976" s="95">
        <v>43525</v>
      </c>
      <c r="F1976" s="2">
        <f t="shared" si="432"/>
        <v>47178</v>
      </c>
      <c r="G1976" s="6">
        <v>119.75</v>
      </c>
      <c r="H1976" s="93" t="s">
        <v>1121</v>
      </c>
      <c r="I1976" s="93" t="s">
        <v>86</v>
      </c>
      <c r="J1976" s="184"/>
      <c r="K1976" s="192">
        <v>2029</v>
      </c>
      <c r="L1976" s="399" t="s">
        <v>6003</v>
      </c>
      <c r="M1976" s="301" t="s">
        <v>7616</v>
      </c>
      <c r="N1976" s="166" t="s">
        <v>7426</v>
      </c>
      <c r="O1976" s="166" t="s">
        <v>7427</v>
      </c>
      <c r="Q1976" s="234" t="s">
        <v>7428</v>
      </c>
      <c r="R1976" s="75">
        <v>605</v>
      </c>
      <c r="S1976" s="75">
        <f>T1976-R1976</f>
        <v>0</v>
      </c>
      <c r="T1976" s="349">
        <v>605</v>
      </c>
      <c r="U1976" s="200">
        <v>180</v>
      </c>
      <c r="V1976" s="75"/>
      <c r="W1976" s="75"/>
      <c r="X1976" s="200"/>
      <c r="Z1976" s="31"/>
      <c r="AA1976" s="223"/>
    </row>
    <row r="1977" spans="1:28" ht="26.25" hidden="1" x14ac:dyDescent="0.25">
      <c r="A1977" s="315" t="s">
        <v>7410</v>
      </c>
      <c r="B1977" s="93" t="str">
        <f t="shared" si="448"/>
        <v>YES</v>
      </c>
      <c r="C1977" s="93" t="s">
        <v>5503</v>
      </c>
      <c r="D1977" s="95">
        <v>43447</v>
      </c>
      <c r="E1977" s="95">
        <v>43525</v>
      </c>
      <c r="F1977" s="2">
        <f t="shared" si="432"/>
        <v>47178</v>
      </c>
      <c r="G1977" s="6">
        <v>80.17</v>
      </c>
      <c r="H1977" s="93" t="s">
        <v>1121</v>
      </c>
      <c r="I1977" s="93" t="s">
        <v>86</v>
      </c>
      <c r="J1977" s="184"/>
      <c r="K1977" s="192">
        <v>2029</v>
      </c>
      <c r="L1977" s="399" t="s">
        <v>7628</v>
      </c>
      <c r="M1977" s="301" t="s">
        <v>7616</v>
      </c>
      <c r="N1977" s="166" t="s">
        <v>7429</v>
      </c>
      <c r="O1977" s="166" t="s">
        <v>7495</v>
      </c>
      <c r="Q1977" s="234" t="s">
        <v>7430</v>
      </c>
      <c r="R1977" s="75">
        <v>546.5</v>
      </c>
      <c r="S1977" s="75">
        <f>T1977-R1977</f>
        <v>0</v>
      </c>
      <c r="T1977" s="349">
        <v>546.5</v>
      </c>
      <c r="U1977" s="200">
        <v>121.5</v>
      </c>
      <c r="V1977" s="75"/>
      <c r="W1977" s="75"/>
      <c r="X1977" s="200"/>
      <c r="Z1977" s="31"/>
      <c r="AA1977" s="223"/>
    </row>
    <row r="1978" spans="1:28" ht="26.25" hidden="1" x14ac:dyDescent="0.25">
      <c r="A1978" s="315" t="s">
        <v>7411</v>
      </c>
      <c r="B1978" s="93" t="str">
        <f t="shared" si="448"/>
        <v>YES</v>
      </c>
      <c r="C1978" s="93" t="s">
        <v>5503</v>
      </c>
      <c r="D1978" s="95">
        <v>43447</v>
      </c>
      <c r="E1978" s="95">
        <v>43525</v>
      </c>
      <c r="F1978" s="2">
        <f t="shared" si="432"/>
        <v>47178</v>
      </c>
      <c r="G1978" s="6">
        <v>40.450000000000003</v>
      </c>
      <c r="H1978" s="93" t="s">
        <v>1121</v>
      </c>
      <c r="I1978" s="93" t="s">
        <v>86</v>
      </c>
      <c r="J1978" s="184"/>
      <c r="K1978" s="192">
        <v>2029</v>
      </c>
      <c r="L1978" s="399" t="s">
        <v>7628</v>
      </c>
      <c r="M1978" s="301" t="s">
        <v>7616</v>
      </c>
      <c r="N1978" s="166" t="s">
        <v>7429</v>
      </c>
      <c r="O1978" s="166" t="s">
        <v>7431</v>
      </c>
      <c r="Q1978" s="234" t="s">
        <v>7432</v>
      </c>
      <c r="R1978" s="75">
        <v>486.5</v>
      </c>
      <c r="S1978" s="75">
        <f t="shared" ref="S1978" si="465">T1978-R1978</f>
        <v>0</v>
      </c>
      <c r="T1978" s="349">
        <v>486.5</v>
      </c>
      <c r="U1978" s="200">
        <v>61.5</v>
      </c>
      <c r="V1978" s="75"/>
      <c r="W1978" s="75"/>
      <c r="X1978" s="200"/>
      <c r="Z1978" s="31"/>
      <c r="AA1978" s="223"/>
    </row>
    <row r="1979" spans="1:28" ht="26.25" hidden="1" x14ac:dyDescent="0.25">
      <c r="A1979" s="315" t="s">
        <v>7412</v>
      </c>
      <c r="B1979" s="93" t="str">
        <f t="shared" si="448"/>
        <v>YES</v>
      </c>
      <c r="C1979" s="93" t="s">
        <v>5503</v>
      </c>
      <c r="D1979" s="95">
        <v>43447</v>
      </c>
      <c r="E1979" s="95">
        <v>43525</v>
      </c>
      <c r="F1979" s="2">
        <f t="shared" si="432"/>
        <v>47178</v>
      </c>
      <c r="G1979" s="6">
        <v>40.1</v>
      </c>
      <c r="H1979" s="93" t="s">
        <v>1121</v>
      </c>
      <c r="I1979" s="93" t="s">
        <v>86</v>
      </c>
      <c r="J1979" s="184"/>
      <c r="K1979" s="192">
        <v>2029</v>
      </c>
      <c r="L1979" s="399" t="s">
        <v>7628</v>
      </c>
      <c r="M1979" s="301" t="s">
        <v>7616</v>
      </c>
      <c r="N1979" s="166" t="s">
        <v>7429</v>
      </c>
      <c r="O1979" s="166" t="s">
        <v>7433</v>
      </c>
      <c r="Q1979" s="234" t="s">
        <v>7434</v>
      </c>
      <c r="R1979" s="75">
        <v>308.5</v>
      </c>
      <c r="S1979" s="75">
        <f>T1979-R1979</f>
        <v>0</v>
      </c>
      <c r="T1979" s="75">
        <f>82+165+61.5</f>
        <v>308.5</v>
      </c>
      <c r="U1979" s="200">
        <v>61.5</v>
      </c>
      <c r="V1979" s="75"/>
      <c r="W1979" s="75"/>
      <c r="X1979" s="200"/>
      <c r="Z1979" s="31"/>
      <c r="AA1979" s="223"/>
    </row>
    <row r="1980" spans="1:28" ht="26.25" hidden="1" x14ac:dyDescent="0.25">
      <c r="A1980" s="315" t="s">
        <v>7413</v>
      </c>
      <c r="B1980" s="93" t="str">
        <f t="shared" si="448"/>
        <v>YES</v>
      </c>
      <c r="C1980" s="93" t="s">
        <v>5503</v>
      </c>
      <c r="D1980" s="95">
        <v>43447</v>
      </c>
      <c r="E1980" s="95">
        <v>43525</v>
      </c>
      <c r="F1980" s="2">
        <f t="shared" si="432"/>
        <v>47178</v>
      </c>
      <c r="G1980" s="6">
        <v>39.97</v>
      </c>
      <c r="H1980" s="93" t="s">
        <v>458</v>
      </c>
      <c r="I1980" s="93" t="s">
        <v>86</v>
      </c>
      <c r="J1980" s="184"/>
      <c r="K1980" s="192">
        <v>2029</v>
      </c>
      <c r="L1980" s="399" t="s">
        <v>7628</v>
      </c>
      <c r="M1980" s="301" t="s">
        <v>7617</v>
      </c>
      <c r="N1980" s="166" t="s">
        <v>7435</v>
      </c>
      <c r="O1980" s="166" t="s">
        <v>7436</v>
      </c>
      <c r="Q1980" s="234" t="s">
        <v>7437</v>
      </c>
      <c r="R1980" s="75">
        <v>305</v>
      </c>
      <c r="S1980" s="75">
        <f t="shared" ref="S1980:S2001" si="466">T1980-R1980</f>
        <v>0</v>
      </c>
      <c r="T1980" s="75">
        <f>80+165+60</f>
        <v>305</v>
      </c>
      <c r="U1980" s="200">
        <v>60</v>
      </c>
      <c r="V1980" s="75"/>
      <c r="W1980" s="75"/>
      <c r="X1980" s="200"/>
      <c r="Z1980" s="31"/>
      <c r="AA1980" s="223"/>
      <c r="AB1980" s="312" t="s">
        <v>8113</v>
      </c>
    </row>
    <row r="1981" spans="1:28" ht="39" hidden="1" x14ac:dyDescent="0.25">
      <c r="A1981" s="315" t="s">
        <v>7414</v>
      </c>
      <c r="B1981" s="93" t="str">
        <f t="shared" si="448"/>
        <v>YES</v>
      </c>
      <c r="C1981" s="93" t="s">
        <v>5503</v>
      </c>
      <c r="D1981" s="95">
        <v>43447</v>
      </c>
      <c r="E1981" s="95">
        <v>43525</v>
      </c>
      <c r="F1981" s="2">
        <f t="shared" si="432"/>
        <v>47178</v>
      </c>
      <c r="G1981" s="6">
        <v>320.38</v>
      </c>
      <c r="H1981" s="93" t="s">
        <v>1121</v>
      </c>
      <c r="I1981" s="93" t="s">
        <v>86</v>
      </c>
      <c r="J1981" s="184"/>
      <c r="K1981" s="192">
        <v>2029</v>
      </c>
      <c r="L1981" s="399" t="s">
        <v>6003</v>
      </c>
      <c r="M1981" s="301" t="s">
        <v>7618</v>
      </c>
      <c r="N1981" s="166" t="s">
        <v>7438</v>
      </c>
      <c r="O1981" s="166" t="s">
        <v>7439</v>
      </c>
      <c r="Q1981" s="234" t="s">
        <v>7440</v>
      </c>
      <c r="R1981" s="75">
        <v>1288.5</v>
      </c>
      <c r="S1981" s="75">
        <f t="shared" si="466"/>
        <v>0</v>
      </c>
      <c r="T1981" s="75">
        <f>642+165+481.5</f>
        <v>1288.5</v>
      </c>
      <c r="U1981" s="200">
        <v>481.5</v>
      </c>
      <c r="V1981" s="75"/>
      <c r="W1981" s="75"/>
      <c r="X1981" s="200"/>
      <c r="Z1981" s="31"/>
      <c r="AA1981" s="223"/>
    </row>
    <row r="1982" spans="1:28" ht="26.25" hidden="1" x14ac:dyDescent="0.25">
      <c r="A1982" s="315" t="s">
        <v>7415</v>
      </c>
      <c r="B1982" s="93" t="str">
        <f t="shared" si="448"/>
        <v>YES</v>
      </c>
      <c r="C1982" s="93" t="s">
        <v>5503</v>
      </c>
      <c r="D1982" s="95">
        <v>43447</v>
      </c>
      <c r="E1982" s="95">
        <v>43525</v>
      </c>
      <c r="F1982" s="2">
        <f t="shared" si="432"/>
        <v>47178</v>
      </c>
      <c r="G1982" s="6">
        <v>40.020000000000003</v>
      </c>
      <c r="H1982" s="93" t="s">
        <v>1121</v>
      </c>
      <c r="I1982" s="93" t="s">
        <v>86</v>
      </c>
      <c r="J1982" s="184"/>
      <c r="K1982" s="192">
        <v>2029</v>
      </c>
      <c r="L1982" s="399" t="s">
        <v>6003</v>
      </c>
      <c r="M1982" s="301" t="s">
        <v>7619</v>
      </c>
      <c r="N1982" s="166" t="s">
        <v>7441</v>
      </c>
      <c r="O1982" s="166" t="s">
        <v>7442</v>
      </c>
      <c r="Q1982" s="234" t="s">
        <v>7443</v>
      </c>
      <c r="R1982" s="75">
        <v>308.5</v>
      </c>
      <c r="S1982" s="75">
        <f t="shared" si="466"/>
        <v>0</v>
      </c>
      <c r="T1982" s="75">
        <f>82+165+61.5</f>
        <v>308.5</v>
      </c>
      <c r="U1982" s="200">
        <v>61.5</v>
      </c>
      <c r="V1982" s="75"/>
      <c r="W1982" s="75"/>
      <c r="X1982" s="200"/>
      <c r="Z1982" s="31"/>
      <c r="AA1982" s="223"/>
    </row>
    <row r="1983" spans="1:28" ht="26.25" hidden="1" x14ac:dyDescent="0.25">
      <c r="A1983" s="315" t="s">
        <v>7416</v>
      </c>
      <c r="B1983" s="93" t="str">
        <f t="shared" si="448"/>
        <v>YES</v>
      </c>
      <c r="C1983" s="93" t="s">
        <v>5503</v>
      </c>
      <c r="D1983" s="95">
        <v>43447</v>
      </c>
      <c r="E1983" s="95">
        <v>43525</v>
      </c>
      <c r="F1983" s="2">
        <f t="shared" si="432"/>
        <v>47178</v>
      </c>
      <c r="G1983" s="6">
        <v>40</v>
      </c>
      <c r="H1983" s="93" t="s">
        <v>1121</v>
      </c>
      <c r="I1983" s="93" t="s">
        <v>86</v>
      </c>
      <c r="J1983" s="184"/>
      <c r="K1983" s="192">
        <v>2029</v>
      </c>
      <c r="L1983" s="399" t="s">
        <v>6003</v>
      </c>
      <c r="M1983" s="301" t="s">
        <v>7618</v>
      </c>
      <c r="N1983" s="166" t="s">
        <v>7438</v>
      </c>
      <c r="O1983" s="166" t="s">
        <v>7444</v>
      </c>
      <c r="Q1983" s="234" t="s">
        <v>7445</v>
      </c>
      <c r="R1983" s="75">
        <v>305</v>
      </c>
      <c r="S1983" s="75">
        <f t="shared" si="466"/>
        <v>0</v>
      </c>
      <c r="T1983" s="75">
        <f>80+165+60</f>
        <v>305</v>
      </c>
      <c r="U1983" s="200">
        <v>60</v>
      </c>
      <c r="V1983" s="75"/>
      <c r="W1983" s="75"/>
      <c r="X1983" s="200"/>
      <c r="Z1983" s="31"/>
      <c r="AA1983" s="223"/>
    </row>
    <row r="1984" spans="1:28" ht="26.25" hidden="1" x14ac:dyDescent="0.25">
      <c r="A1984" s="315" t="s">
        <v>7417</v>
      </c>
      <c r="B1984" s="93" t="str">
        <f t="shared" si="448"/>
        <v>YES</v>
      </c>
      <c r="C1984" s="93" t="s">
        <v>5503</v>
      </c>
      <c r="D1984" s="95">
        <v>43447</v>
      </c>
      <c r="E1984" s="95">
        <v>43525</v>
      </c>
      <c r="F1984" s="2">
        <f t="shared" si="432"/>
        <v>47178</v>
      </c>
      <c r="G1984" s="6">
        <v>79.41</v>
      </c>
      <c r="H1984" s="93" t="s">
        <v>1121</v>
      </c>
      <c r="I1984" s="93" t="s">
        <v>86</v>
      </c>
      <c r="J1984" s="184"/>
      <c r="K1984" s="192">
        <v>2029</v>
      </c>
      <c r="L1984" s="399" t="s">
        <v>6003</v>
      </c>
      <c r="M1984" s="301" t="s">
        <v>7619</v>
      </c>
      <c r="N1984" s="166" t="s">
        <v>7441</v>
      </c>
      <c r="O1984" s="166" t="s">
        <v>7446</v>
      </c>
      <c r="Q1984" s="234" t="s">
        <v>7447</v>
      </c>
      <c r="R1984" s="75">
        <v>445</v>
      </c>
      <c r="S1984" s="75">
        <f t="shared" si="466"/>
        <v>0</v>
      </c>
      <c r="T1984" s="75">
        <f>160+165+120</f>
        <v>445</v>
      </c>
      <c r="U1984" s="200">
        <v>120</v>
      </c>
      <c r="V1984" s="75"/>
      <c r="W1984" s="75"/>
      <c r="X1984" s="200"/>
      <c r="Z1984" s="31"/>
      <c r="AA1984" s="223"/>
    </row>
    <row r="1985" spans="1:28" ht="26.25" hidden="1" x14ac:dyDescent="0.25">
      <c r="A1985" s="315" t="s">
        <v>7418</v>
      </c>
      <c r="B1985" s="93" t="str">
        <f t="shared" si="448"/>
        <v>YES</v>
      </c>
      <c r="C1985" s="93" t="s">
        <v>5503</v>
      </c>
      <c r="D1985" s="95">
        <v>43447</v>
      </c>
      <c r="E1985" s="95">
        <v>43525</v>
      </c>
      <c r="F1985" s="2">
        <f t="shared" si="432"/>
        <v>47178</v>
      </c>
      <c r="G1985" s="6">
        <v>120.17</v>
      </c>
      <c r="H1985" s="93" t="s">
        <v>1121</v>
      </c>
      <c r="I1985" s="93" t="s">
        <v>86</v>
      </c>
      <c r="J1985" s="184"/>
      <c r="K1985" s="192">
        <v>2029</v>
      </c>
      <c r="L1985" s="399" t="s">
        <v>6067</v>
      </c>
      <c r="M1985" s="301" t="s">
        <v>7619</v>
      </c>
      <c r="N1985" s="166" t="s">
        <v>7448</v>
      </c>
      <c r="O1985" s="166" t="s">
        <v>7449</v>
      </c>
      <c r="Q1985" s="234" t="s">
        <v>7450</v>
      </c>
      <c r="R1985" s="75">
        <v>588.5</v>
      </c>
      <c r="S1985" s="75">
        <f t="shared" si="466"/>
        <v>0</v>
      </c>
      <c r="T1985" s="75">
        <f>242+165+181.5</f>
        <v>588.5</v>
      </c>
      <c r="U1985" s="200">
        <v>181.5</v>
      </c>
      <c r="V1985" s="75"/>
      <c r="W1985" s="75"/>
      <c r="X1985" s="200"/>
      <c r="Z1985" s="31"/>
      <c r="AA1985" s="223"/>
    </row>
    <row r="1986" spans="1:28" ht="26.25" hidden="1" x14ac:dyDescent="0.25">
      <c r="A1986" s="315" t="s">
        <v>7419</v>
      </c>
      <c r="B1986" s="93" t="str">
        <f t="shared" si="448"/>
        <v>YES</v>
      </c>
      <c r="C1986" s="93" t="s">
        <v>5503</v>
      </c>
      <c r="D1986" s="95">
        <v>43447</v>
      </c>
      <c r="E1986" s="95">
        <v>43525</v>
      </c>
      <c r="F1986" s="2">
        <f t="shared" si="432"/>
        <v>47178</v>
      </c>
      <c r="G1986" s="6">
        <v>40.15</v>
      </c>
      <c r="H1986" s="93" t="s">
        <v>1121</v>
      </c>
      <c r="I1986" s="93" t="s">
        <v>86</v>
      </c>
      <c r="J1986" s="184"/>
      <c r="K1986" s="192">
        <v>2029</v>
      </c>
      <c r="L1986" s="399" t="s">
        <v>7628</v>
      </c>
      <c r="M1986" s="301" t="s">
        <v>7616</v>
      </c>
      <c r="N1986" s="166" t="s">
        <v>7429</v>
      </c>
      <c r="O1986" s="166" t="s">
        <v>7451</v>
      </c>
      <c r="Q1986" s="234" t="s">
        <v>7452</v>
      </c>
      <c r="R1986" s="75">
        <v>308.5</v>
      </c>
      <c r="S1986" s="75">
        <f t="shared" si="466"/>
        <v>0</v>
      </c>
      <c r="T1986" s="75">
        <f>82+165+61.5</f>
        <v>308.5</v>
      </c>
      <c r="U1986" s="200">
        <v>61.5</v>
      </c>
      <c r="V1986" s="75"/>
      <c r="W1986" s="75"/>
      <c r="X1986" s="200"/>
      <c r="Z1986" s="31"/>
      <c r="AA1986" s="223"/>
    </row>
    <row r="1987" spans="1:28" ht="26.25" hidden="1" x14ac:dyDescent="0.25">
      <c r="A1987" s="315" t="s">
        <v>7420</v>
      </c>
      <c r="B1987" s="93" t="str">
        <f t="shared" si="448"/>
        <v>YES</v>
      </c>
      <c r="C1987" s="93" t="s">
        <v>5503</v>
      </c>
      <c r="D1987" s="95">
        <v>43447</v>
      </c>
      <c r="E1987" s="95">
        <v>43525</v>
      </c>
      <c r="F1987" s="2">
        <f t="shared" si="432"/>
        <v>47178</v>
      </c>
      <c r="G1987" s="6">
        <v>80.25</v>
      </c>
      <c r="H1987" s="93" t="s">
        <v>1121</v>
      </c>
      <c r="I1987" s="93" t="s">
        <v>86</v>
      </c>
      <c r="J1987" s="184"/>
      <c r="K1987" s="192">
        <v>2029</v>
      </c>
      <c r="L1987" s="399" t="s">
        <v>7628</v>
      </c>
      <c r="M1987" s="301" t="s">
        <v>7616</v>
      </c>
      <c r="N1987" s="166" t="s">
        <v>7429</v>
      </c>
      <c r="O1987" s="166" t="s">
        <v>7453</v>
      </c>
      <c r="Q1987" s="234" t="s">
        <v>7454</v>
      </c>
      <c r="R1987" s="75">
        <v>448.5</v>
      </c>
      <c r="S1987" s="75">
        <f t="shared" si="466"/>
        <v>0</v>
      </c>
      <c r="T1987" s="75">
        <f>162+165+121.5</f>
        <v>448.5</v>
      </c>
      <c r="U1987" s="200">
        <v>121.5</v>
      </c>
      <c r="V1987" s="75"/>
      <c r="W1987" s="75"/>
      <c r="X1987" s="200"/>
      <c r="Z1987" s="31"/>
      <c r="AA1987" s="223"/>
    </row>
    <row r="1988" spans="1:28" ht="26.25" hidden="1" x14ac:dyDescent="0.25">
      <c r="A1988" s="315" t="s">
        <v>7421</v>
      </c>
      <c r="B1988" s="93" t="str">
        <f t="shared" si="448"/>
        <v>YES</v>
      </c>
      <c r="C1988" s="93" t="s">
        <v>5503</v>
      </c>
      <c r="D1988" s="95">
        <v>43447</v>
      </c>
      <c r="E1988" s="95">
        <v>43525</v>
      </c>
      <c r="F1988" s="2">
        <f t="shared" si="432"/>
        <v>47178</v>
      </c>
      <c r="G1988" s="6">
        <v>36.700000000000003</v>
      </c>
      <c r="H1988" s="93" t="s">
        <v>1121</v>
      </c>
      <c r="I1988" s="93" t="s">
        <v>86</v>
      </c>
      <c r="J1988" s="184"/>
      <c r="K1988" s="192">
        <v>2029</v>
      </c>
      <c r="L1988" s="399" t="s">
        <v>6067</v>
      </c>
      <c r="M1988" s="301" t="s">
        <v>7620</v>
      </c>
      <c r="N1988" s="166" t="s">
        <v>7455</v>
      </c>
      <c r="O1988" s="166" t="s">
        <v>7456</v>
      </c>
      <c r="Q1988" s="234" t="s">
        <v>7457</v>
      </c>
      <c r="R1988" s="75">
        <v>294.5</v>
      </c>
      <c r="S1988" s="75">
        <f t="shared" si="466"/>
        <v>0</v>
      </c>
      <c r="T1988" s="75">
        <f>74+165+55.5</f>
        <v>294.5</v>
      </c>
      <c r="U1988" s="200">
        <v>55.5</v>
      </c>
      <c r="V1988" s="75"/>
      <c r="W1988" s="75"/>
      <c r="X1988" s="200"/>
      <c r="Z1988" s="31"/>
      <c r="AA1988" s="223"/>
    </row>
    <row r="1989" spans="1:28" ht="26.25" hidden="1" x14ac:dyDescent="0.25">
      <c r="A1989" s="315" t="s">
        <v>7422</v>
      </c>
      <c r="B1989" s="93" t="str">
        <f t="shared" si="448"/>
        <v>YES</v>
      </c>
      <c r="C1989" s="93" t="s">
        <v>5503</v>
      </c>
      <c r="D1989" s="95">
        <v>43447</v>
      </c>
      <c r="E1989" s="95">
        <v>43525</v>
      </c>
      <c r="F1989" s="2">
        <f t="shared" si="432"/>
        <v>47178</v>
      </c>
      <c r="G1989" s="6">
        <v>40.65</v>
      </c>
      <c r="H1989" s="93" t="s">
        <v>376</v>
      </c>
      <c r="I1989" s="93" t="s">
        <v>86</v>
      </c>
      <c r="J1989" s="184"/>
      <c r="K1989" s="192">
        <v>2029</v>
      </c>
      <c r="L1989" s="399" t="s">
        <v>6003</v>
      </c>
      <c r="M1989" s="301" t="s">
        <v>5690</v>
      </c>
      <c r="N1989" s="166" t="s">
        <v>7458</v>
      </c>
      <c r="O1989" s="166" t="s">
        <v>7459</v>
      </c>
      <c r="Q1989" s="234" t="s">
        <v>7460</v>
      </c>
      <c r="R1989" s="75">
        <v>308.5</v>
      </c>
      <c r="S1989" s="75">
        <f t="shared" si="466"/>
        <v>0</v>
      </c>
      <c r="T1989" s="75">
        <f>82+165+61.5</f>
        <v>308.5</v>
      </c>
      <c r="U1989" s="200">
        <v>61.5</v>
      </c>
      <c r="V1989" s="75"/>
      <c r="W1989" s="75"/>
      <c r="X1989" s="200"/>
      <c r="Z1989" s="31"/>
      <c r="AA1989" s="223"/>
      <c r="AB1989" s="312" t="s">
        <v>7670</v>
      </c>
    </row>
    <row r="1990" spans="1:28" ht="26.25" hidden="1" x14ac:dyDescent="0.25">
      <c r="A1990" s="315" t="s">
        <v>7423</v>
      </c>
      <c r="B1990" s="93" t="str">
        <f t="shared" si="448"/>
        <v>YES</v>
      </c>
      <c r="C1990" s="93" t="s">
        <v>5503</v>
      </c>
      <c r="D1990" s="95">
        <v>43447</v>
      </c>
      <c r="E1990" s="95">
        <v>43525</v>
      </c>
      <c r="F1990" s="2">
        <f t="shared" si="432"/>
        <v>47178</v>
      </c>
      <c r="G1990" s="6">
        <v>163.37</v>
      </c>
      <c r="H1990" s="93" t="s">
        <v>1121</v>
      </c>
      <c r="I1990" s="93" t="s">
        <v>86</v>
      </c>
      <c r="J1990" s="184"/>
      <c r="K1990" s="192">
        <v>2029</v>
      </c>
      <c r="L1990" s="399" t="s">
        <v>6067</v>
      </c>
      <c r="M1990" s="301" t="s">
        <v>7616</v>
      </c>
      <c r="N1990" s="166" t="s">
        <v>7461</v>
      </c>
      <c r="O1990" s="166" t="s">
        <v>7462</v>
      </c>
      <c r="Q1990" s="234" t="s">
        <v>7463</v>
      </c>
      <c r="R1990" s="75">
        <v>739</v>
      </c>
      <c r="S1990" s="75">
        <f t="shared" si="466"/>
        <v>0</v>
      </c>
      <c r="T1990" s="75">
        <f>328+165+246</f>
        <v>739</v>
      </c>
      <c r="U1990" s="200">
        <v>246</v>
      </c>
      <c r="V1990" s="75"/>
      <c r="W1990" s="75"/>
      <c r="X1990" s="200"/>
      <c r="Z1990" s="31"/>
      <c r="AA1990" s="223"/>
    </row>
    <row r="1991" spans="1:28" ht="26.25" hidden="1" x14ac:dyDescent="0.25">
      <c r="A1991" s="315" t="s">
        <v>7424</v>
      </c>
      <c r="B1991" s="93" t="str">
        <f t="shared" si="448"/>
        <v>YES</v>
      </c>
      <c r="C1991" s="93" t="s">
        <v>5503</v>
      </c>
      <c r="D1991" s="95">
        <v>43447</v>
      </c>
      <c r="E1991" s="95">
        <v>43525</v>
      </c>
      <c r="F1991" s="2">
        <f t="shared" si="432"/>
        <v>47178</v>
      </c>
      <c r="G1991" s="6">
        <v>77.22</v>
      </c>
      <c r="H1991" s="93" t="s">
        <v>85</v>
      </c>
      <c r="I1991" s="93" t="s">
        <v>86</v>
      </c>
      <c r="J1991" s="184"/>
      <c r="K1991" s="192">
        <v>2029</v>
      </c>
      <c r="L1991" s="399" t="s">
        <v>7628</v>
      </c>
      <c r="M1991" s="301" t="s">
        <v>7621</v>
      </c>
      <c r="N1991" s="166" t="s">
        <v>7464</v>
      </c>
      <c r="O1991" s="166" t="s">
        <v>7465</v>
      </c>
      <c r="Q1991" s="234" t="s">
        <v>7466</v>
      </c>
      <c r="R1991" s="75">
        <v>438</v>
      </c>
      <c r="S1991" s="75">
        <f t="shared" si="466"/>
        <v>0</v>
      </c>
      <c r="T1991" s="75">
        <f>156+165+117</f>
        <v>438</v>
      </c>
      <c r="U1991" s="200">
        <v>117</v>
      </c>
      <c r="V1991" s="75"/>
      <c r="W1991" s="75"/>
      <c r="X1991" s="200"/>
      <c r="Z1991" s="31"/>
      <c r="AA1991" s="223"/>
      <c r="AB1991" s="312" t="s">
        <v>7668</v>
      </c>
    </row>
    <row r="1992" spans="1:28" hidden="1" x14ac:dyDescent="0.25">
      <c r="A1992" s="315" t="s">
        <v>7425</v>
      </c>
      <c r="B1992" s="93" t="str">
        <f t="shared" si="448"/>
        <v>YES</v>
      </c>
      <c r="C1992" s="93" t="s">
        <v>5503</v>
      </c>
      <c r="D1992" s="95">
        <v>43447</v>
      </c>
      <c r="E1992" s="95">
        <v>43525</v>
      </c>
      <c r="F1992" s="2">
        <f t="shared" si="432"/>
        <v>47178</v>
      </c>
      <c r="G1992" s="6">
        <v>79.97</v>
      </c>
      <c r="H1992" s="93" t="s">
        <v>684</v>
      </c>
      <c r="I1992" s="93" t="s">
        <v>86</v>
      </c>
      <c r="J1992" s="184"/>
      <c r="K1992" s="192">
        <v>2029</v>
      </c>
      <c r="L1992" s="399" t="s">
        <v>7629</v>
      </c>
      <c r="M1992" s="301" t="s">
        <v>7622</v>
      </c>
      <c r="N1992" s="166" t="s">
        <v>7482</v>
      </c>
      <c r="O1992" s="166" t="s">
        <v>7467</v>
      </c>
      <c r="Q1992" s="234" t="s">
        <v>7468</v>
      </c>
      <c r="R1992" s="75">
        <v>445</v>
      </c>
      <c r="S1992" s="75">
        <f t="shared" si="466"/>
        <v>0</v>
      </c>
      <c r="T1992" s="75">
        <f>160+165+120</f>
        <v>445</v>
      </c>
      <c r="U1992" s="200">
        <v>120</v>
      </c>
      <c r="V1992" s="75"/>
      <c r="W1992" s="75"/>
      <c r="X1992" s="200"/>
      <c r="Z1992" s="31"/>
      <c r="AA1992" s="223"/>
      <c r="AB1992" s="312" t="s">
        <v>7667</v>
      </c>
    </row>
    <row r="1993" spans="1:28" hidden="1" x14ac:dyDescent="0.25">
      <c r="A1993" s="316"/>
      <c r="D1993" s="95"/>
      <c r="E1993" s="95"/>
      <c r="F1993" s="2"/>
      <c r="G1993" s="6"/>
      <c r="I1993" s="93"/>
      <c r="J1993" s="184"/>
      <c r="K1993" s="192"/>
      <c r="L1993" s="393"/>
      <c r="M1993" s="393"/>
      <c r="Q1993" s="234"/>
      <c r="R1993" s="75"/>
      <c r="S1993" s="75"/>
      <c r="T1993" s="75"/>
      <c r="U1993" s="200"/>
      <c r="V1993" s="75"/>
      <c r="W1993" s="75"/>
      <c r="X1993" s="200"/>
      <c r="Z1993" s="31"/>
      <c r="AA1993" s="223"/>
    </row>
    <row r="1994" spans="1:28" hidden="1" x14ac:dyDescent="0.25">
      <c r="A1994" s="316"/>
      <c r="D1994" s="95"/>
      <c r="E1994" s="95"/>
      <c r="F1994" s="2"/>
      <c r="G1994" s="6"/>
      <c r="I1994" s="93"/>
      <c r="J1994" s="184"/>
      <c r="K1994" s="192"/>
      <c r="L1994" s="393"/>
      <c r="M1994" s="393"/>
      <c r="Q1994" s="234"/>
      <c r="R1994" s="75"/>
      <c r="S1994" s="75"/>
      <c r="T1994" s="75"/>
      <c r="U1994" s="200"/>
      <c r="V1994" s="75"/>
      <c r="W1994" s="75"/>
      <c r="X1994" s="200"/>
      <c r="Z1994" s="31"/>
      <c r="AA1994" s="223"/>
    </row>
    <row r="1995" spans="1:28" hidden="1" x14ac:dyDescent="0.25">
      <c r="A1995" s="316"/>
      <c r="D1995" s="95"/>
      <c r="E1995" s="95"/>
      <c r="F1995" s="2"/>
      <c r="G1995" s="6"/>
      <c r="I1995" s="93"/>
      <c r="J1995" s="184"/>
      <c r="K1995" s="192"/>
      <c r="L1995" s="393"/>
      <c r="M1995" s="393"/>
      <c r="Q1995" s="234"/>
      <c r="R1995" s="75"/>
      <c r="S1995" s="75"/>
      <c r="T1995" s="75"/>
      <c r="U1995" s="200"/>
      <c r="V1995" s="75"/>
      <c r="W1995" s="75"/>
      <c r="X1995" s="200"/>
      <c r="Z1995" s="31"/>
      <c r="AA1995" s="223"/>
    </row>
    <row r="1996" spans="1:28" ht="26.25" hidden="1" x14ac:dyDescent="0.25">
      <c r="A1996" s="315" t="s">
        <v>7469</v>
      </c>
      <c r="B1996" s="93" t="str">
        <f t="shared" si="448"/>
        <v>YES</v>
      </c>
      <c r="C1996" s="93" t="s">
        <v>5503</v>
      </c>
      <c r="D1996" s="95">
        <v>43447</v>
      </c>
      <c r="E1996" s="95">
        <v>43525</v>
      </c>
      <c r="F1996" s="2">
        <f t="shared" si="432"/>
        <v>47178</v>
      </c>
      <c r="G1996" s="6">
        <v>40</v>
      </c>
      <c r="H1996" s="93" t="s">
        <v>1675</v>
      </c>
      <c r="I1996" s="402" t="s">
        <v>1050</v>
      </c>
      <c r="J1996" s="184"/>
      <c r="K1996" s="192">
        <v>2029</v>
      </c>
      <c r="L1996" s="393" t="s">
        <v>7630</v>
      </c>
      <c r="M1996" s="390" t="s">
        <v>7623</v>
      </c>
      <c r="N1996" s="166" t="s">
        <v>7474</v>
      </c>
      <c r="O1996" s="166" t="s">
        <v>7472</v>
      </c>
      <c r="Q1996" s="234" t="s">
        <v>7473</v>
      </c>
      <c r="R1996" s="75">
        <v>305</v>
      </c>
      <c r="S1996" s="75">
        <f t="shared" si="466"/>
        <v>80</v>
      </c>
      <c r="T1996" s="75">
        <f>160+165+60</f>
        <v>385</v>
      </c>
      <c r="U1996" s="200">
        <v>60</v>
      </c>
      <c r="V1996" s="75"/>
      <c r="W1996" s="75"/>
      <c r="X1996" s="200"/>
      <c r="Z1996" s="31"/>
      <c r="AA1996" s="223"/>
      <c r="AB1996" s="312" t="s">
        <v>7829</v>
      </c>
    </row>
    <row r="1997" spans="1:28" hidden="1" x14ac:dyDescent="0.25">
      <c r="A1997" s="315"/>
      <c r="D1997" s="95"/>
      <c r="E1997" s="95"/>
      <c r="F1997" s="2"/>
      <c r="G1997" s="6"/>
      <c r="I1997" s="93"/>
      <c r="J1997" s="184"/>
      <c r="K1997" s="192"/>
      <c r="L1997" s="393"/>
      <c r="M1997" s="393"/>
      <c r="Q1997" s="234"/>
      <c r="R1997" s="75"/>
      <c r="S1997" s="75"/>
      <c r="T1997" s="75"/>
      <c r="U1997" s="200"/>
      <c r="V1997" s="75"/>
      <c r="W1997" s="75"/>
      <c r="X1997" s="200"/>
      <c r="Z1997" s="31"/>
      <c r="AA1997" s="223"/>
    </row>
    <row r="1998" spans="1:28" hidden="1" x14ac:dyDescent="0.25">
      <c r="A1998" s="316"/>
      <c r="D1998" s="95"/>
      <c r="E1998" s="95"/>
      <c r="F1998" s="2"/>
      <c r="G1998" s="6"/>
      <c r="I1998" s="93"/>
      <c r="J1998" s="184"/>
      <c r="K1998" s="192"/>
      <c r="L1998" s="393"/>
      <c r="M1998" s="393"/>
      <c r="Q1998" s="234"/>
      <c r="R1998" s="75"/>
      <c r="S1998" s="75"/>
      <c r="T1998" s="75"/>
      <c r="U1998" s="200"/>
      <c r="V1998" s="75"/>
      <c r="W1998" s="75"/>
      <c r="X1998" s="200"/>
      <c r="Z1998" s="31"/>
      <c r="AA1998" s="223"/>
    </row>
    <row r="1999" spans="1:28" hidden="1" x14ac:dyDescent="0.25">
      <c r="A1999" s="316"/>
      <c r="D1999" s="95"/>
      <c r="E1999" s="95"/>
      <c r="F1999" s="2"/>
      <c r="G1999" s="6"/>
      <c r="I1999" s="93"/>
      <c r="J1999" s="184"/>
      <c r="K1999" s="192"/>
      <c r="L1999" s="393"/>
      <c r="M1999" s="393"/>
      <c r="Q1999" s="234"/>
      <c r="R1999" s="75"/>
      <c r="S1999" s="75"/>
      <c r="T1999" s="75"/>
      <c r="U1999" s="200"/>
      <c r="V1999" s="75"/>
      <c r="W1999" s="75"/>
      <c r="X1999" s="200"/>
      <c r="Z1999" s="31"/>
      <c r="AA1999" s="223"/>
    </row>
    <row r="2000" spans="1:28" hidden="1" x14ac:dyDescent="0.25">
      <c r="A2000" s="315" t="s">
        <v>7470</v>
      </c>
      <c r="B2000" s="93" t="str">
        <f t="shared" si="448"/>
        <v>YES</v>
      </c>
      <c r="C2000" s="93" t="s">
        <v>5503</v>
      </c>
      <c r="D2000" s="95">
        <v>43447</v>
      </c>
      <c r="E2000" s="95">
        <v>43525</v>
      </c>
      <c r="F2000" s="2">
        <f t="shared" si="432"/>
        <v>47178</v>
      </c>
      <c r="G2000" s="6">
        <v>40.06</v>
      </c>
      <c r="H2000" s="93" t="s">
        <v>2747</v>
      </c>
      <c r="I2000" s="93" t="s">
        <v>2748</v>
      </c>
      <c r="J2000" s="184"/>
      <c r="K2000" s="192">
        <v>2029</v>
      </c>
      <c r="L2000" s="393" t="s">
        <v>7629</v>
      </c>
      <c r="M2000" s="390" t="s">
        <v>7619</v>
      </c>
      <c r="N2000" s="166" t="s">
        <v>7475</v>
      </c>
      <c r="O2000" s="166" t="s">
        <v>7476</v>
      </c>
      <c r="Q2000" s="234" t="s">
        <v>7477</v>
      </c>
      <c r="R2000" s="75">
        <v>308.5</v>
      </c>
      <c r="S2000" s="75">
        <f t="shared" si="466"/>
        <v>8159</v>
      </c>
      <c r="T2000" s="75">
        <f>8241+165+61.5</f>
        <v>8467.5</v>
      </c>
      <c r="U2000" s="200">
        <v>61.5</v>
      </c>
      <c r="V2000" s="75"/>
      <c r="W2000" s="75"/>
      <c r="X2000" s="200"/>
      <c r="Z2000" s="31"/>
      <c r="AA2000" s="223"/>
      <c r="AB2000" s="312" t="s">
        <v>7854</v>
      </c>
    </row>
    <row r="2001" spans="1:31" ht="26.25" hidden="1" x14ac:dyDescent="0.25">
      <c r="A2001" s="315" t="s">
        <v>7471</v>
      </c>
      <c r="B2001" s="93" t="str">
        <f t="shared" si="448"/>
        <v>YES</v>
      </c>
      <c r="C2001" s="93" t="s">
        <v>5503</v>
      </c>
      <c r="D2001" s="95">
        <v>43447</v>
      </c>
      <c r="E2001" s="95">
        <v>43525</v>
      </c>
      <c r="F2001" s="2">
        <f t="shared" si="432"/>
        <v>47178</v>
      </c>
      <c r="G2001" s="6">
        <v>35</v>
      </c>
      <c r="H2001" s="93" t="s">
        <v>2747</v>
      </c>
      <c r="I2001" s="93" t="s">
        <v>2748</v>
      </c>
      <c r="J2001" s="184"/>
      <c r="K2001" s="192">
        <v>2029</v>
      </c>
      <c r="L2001" s="393" t="s">
        <v>7631</v>
      </c>
      <c r="M2001" s="390" t="s">
        <v>7618</v>
      </c>
      <c r="N2001" s="166" t="s">
        <v>7478</v>
      </c>
      <c r="O2001" s="166" t="s">
        <v>7479</v>
      </c>
      <c r="Q2001" s="234" t="s">
        <v>7480</v>
      </c>
      <c r="R2001" s="75">
        <v>287.5</v>
      </c>
      <c r="S2001" s="75">
        <f t="shared" si="466"/>
        <v>6965</v>
      </c>
      <c r="T2001" s="75">
        <f>7035+165+52.5</f>
        <v>7252.5</v>
      </c>
      <c r="U2001" s="200">
        <v>52.5</v>
      </c>
      <c r="V2001" s="75"/>
      <c r="W2001" s="75"/>
      <c r="X2001" s="200"/>
      <c r="Z2001" s="31"/>
      <c r="AA2001" s="223"/>
      <c r="AB2001" s="312" t="s">
        <v>7854</v>
      </c>
    </row>
    <row r="2002" spans="1:31" ht="15.75" hidden="1" thickBot="1" x14ac:dyDescent="0.3">
      <c r="A2002" s="316"/>
      <c r="F2002" s="2"/>
      <c r="G2002" s="6"/>
      <c r="I2002" s="93"/>
      <c r="J2002" s="184"/>
      <c r="K2002" s="184"/>
      <c r="L2002" s="387"/>
      <c r="M2002" s="387"/>
      <c r="Q2002" s="234"/>
      <c r="R2002" s="76">
        <f>SUM(R1976:R2001)</f>
        <v>9070</v>
      </c>
      <c r="S2002" s="76">
        <f t="shared" ref="S2002:T2002" si="467">SUM(S1976:S2001)</f>
        <v>15204</v>
      </c>
      <c r="T2002" s="76">
        <f t="shared" si="467"/>
        <v>24274</v>
      </c>
      <c r="U2002" s="200"/>
      <c r="V2002" s="75"/>
      <c r="W2002" s="75"/>
      <c r="X2002" s="200"/>
      <c r="Z2002" s="31"/>
      <c r="AA2002" s="223"/>
    </row>
    <row r="2003" spans="1:31" hidden="1" x14ac:dyDescent="0.25">
      <c r="A2003" s="316"/>
      <c r="F2003" s="2"/>
      <c r="G2003" s="6"/>
      <c r="I2003" s="93"/>
      <c r="J2003" s="184"/>
      <c r="K2003" s="184"/>
      <c r="L2003" s="393"/>
      <c r="M2003" s="393"/>
      <c r="Q2003" s="234"/>
      <c r="R2003" s="75"/>
      <c r="S2003" s="75"/>
      <c r="T2003" s="75"/>
      <c r="U2003" s="200"/>
      <c r="V2003" s="75"/>
      <c r="W2003" s="75"/>
      <c r="X2003" s="200"/>
      <c r="Z2003" s="31"/>
      <c r="AA2003" s="223"/>
    </row>
    <row r="2004" spans="1:31" hidden="1" x14ac:dyDescent="0.25">
      <c r="A2004" s="316"/>
      <c r="F2004" s="2"/>
      <c r="G2004" s="6"/>
      <c r="I2004" s="93"/>
      <c r="J2004" s="184"/>
      <c r="K2004" s="184"/>
      <c r="L2004" s="393"/>
      <c r="M2004" s="393"/>
      <c r="Q2004" s="234"/>
      <c r="R2004" s="75"/>
      <c r="S2004" s="75"/>
      <c r="T2004" s="75"/>
      <c r="U2004" s="200"/>
      <c r="V2004" s="75"/>
      <c r="W2004" s="75"/>
      <c r="X2004" s="200"/>
      <c r="Z2004" s="31"/>
      <c r="AA2004" s="223"/>
    </row>
    <row r="2005" spans="1:31" hidden="1" x14ac:dyDescent="0.25">
      <c r="A2005" s="315" t="s">
        <v>7672</v>
      </c>
      <c r="B2005" s="93" t="str">
        <f t="shared" si="448"/>
        <v>YES</v>
      </c>
      <c r="C2005" s="93" t="s">
        <v>5503</v>
      </c>
      <c r="D2005" s="95">
        <v>43543</v>
      </c>
      <c r="E2005" s="96">
        <v>43617</v>
      </c>
      <c r="F2005" s="2">
        <f t="shared" si="432"/>
        <v>47270</v>
      </c>
      <c r="G2005" s="6">
        <v>437.17</v>
      </c>
      <c r="H2005" s="93" t="s">
        <v>5436</v>
      </c>
      <c r="I2005" s="93" t="s">
        <v>5437</v>
      </c>
      <c r="J2005" s="184"/>
      <c r="K2005" s="192">
        <v>2029</v>
      </c>
      <c r="L2005" s="393" t="s">
        <v>7631</v>
      </c>
      <c r="M2005" s="393" t="s">
        <v>7685</v>
      </c>
      <c r="N2005" s="166" t="s">
        <v>7686</v>
      </c>
      <c r="O2005" s="166" t="s">
        <v>7687</v>
      </c>
      <c r="Q2005" s="234" t="s">
        <v>7688</v>
      </c>
      <c r="R2005" s="75">
        <v>1698</v>
      </c>
      <c r="S2005" s="75">
        <f>T2005-R2005</f>
        <v>10950</v>
      </c>
      <c r="T2005" s="75">
        <f>11826+165+657</f>
        <v>12648</v>
      </c>
      <c r="U2005" s="200">
        <v>657</v>
      </c>
      <c r="V2005" s="75"/>
      <c r="W2005" s="75"/>
      <c r="X2005" s="200"/>
      <c r="Z2005" s="31"/>
      <c r="AA2005" s="223"/>
      <c r="AB2005" s="312" t="s">
        <v>7912</v>
      </c>
      <c r="AC2005" s="310">
        <v>43703</v>
      </c>
      <c r="AD2005" s="311">
        <v>0.2</v>
      </c>
      <c r="AE2005" s="312" t="s">
        <v>7920</v>
      </c>
    </row>
    <row r="2006" spans="1:31" ht="39" hidden="1" x14ac:dyDescent="0.25">
      <c r="A2006" s="315" t="s">
        <v>7673</v>
      </c>
      <c r="B2006" s="93" t="str">
        <f t="shared" si="448"/>
        <v>YES</v>
      </c>
      <c r="C2006" s="93" t="s">
        <v>5503</v>
      </c>
      <c r="D2006" s="95">
        <v>43543</v>
      </c>
      <c r="E2006" s="96">
        <v>43617</v>
      </c>
      <c r="F2006" s="2">
        <f t="shared" si="432"/>
        <v>47270</v>
      </c>
      <c r="G2006" s="6">
        <v>487.19</v>
      </c>
      <c r="H2006" s="93" t="s">
        <v>5436</v>
      </c>
      <c r="I2006" s="93" t="s">
        <v>5437</v>
      </c>
      <c r="J2006" s="184"/>
      <c r="K2006" s="192">
        <v>2029</v>
      </c>
      <c r="L2006" s="393" t="s">
        <v>7689</v>
      </c>
      <c r="M2006" s="393" t="s">
        <v>7685</v>
      </c>
      <c r="N2006" s="166" t="s">
        <v>7690</v>
      </c>
      <c r="O2006" s="166" t="s">
        <v>7691</v>
      </c>
      <c r="P2006" s="283" t="s">
        <v>7692</v>
      </c>
      <c r="Q2006" s="234" t="s">
        <v>7693</v>
      </c>
      <c r="R2006" s="75">
        <v>1873</v>
      </c>
      <c r="S2006" s="75">
        <f t="shared" ref="S2006:S2014" si="468">T2006-R2006</f>
        <v>12200</v>
      </c>
      <c r="T2006" s="75">
        <f>13176+165+732</f>
        <v>14073</v>
      </c>
      <c r="U2006" s="200">
        <v>732</v>
      </c>
      <c r="V2006" s="75"/>
      <c r="W2006" s="75"/>
      <c r="X2006" s="200"/>
      <c r="Z2006" s="31"/>
      <c r="AA2006" s="223"/>
      <c r="AB2006" s="312" t="s">
        <v>7912</v>
      </c>
      <c r="AC2006" s="310">
        <v>43703</v>
      </c>
      <c r="AD2006" s="311">
        <v>0.2</v>
      </c>
      <c r="AE2006" s="312" t="s">
        <v>7920</v>
      </c>
    </row>
    <row r="2007" spans="1:31" hidden="1" x14ac:dyDescent="0.25">
      <c r="A2007" s="315" t="s">
        <v>7674</v>
      </c>
      <c r="B2007" s="93" t="str">
        <f t="shared" si="448"/>
        <v>YES</v>
      </c>
      <c r="C2007" s="93" t="s">
        <v>5503</v>
      </c>
      <c r="D2007" s="95">
        <v>43543</v>
      </c>
      <c r="E2007" s="96">
        <v>43617</v>
      </c>
      <c r="F2007" s="2">
        <f t="shared" si="432"/>
        <v>47270</v>
      </c>
      <c r="G2007" s="6">
        <v>163.41</v>
      </c>
      <c r="H2007" s="93" t="s">
        <v>5436</v>
      </c>
      <c r="I2007" s="93" t="s">
        <v>5437</v>
      </c>
      <c r="J2007" s="184"/>
      <c r="K2007" s="192">
        <v>2029</v>
      </c>
      <c r="L2007" s="393" t="s">
        <v>7631</v>
      </c>
      <c r="M2007" s="393" t="s">
        <v>7685</v>
      </c>
      <c r="N2007" s="166" t="s">
        <v>7686</v>
      </c>
      <c r="O2007" s="166" t="s">
        <v>7694</v>
      </c>
      <c r="Q2007" s="234" t="s">
        <v>7695</v>
      </c>
      <c r="R2007" s="75">
        <v>739</v>
      </c>
      <c r="S2007" s="75">
        <f t="shared" si="468"/>
        <v>6396</v>
      </c>
      <c r="T2007" s="75">
        <f>6724+165+246</f>
        <v>7135</v>
      </c>
      <c r="U2007" s="200">
        <v>246</v>
      </c>
      <c r="V2007" s="75"/>
      <c r="W2007" s="75"/>
      <c r="X2007" s="200"/>
      <c r="Z2007" s="31"/>
      <c r="AA2007" s="223"/>
      <c r="AB2007" s="312" t="s">
        <v>7912</v>
      </c>
      <c r="AC2007" s="310">
        <v>43703</v>
      </c>
      <c r="AD2007" s="311">
        <v>0.2</v>
      </c>
      <c r="AE2007" s="312" t="s">
        <v>7920</v>
      </c>
    </row>
    <row r="2008" spans="1:31" hidden="1" x14ac:dyDescent="0.25">
      <c r="A2008" s="315" t="s">
        <v>7675</v>
      </c>
      <c r="B2008" s="93" t="str">
        <f t="shared" si="448"/>
        <v>YES</v>
      </c>
      <c r="C2008" s="93" t="s">
        <v>5503</v>
      </c>
      <c r="D2008" s="95">
        <v>43543</v>
      </c>
      <c r="E2008" s="96">
        <v>43617</v>
      </c>
      <c r="F2008" s="2">
        <f t="shared" si="432"/>
        <v>47270</v>
      </c>
      <c r="G2008" s="6">
        <v>81.88</v>
      </c>
      <c r="H2008" s="93" t="s">
        <v>5436</v>
      </c>
      <c r="I2008" s="93" t="s">
        <v>5437</v>
      </c>
      <c r="J2008" s="184"/>
      <c r="K2008" s="192">
        <v>2029</v>
      </c>
      <c r="L2008" s="393" t="s">
        <v>7631</v>
      </c>
      <c r="M2008" s="393" t="s">
        <v>7685</v>
      </c>
      <c r="N2008" s="166" t="s">
        <v>7686</v>
      </c>
      <c r="O2008" s="166" t="s">
        <v>7696</v>
      </c>
      <c r="Q2008" s="234" t="s">
        <v>7697</v>
      </c>
      <c r="R2008" s="75">
        <v>452</v>
      </c>
      <c r="S2008" s="75">
        <f t="shared" si="468"/>
        <v>3854</v>
      </c>
      <c r="T2008" s="75">
        <f>4018+165+123</f>
        <v>4306</v>
      </c>
      <c r="U2008" s="200">
        <v>123</v>
      </c>
      <c r="V2008" s="75"/>
      <c r="W2008" s="75"/>
      <c r="X2008" s="200"/>
      <c r="Z2008" s="31"/>
      <c r="AA2008" s="223"/>
      <c r="AB2008" s="312" t="s">
        <v>7912</v>
      </c>
      <c r="AC2008" s="310">
        <v>43703</v>
      </c>
      <c r="AD2008" s="311">
        <v>0.2</v>
      </c>
      <c r="AE2008" s="312" t="s">
        <v>7920</v>
      </c>
    </row>
    <row r="2009" spans="1:31" hidden="1" x14ac:dyDescent="0.25">
      <c r="A2009" s="315" t="s">
        <v>7676</v>
      </c>
      <c r="B2009" s="93" t="str">
        <f t="shared" si="448"/>
        <v>YES</v>
      </c>
      <c r="C2009" s="93" t="s">
        <v>5503</v>
      </c>
      <c r="D2009" s="95">
        <v>43543</v>
      </c>
      <c r="E2009" s="96">
        <v>43617</v>
      </c>
      <c r="F2009" s="2">
        <f t="shared" si="432"/>
        <v>47270</v>
      </c>
      <c r="G2009" s="6">
        <v>81.150000000000006</v>
      </c>
      <c r="H2009" s="93" t="s">
        <v>5436</v>
      </c>
      <c r="I2009" s="93" t="s">
        <v>5437</v>
      </c>
      <c r="J2009" s="184"/>
      <c r="K2009" s="192">
        <v>2029</v>
      </c>
      <c r="L2009" s="393" t="s">
        <v>7631</v>
      </c>
      <c r="M2009" s="393" t="s">
        <v>7685</v>
      </c>
      <c r="N2009" s="166" t="s">
        <v>7686</v>
      </c>
      <c r="O2009" s="166" t="s">
        <v>7698</v>
      </c>
      <c r="Q2009" s="234" t="s">
        <v>7699</v>
      </c>
      <c r="R2009" s="75">
        <v>452</v>
      </c>
      <c r="S2009" s="75">
        <f t="shared" si="468"/>
        <v>4018</v>
      </c>
      <c r="T2009" s="75">
        <f>4182+165+123</f>
        <v>4470</v>
      </c>
      <c r="U2009" s="200">
        <v>123</v>
      </c>
      <c r="V2009" s="75"/>
      <c r="W2009" s="75"/>
      <c r="X2009" s="200"/>
      <c r="Z2009" s="31"/>
      <c r="AA2009" s="223"/>
      <c r="AB2009" s="312" t="s">
        <v>7912</v>
      </c>
      <c r="AC2009" s="310">
        <v>43703</v>
      </c>
      <c r="AD2009" s="311">
        <v>0.2</v>
      </c>
      <c r="AE2009" s="312" t="s">
        <v>7920</v>
      </c>
    </row>
    <row r="2010" spans="1:31" s="353" customFormat="1" ht="27" hidden="1" x14ac:dyDescent="0.25">
      <c r="A2010" s="315" t="s">
        <v>7677</v>
      </c>
      <c r="B2010" s="352" t="str">
        <f t="shared" si="448"/>
        <v>YES</v>
      </c>
      <c r="C2010" s="352" t="s">
        <v>5503</v>
      </c>
      <c r="D2010" s="354">
        <v>43543</v>
      </c>
      <c r="E2010" s="373">
        <v>43617</v>
      </c>
      <c r="F2010" s="355">
        <f t="shared" si="432"/>
        <v>47270</v>
      </c>
      <c r="G2010" s="374">
        <v>1068.57</v>
      </c>
      <c r="H2010" s="352" t="s">
        <v>7682</v>
      </c>
      <c r="I2010" s="352" t="s">
        <v>5437</v>
      </c>
      <c r="J2010" s="375"/>
      <c r="K2010" s="376">
        <v>2029</v>
      </c>
      <c r="L2010" s="394" t="s">
        <v>7629</v>
      </c>
      <c r="M2010" s="394" t="s">
        <v>7700</v>
      </c>
      <c r="N2010" s="357" t="s">
        <v>7701</v>
      </c>
      <c r="O2010" s="357" t="s">
        <v>7702</v>
      </c>
      <c r="P2010" s="360"/>
      <c r="Q2010" s="377" t="s">
        <v>7703</v>
      </c>
      <c r="R2010" s="349">
        <v>3906.5</v>
      </c>
      <c r="S2010" s="349">
        <f t="shared" si="468"/>
        <v>65209</v>
      </c>
      <c r="T2010" s="349">
        <f>67347+165+1603.5</f>
        <v>69115.5</v>
      </c>
      <c r="U2010" s="365">
        <v>1603.5</v>
      </c>
      <c r="V2010" s="349"/>
      <c r="W2010" s="349"/>
      <c r="X2010" s="365"/>
      <c r="Y2010" s="352"/>
      <c r="Z2010" s="378"/>
      <c r="AA2010" s="379"/>
      <c r="AB2010" s="368" t="s">
        <v>7918</v>
      </c>
      <c r="AC2010" s="368"/>
      <c r="AD2010" s="368"/>
      <c r="AE2010" s="368"/>
    </row>
    <row r="2011" spans="1:31" s="353" customFormat="1" ht="26.25" hidden="1" x14ac:dyDescent="0.25">
      <c r="A2011" s="315" t="s">
        <v>7678</v>
      </c>
      <c r="B2011" s="352" t="str">
        <f t="shared" si="448"/>
        <v>YES</v>
      </c>
      <c r="C2011" s="352" t="s">
        <v>5503</v>
      </c>
      <c r="D2011" s="354">
        <v>43543</v>
      </c>
      <c r="E2011" s="373">
        <v>43617</v>
      </c>
      <c r="F2011" s="355">
        <f t="shared" si="432"/>
        <v>47270</v>
      </c>
      <c r="G2011" s="374">
        <v>784.47</v>
      </c>
      <c r="H2011" s="352" t="s">
        <v>7683</v>
      </c>
      <c r="I2011" s="352" t="s">
        <v>5437</v>
      </c>
      <c r="J2011" s="375"/>
      <c r="K2011" s="376">
        <v>2029</v>
      </c>
      <c r="L2011" s="394" t="s">
        <v>7629</v>
      </c>
      <c r="M2011" s="394" t="s">
        <v>7700</v>
      </c>
      <c r="N2011" s="357" t="s">
        <v>7701</v>
      </c>
      <c r="O2011" s="357" t="s">
        <v>7704</v>
      </c>
      <c r="P2011" s="360"/>
      <c r="Q2011" s="377" t="s">
        <v>7705</v>
      </c>
      <c r="R2011" s="349">
        <v>2912.5</v>
      </c>
      <c r="S2011" s="349">
        <f t="shared" si="468"/>
        <v>35325</v>
      </c>
      <c r="T2011" s="349">
        <f>36895+165+1177.5</f>
        <v>38237.5</v>
      </c>
      <c r="U2011" s="365">
        <v>1177.5</v>
      </c>
      <c r="V2011" s="349"/>
      <c r="W2011" s="349"/>
      <c r="X2011" s="365"/>
      <c r="Y2011" s="352"/>
      <c r="Z2011" s="378"/>
      <c r="AA2011" s="379"/>
      <c r="AB2011" s="368" t="s">
        <v>7917</v>
      </c>
      <c r="AC2011" s="368"/>
      <c r="AD2011" s="368"/>
      <c r="AE2011" s="368"/>
    </row>
    <row r="2012" spans="1:31" s="353" customFormat="1" hidden="1" x14ac:dyDescent="0.25">
      <c r="A2012" s="315" t="s">
        <v>7679</v>
      </c>
      <c r="B2012" s="352" t="str">
        <f t="shared" si="448"/>
        <v>YES</v>
      </c>
      <c r="C2012" s="352" t="s">
        <v>5503</v>
      </c>
      <c r="D2012" s="354">
        <v>43543</v>
      </c>
      <c r="E2012" s="373">
        <v>43617</v>
      </c>
      <c r="F2012" s="355">
        <f t="shared" si="432"/>
        <v>47270</v>
      </c>
      <c r="G2012" s="374">
        <v>680</v>
      </c>
      <c r="H2012" s="352" t="s">
        <v>7683</v>
      </c>
      <c r="I2012" s="352" t="s">
        <v>5437</v>
      </c>
      <c r="J2012" s="375"/>
      <c r="K2012" s="376">
        <v>2029</v>
      </c>
      <c r="L2012" s="394" t="s">
        <v>7629</v>
      </c>
      <c r="M2012" s="394" t="s">
        <v>7700</v>
      </c>
      <c r="N2012" s="357" t="s">
        <v>7701</v>
      </c>
      <c r="O2012" s="357" t="s">
        <v>7706</v>
      </c>
      <c r="P2012" s="360"/>
      <c r="Q2012" s="377" t="s">
        <v>7707</v>
      </c>
      <c r="R2012" s="349">
        <v>2545</v>
      </c>
      <c r="S2012" s="349">
        <f t="shared" si="468"/>
        <v>50320</v>
      </c>
      <c r="T2012" s="349">
        <f>51680+165+1020</f>
        <v>52865</v>
      </c>
      <c r="U2012" s="365">
        <v>1020</v>
      </c>
      <c r="V2012" s="349"/>
      <c r="W2012" s="349"/>
      <c r="X2012" s="365"/>
      <c r="Y2012" s="352"/>
      <c r="Z2012" s="378"/>
      <c r="AA2012" s="379"/>
      <c r="AB2012" s="368" t="s">
        <v>7917</v>
      </c>
      <c r="AC2012" s="368"/>
      <c r="AD2012" s="368"/>
      <c r="AE2012" s="368"/>
    </row>
    <row r="2013" spans="1:31" s="353" customFormat="1" hidden="1" x14ac:dyDescent="0.25">
      <c r="A2013" s="315" t="s">
        <v>7680</v>
      </c>
      <c r="B2013" s="352" t="str">
        <f t="shared" si="448"/>
        <v>YES</v>
      </c>
      <c r="C2013" s="352" t="s">
        <v>5503</v>
      </c>
      <c r="D2013" s="354">
        <v>43543</v>
      </c>
      <c r="E2013" s="373">
        <v>43617</v>
      </c>
      <c r="F2013" s="355">
        <f t="shared" si="432"/>
        <v>47270</v>
      </c>
      <c r="G2013" s="374">
        <v>160</v>
      </c>
      <c r="H2013" s="352" t="s">
        <v>1367</v>
      </c>
      <c r="I2013" s="352" t="s">
        <v>5437</v>
      </c>
      <c r="J2013" s="375"/>
      <c r="K2013" s="376">
        <v>2029</v>
      </c>
      <c r="L2013" s="394" t="s">
        <v>7708</v>
      </c>
      <c r="M2013" s="394" t="s">
        <v>7700</v>
      </c>
      <c r="N2013" s="357" t="s">
        <v>7709</v>
      </c>
      <c r="O2013" s="357" t="s">
        <v>7710</v>
      </c>
      <c r="P2013" s="360"/>
      <c r="Q2013" s="377" t="s">
        <v>7711</v>
      </c>
      <c r="R2013" s="349">
        <v>725</v>
      </c>
      <c r="S2013" s="349">
        <f t="shared" si="468"/>
        <v>31840</v>
      </c>
      <c r="T2013" s="349">
        <f>32160+165+240</f>
        <v>32565</v>
      </c>
      <c r="U2013" s="365">
        <v>240</v>
      </c>
      <c r="V2013" s="349"/>
      <c r="W2013" s="349"/>
      <c r="X2013" s="365"/>
      <c r="Y2013" s="352"/>
      <c r="Z2013" s="378"/>
      <c r="AA2013" s="379"/>
      <c r="AB2013" s="368" t="s">
        <v>7916</v>
      </c>
      <c r="AC2013" s="368"/>
      <c r="AD2013" s="368"/>
      <c r="AE2013" s="368"/>
    </row>
    <row r="2014" spans="1:31" s="353" customFormat="1" ht="28.5" hidden="1" x14ac:dyDescent="0.25">
      <c r="A2014" s="315" t="s">
        <v>7681</v>
      </c>
      <c r="B2014" s="352" t="str">
        <f t="shared" si="448"/>
        <v>YES</v>
      </c>
      <c r="C2014" s="352" t="s">
        <v>5503</v>
      </c>
      <c r="D2014" s="354">
        <v>43543</v>
      </c>
      <c r="E2014" s="373">
        <v>43617</v>
      </c>
      <c r="F2014" s="355">
        <f t="shared" si="432"/>
        <v>47270</v>
      </c>
      <c r="G2014" s="374">
        <v>320</v>
      </c>
      <c r="H2014" s="352" t="s">
        <v>7684</v>
      </c>
      <c r="I2014" s="352" t="s">
        <v>5437</v>
      </c>
      <c r="J2014" s="375"/>
      <c r="K2014" s="376">
        <v>2029</v>
      </c>
      <c r="L2014" s="394" t="s">
        <v>7708</v>
      </c>
      <c r="M2014" s="394" t="s">
        <v>7700</v>
      </c>
      <c r="N2014" s="357" t="s">
        <v>7709</v>
      </c>
      <c r="O2014" s="357" t="s">
        <v>7712</v>
      </c>
      <c r="P2014" s="360"/>
      <c r="Q2014" s="377" t="s">
        <v>7713</v>
      </c>
      <c r="R2014" s="349">
        <v>1285</v>
      </c>
      <c r="S2014" s="349">
        <f t="shared" si="468"/>
        <v>31680</v>
      </c>
      <c r="T2014" s="349">
        <f>32320+165+480</f>
        <v>32965</v>
      </c>
      <c r="U2014" s="365">
        <v>480</v>
      </c>
      <c r="V2014" s="349"/>
      <c r="W2014" s="349"/>
      <c r="X2014" s="365"/>
      <c r="Y2014" s="352"/>
      <c r="Z2014" s="378"/>
      <c r="AA2014" s="379"/>
      <c r="AB2014" s="368" t="s">
        <v>8101</v>
      </c>
      <c r="AC2014" s="368"/>
      <c r="AD2014" s="368"/>
      <c r="AE2014" s="368"/>
    </row>
    <row r="2015" spans="1:31" ht="15.75" hidden="1" thickBot="1" x14ac:dyDescent="0.3">
      <c r="A2015" s="316"/>
      <c r="B2015" s="352"/>
      <c r="F2015" s="355"/>
      <c r="G2015" s="6"/>
      <c r="I2015" s="93"/>
      <c r="J2015" s="184"/>
      <c r="K2015" s="376"/>
      <c r="L2015" s="387"/>
      <c r="M2015" s="387"/>
      <c r="Q2015" s="234"/>
      <c r="R2015" s="76">
        <f>SUM(R2005:R2014)</f>
        <v>16588</v>
      </c>
      <c r="S2015" s="76">
        <f t="shared" ref="S2015:T2015" si="469">SUM(S2005:S2014)</f>
        <v>251792</v>
      </c>
      <c r="T2015" s="76">
        <f t="shared" si="469"/>
        <v>268380</v>
      </c>
      <c r="U2015" s="200"/>
      <c r="V2015" s="75"/>
      <c r="W2015" s="75"/>
      <c r="X2015" s="200"/>
      <c r="Z2015" s="31"/>
      <c r="AA2015" s="223"/>
    </row>
    <row r="2016" spans="1:31" hidden="1" x14ac:dyDescent="0.25">
      <c r="A2016" s="316"/>
      <c r="B2016" s="352"/>
      <c r="F2016" s="355"/>
      <c r="G2016" s="6"/>
      <c r="I2016" s="93"/>
      <c r="J2016" s="184"/>
      <c r="K2016" s="376"/>
      <c r="L2016" s="393"/>
      <c r="M2016" s="393"/>
      <c r="Q2016" s="234"/>
      <c r="R2016" s="75"/>
      <c r="S2016" s="75"/>
      <c r="T2016" s="75"/>
      <c r="U2016" s="200"/>
      <c r="V2016" s="75"/>
      <c r="W2016" s="75"/>
      <c r="X2016" s="200"/>
      <c r="Z2016" s="31"/>
      <c r="AA2016" s="223"/>
    </row>
    <row r="2017" spans="1:28" hidden="1" x14ac:dyDescent="0.25">
      <c r="A2017" s="316"/>
      <c r="B2017" s="352"/>
      <c r="F2017" s="355"/>
      <c r="G2017" s="6"/>
      <c r="I2017" s="93"/>
      <c r="J2017" s="184"/>
      <c r="K2017" s="376"/>
      <c r="L2017" s="393"/>
      <c r="M2017" s="393"/>
      <c r="Q2017" s="234"/>
      <c r="R2017" s="75"/>
      <c r="S2017" s="75"/>
      <c r="T2017" s="75"/>
      <c r="U2017" s="200"/>
      <c r="V2017" s="75"/>
      <c r="W2017" s="75"/>
      <c r="X2017" s="200"/>
      <c r="Z2017" s="31"/>
      <c r="AA2017" s="223"/>
    </row>
    <row r="2018" spans="1:28" hidden="1" x14ac:dyDescent="0.25">
      <c r="A2018" s="315" t="s">
        <v>7720</v>
      </c>
      <c r="B2018" s="352" t="str">
        <f t="shared" si="448"/>
        <v>YES</v>
      </c>
      <c r="C2018" s="352" t="s">
        <v>5503</v>
      </c>
      <c r="D2018" s="95">
        <v>43549</v>
      </c>
      <c r="E2018" s="96">
        <v>43647</v>
      </c>
      <c r="F2018" s="355">
        <f t="shared" si="432"/>
        <v>47300</v>
      </c>
      <c r="G2018" s="6">
        <v>338.59</v>
      </c>
      <c r="H2018" s="93" t="s">
        <v>6088</v>
      </c>
      <c r="I2018" s="93" t="s">
        <v>5622</v>
      </c>
      <c r="J2018" s="184"/>
      <c r="K2018" s="376">
        <v>2029</v>
      </c>
      <c r="L2018" s="393" t="s">
        <v>5789</v>
      </c>
      <c r="M2018" s="393" t="s">
        <v>7723</v>
      </c>
      <c r="N2018" s="166" t="s">
        <v>7724</v>
      </c>
      <c r="O2018" s="166" t="s">
        <v>7725</v>
      </c>
      <c r="Q2018" s="234" t="s">
        <v>7728</v>
      </c>
      <c r="R2018" s="75">
        <v>1351.5</v>
      </c>
      <c r="S2018" s="75">
        <f>T2018-R2018</f>
        <v>3051</v>
      </c>
      <c r="T2018" s="75">
        <f>3729+165+508.5</f>
        <v>4402.5</v>
      </c>
      <c r="U2018" s="200">
        <v>508.5</v>
      </c>
      <c r="V2018" s="75"/>
      <c r="W2018" s="75"/>
      <c r="X2018" s="200"/>
      <c r="Z2018" s="31"/>
      <c r="AA2018" s="223"/>
      <c r="AB2018" s="312" t="s">
        <v>8099</v>
      </c>
    </row>
    <row r="2019" spans="1:28" ht="39" hidden="1" x14ac:dyDescent="0.25">
      <c r="A2019" s="315" t="s">
        <v>7721</v>
      </c>
      <c r="B2019" s="352" t="str">
        <f t="shared" si="448"/>
        <v>YES</v>
      </c>
      <c r="C2019" s="352" t="s">
        <v>5503</v>
      </c>
      <c r="D2019" s="95">
        <v>43549</v>
      </c>
      <c r="E2019" s="96">
        <v>43647</v>
      </c>
      <c r="F2019" s="355">
        <f t="shared" si="432"/>
        <v>47300</v>
      </c>
      <c r="G2019" s="6">
        <v>770.53</v>
      </c>
      <c r="H2019" s="93" t="s">
        <v>6088</v>
      </c>
      <c r="I2019" s="93" t="s">
        <v>5622</v>
      </c>
      <c r="J2019" s="184"/>
      <c r="K2019" s="376">
        <v>2029</v>
      </c>
      <c r="L2019" s="393" t="s">
        <v>5789</v>
      </c>
      <c r="M2019" s="393" t="s">
        <v>7532</v>
      </c>
      <c r="N2019" s="166" t="s">
        <v>7724</v>
      </c>
      <c r="O2019" s="166" t="s">
        <v>7726</v>
      </c>
      <c r="Q2019" s="234" t="s">
        <v>7729</v>
      </c>
      <c r="R2019" s="75">
        <v>2863.5</v>
      </c>
      <c r="S2019" s="75">
        <f t="shared" ref="S2019:S2024" si="470">T2019-R2019</f>
        <v>3084</v>
      </c>
      <c r="T2019" s="75">
        <f>4626+165+1156.5</f>
        <v>5947.5</v>
      </c>
      <c r="U2019" s="200">
        <v>1156.5</v>
      </c>
      <c r="V2019" s="75"/>
      <c r="W2019" s="75"/>
      <c r="X2019" s="200"/>
      <c r="Z2019" s="31"/>
      <c r="AA2019" s="223"/>
      <c r="AB2019" s="312" t="s">
        <v>8099</v>
      </c>
    </row>
    <row r="2020" spans="1:28" hidden="1" x14ac:dyDescent="0.25">
      <c r="A2020" s="315" t="s">
        <v>7722</v>
      </c>
      <c r="B2020" s="352" t="str">
        <f t="shared" si="448"/>
        <v>YES</v>
      </c>
      <c r="C2020" s="352" t="s">
        <v>5503</v>
      </c>
      <c r="D2020" s="95">
        <v>43549</v>
      </c>
      <c r="E2020" s="96">
        <v>43647</v>
      </c>
      <c r="F2020" s="355">
        <f>DATE(YEAR(E2020)+10,MONTH(E2020),DAY(E2020))</f>
        <v>47300</v>
      </c>
      <c r="G2020" s="6">
        <v>240</v>
      </c>
      <c r="H2020" s="93" t="s">
        <v>6088</v>
      </c>
      <c r="I2020" s="93" t="s">
        <v>5622</v>
      </c>
      <c r="J2020" s="184"/>
      <c r="K2020" s="376">
        <v>2029</v>
      </c>
      <c r="L2020" s="393" t="s">
        <v>5875</v>
      </c>
      <c r="M2020" s="393" t="s">
        <v>5853</v>
      </c>
      <c r="N2020" s="166" t="s">
        <v>7724</v>
      </c>
      <c r="O2020" s="166" t="s">
        <v>7727</v>
      </c>
      <c r="Q2020" s="234" t="s">
        <v>7730</v>
      </c>
      <c r="R2020" s="75">
        <v>1005</v>
      </c>
      <c r="S2020" s="75">
        <f t="shared" si="470"/>
        <v>2160</v>
      </c>
      <c r="T2020" s="75">
        <f>2640+165+360</f>
        <v>3165</v>
      </c>
      <c r="U2020" s="200">
        <v>360</v>
      </c>
      <c r="V2020" s="75"/>
      <c r="W2020" s="75"/>
      <c r="X2020" s="200"/>
      <c r="Z2020" s="31"/>
      <c r="AA2020" s="223"/>
      <c r="AB2020" s="312" t="s">
        <v>8099</v>
      </c>
    </row>
    <row r="2021" spans="1:28" hidden="1" x14ac:dyDescent="0.25">
      <c r="A2021" s="315" t="s">
        <v>7733</v>
      </c>
      <c r="B2021" s="352" t="str">
        <f t="shared" si="448"/>
        <v>YES</v>
      </c>
      <c r="C2021" s="352" t="s">
        <v>5503</v>
      </c>
      <c r="D2021" s="95">
        <v>43549</v>
      </c>
      <c r="E2021" s="96">
        <v>43647</v>
      </c>
      <c r="F2021" s="355">
        <f t="shared" ref="F2021:F2057" si="471">DATE(YEAR(E2021)+10,MONTH(E2021),DAY(E2021))</f>
        <v>47300</v>
      </c>
      <c r="G2021" s="6">
        <v>1124.0899999999999</v>
      </c>
      <c r="H2021" s="93" t="s">
        <v>6088</v>
      </c>
      <c r="I2021" s="93" t="s">
        <v>5622</v>
      </c>
      <c r="J2021" s="184"/>
      <c r="K2021" s="376">
        <v>2029</v>
      </c>
      <c r="L2021" s="393" t="s">
        <v>5789</v>
      </c>
      <c r="M2021" s="393" t="s">
        <v>5853</v>
      </c>
      <c r="N2021" s="166" t="s">
        <v>7724</v>
      </c>
      <c r="O2021" s="166" t="s">
        <v>7739</v>
      </c>
      <c r="P2021" s="283" t="s">
        <v>7740</v>
      </c>
      <c r="Q2021" s="234" t="s">
        <v>7741</v>
      </c>
      <c r="R2021" s="75">
        <v>4102.5</v>
      </c>
      <c r="S2021" s="75">
        <f t="shared" si="470"/>
        <v>15750</v>
      </c>
      <c r="T2021" s="75">
        <f>18000+165+1687.5</f>
        <v>19852.5</v>
      </c>
      <c r="U2021" s="200">
        <v>1687.5</v>
      </c>
      <c r="V2021" s="75"/>
      <c r="W2021" s="75"/>
      <c r="X2021" s="200"/>
      <c r="Z2021" s="31"/>
      <c r="AA2021" s="223"/>
      <c r="AB2021" s="312" t="s">
        <v>8099</v>
      </c>
    </row>
    <row r="2022" spans="1:28" ht="26.25" hidden="1" x14ac:dyDescent="0.25">
      <c r="A2022" s="315" t="s">
        <v>7734</v>
      </c>
      <c r="B2022" s="401" t="str">
        <f t="shared" si="448"/>
        <v>YES</v>
      </c>
      <c r="C2022" s="401" t="s">
        <v>5503</v>
      </c>
      <c r="D2022" s="146">
        <v>43549</v>
      </c>
      <c r="E2022" s="96">
        <v>43647</v>
      </c>
      <c r="F2022" s="355">
        <f t="shared" si="471"/>
        <v>47300</v>
      </c>
      <c r="G2022" s="400">
        <v>327.08</v>
      </c>
      <c r="H2022" s="402" t="s">
        <v>6088</v>
      </c>
      <c r="I2022" s="93" t="s">
        <v>5622</v>
      </c>
      <c r="J2022" s="184"/>
      <c r="K2022" s="376">
        <v>2029</v>
      </c>
      <c r="L2022" s="399" t="s">
        <v>5789</v>
      </c>
      <c r="M2022" s="399" t="s">
        <v>6182</v>
      </c>
      <c r="N2022" s="166" t="s">
        <v>7724</v>
      </c>
      <c r="O2022" s="166" t="s">
        <v>7744</v>
      </c>
      <c r="Q2022" s="234" t="s">
        <v>7745</v>
      </c>
      <c r="R2022" s="75">
        <v>1313</v>
      </c>
      <c r="S2022" s="75">
        <f t="shared" si="470"/>
        <v>4920</v>
      </c>
      <c r="T2022" s="75">
        <f>5576+165+492</f>
        <v>6233</v>
      </c>
      <c r="U2022" s="200">
        <v>492</v>
      </c>
      <c r="V2022" s="75"/>
      <c r="W2022" s="75"/>
      <c r="X2022" s="200"/>
      <c r="Z2022" s="31"/>
      <c r="AA2022" s="223"/>
      <c r="AB2022" s="312" t="s">
        <v>8099</v>
      </c>
    </row>
    <row r="2023" spans="1:28" hidden="1" x14ac:dyDescent="0.25">
      <c r="A2023" s="315" t="s">
        <v>7735</v>
      </c>
      <c r="B2023" s="352" t="str">
        <f t="shared" si="448"/>
        <v>YES</v>
      </c>
      <c r="C2023" s="352" t="s">
        <v>5503</v>
      </c>
      <c r="D2023" s="95">
        <v>43549</v>
      </c>
      <c r="E2023" s="96">
        <v>43647</v>
      </c>
      <c r="F2023" s="355">
        <f t="shared" si="471"/>
        <v>47300</v>
      </c>
      <c r="G2023" s="6">
        <v>40</v>
      </c>
      <c r="H2023" s="93" t="s">
        <v>7742</v>
      </c>
      <c r="I2023" s="93" t="s">
        <v>5622</v>
      </c>
      <c r="J2023" s="184"/>
      <c r="K2023" s="376">
        <v>2029</v>
      </c>
      <c r="L2023" s="393" t="s">
        <v>5720</v>
      </c>
      <c r="M2023" s="393" t="s">
        <v>7743</v>
      </c>
      <c r="N2023" s="166" t="s">
        <v>7724</v>
      </c>
      <c r="O2023" s="166" t="s">
        <v>7747</v>
      </c>
      <c r="Q2023" s="234" t="s">
        <v>7746</v>
      </c>
      <c r="R2023" s="75">
        <v>305</v>
      </c>
      <c r="S2023" s="75">
        <f t="shared" si="470"/>
        <v>0</v>
      </c>
      <c r="T2023" s="75">
        <f>80+165+60</f>
        <v>305</v>
      </c>
      <c r="U2023" s="200">
        <v>60</v>
      </c>
      <c r="V2023" s="75"/>
      <c r="W2023" s="75"/>
      <c r="X2023" s="200"/>
      <c r="Z2023" s="31"/>
      <c r="AA2023" s="223"/>
      <c r="AB2023" s="312" t="s">
        <v>8098</v>
      </c>
    </row>
    <row r="2024" spans="1:28" hidden="1" x14ac:dyDescent="0.25">
      <c r="A2024" s="315" t="s">
        <v>7736</v>
      </c>
      <c r="B2024" s="352" t="str">
        <f t="shared" si="448"/>
        <v>YES</v>
      </c>
      <c r="C2024" s="352" t="s">
        <v>5503</v>
      </c>
      <c r="D2024" s="95">
        <v>43549</v>
      </c>
      <c r="E2024" s="96">
        <v>43647</v>
      </c>
      <c r="F2024" s="355">
        <f t="shared" si="471"/>
        <v>47300</v>
      </c>
      <c r="G2024" s="6">
        <v>80</v>
      </c>
      <c r="H2024" s="93" t="s">
        <v>7742</v>
      </c>
      <c r="I2024" s="93" t="s">
        <v>5622</v>
      </c>
      <c r="J2024" s="184"/>
      <c r="K2024" s="376">
        <v>2029</v>
      </c>
      <c r="L2024" s="393" t="s">
        <v>5720</v>
      </c>
      <c r="M2024" s="393" t="s">
        <v>7743</v>
      </c>
      <c r="N2024" s="166" t="s">
        <v>7724</v>
      </c>
      <c r="O2024" s="166" t="s">
        <v>4678</v>
      </c>
      <c r="Q2024" s="234" t="s">
        <v>7812</v>
      </c>
      <c r="R2024" s="75">
        <v>445</v>
      </c>
      <c r="S2024" s="75">
        <f t="shared" si="470"/>
        <v>0</v>
      </c>
      <c r="T2024" s="75">
        <f>160+165+120</f>
        <v>445</v>
      </c>
      <c r="U2024" s="200">
        <v>120</v>
      </c>
      <c r="V2024" s="75"/>
      <c r="W2024" s="75"/>
      <c r="X2024" s="200"/>
      <c r="Z2024" s="31"/>
      <c r="AA2024" s="223"/>
      <c r="AB2024" s="312" t="s">
        <v>8098</v>
      </c>
    </row>
    <row r="2025" spans="1:28" ht="26.25" hidden="1" x14ac:dyDescent="0.25">
      <c r="A2025" s="315" t="s">
        <v>7737</v>
      </c>
      <c r="B2025" s="352" t="str">
        <f t="shared" si="448"/>
        <v>YES</v>
      </c>
      <c r="C2025" s="352" t="s">
        <v>5503</v>
      </c>
      <c r="D2025" s="95">
        <v>43549</v>
      </c>
      <c r="E2025" s="96">
        <v>43647</v>
      </c>
      <c r="F2025" s="355">
        <f t="shared" si="471"/>
        <v>47300</v>
      </c>
      <c r="G2025" s="6">
        <v>430.5</v>
      </c>
      <c r="H2025" s="93" t="s">
        <v>7742</v>
      </c>
      <c r="I2025" s="93" t="s">
        <v>5622</v>
      </c>
      <c r="J2025" s="184"/>
      <c r="K2025" s="376">
        <v>2029</v>
      </c>
      <c r="L2025" s="94" t="s">
        <v>5720</v>
      </c>
      <c r="M2025" s="94" t="s">
        <v>7815</v>
      </c>
      <c r="N2025" s="166" t="s">
        <v>7724</v>
      </c>
      <c r="O2025" s="166" t="s">
        <v>7817</v>
      </c>
      <c r="Q2025" s="234" t="s">
        <v>7813</v>
      </c>
      <c r="R2025" s="75">
        <v>1673.5</v>
      </c>
      <c r="S2025" s="75">
        <f>T2025-R2025</f>
        <v>0</v>
      </c>
      <c r="T2025" s="75">
        <f>862+165+646.5</f>
        <v>1673.5</v>
      </c>
      <c r="U2025" s="200">
        <v>646.5</v>
      </c>
      <c r="V2025" s="75"/>
      <c r="W2025" s="75"/>
      <c r="X2025" s="200"/>
      <c r="Z2025" s="31"/>
      <c r="AA2025" s="223"/>
      <c r="AB2025" s="312" t="s">
        <v>8098</v>
      </c>
    </row>
    <row r="2026" spans="1:28" ht="26.25" hidden="1" x14ac:dyDescent="0.25">
      <c r="A2026" s="315" t="s">
        <v>7738</v>
      </c>
      <c r="B2026" s="352" t="str">
        <f t="shared" si="448"/>
        <v>YES</v>
      </c>
      <c r="C2026" s="352" t="s">
        <v>5503</v>
      </c>
      <c r="D2026" s="95">
        <v>43549</v>
      </c>
      <c r="E2026" s="96">
        <v>43647</v>
      </c>
      <c r="F2026" s="355">
        <f t="shared" si="471"/>
        <v>47300</v>
      </c>
      <c r="G2026" s="6">
        <v>240.92</v>
      </c>
      <c r="H2026" s="93" t="s">
        <v>6397</v>
      </c>
      <c r="I2026" s="93" t="s">
        <v>5622</v>
      </c>
      <c r="J2026" s="184"/>
      <c r="K2026" s="376">
        <v>2029</v>
      </c>
      <c r="L2026" s="94" t="s">
        <v>7816</v>
      </c>
      <c r="M2026" s="94" t="s">
        <v>5840</v>
      </c>
      <c r="N2026" s="166" t="s">
        <v>7724</v>
      </c>
      <c r="O2026" s="166" t="s">
        <v>7824</v>
      </c>
      <c r="Q2026" s="234" t="s">
        <v>7814</v>
      </c>
      <c r="R2026" s="75">
        <v>1008.5</v>
      </c>
      <c r="S2026" s="75">
        <f>T2026-R2026</f>
        <v>11086</v>
      </c>
      <c r="T2026" s="75">
        <f>11568+165+361.5</f>
        <v>12094.5</v>
      </c>
      <c r="U2026" s="200">
        <v>361.5</v>
      </c>
      <c r="V2026" s="75"/>
      <c r="W2026" s="75"/>
      <c r="X2026" s="200"/>
      <c r="Z2026" s="31"/>
      <c r="AA2026" s="223"/>
      <c r="AB2026" s="312" t="s">
        <v>8018</v>
      </c>
    </row>
    <row r="2027" spans="1:28" ht="15.75" hidden="1" thickBot="1" x14ac:dyDescent="0.3">
      <c r="A2027" s="316"/>
      <c r="B2027" s="352"/>
      <c r="F2027" s="355"/>
      <c r="G2027" s="6"/>
      <c r="I2027" s="93"/>
      <c r="J2027" s="184"/>
      <c r="K2027" s="184"/>
      <c r="L2027" s="387"/>
      <c r="M2027" s="387"/>
      <c r="Q2027" s="234"/>
      <c r="R2027" s="76">
        <f>SUM(R2018:R2026)</f>
        <v>14067.5</v>
      </c>
      <c r="S2027" s="76">
        <f t="shared" ref="S2027:T2027" si="472">SUM(S2018:S2026)</f>
        <v>40051</v>
      </c>
      <c r="T2027" s="76">
        <f t="shared" si="472"/>
        <v>54118.5</v>
      </c>
      <c r="U2027" s="200"/>
      <c r="V2027" s="75"/>
      <c r="W2027" s="75"/>
      <c r="X2027" s="200"/>
      <c r="Z2027" s="31"/>
      <c r="AA2027" s="223"/>
    </row>
    <row r="2028" spans="1:28" hidden="1" x14ac:dyDescent="0.25">
      <c r="A2028" s="316"/>
      <c r="B2028" s="352"/>
      <c r="F2028" s="355"/>
      <c r="G2028" s="6"/>
      <c r="I2028" s="93"/>
      <c r="J2028" s="184"/>
      <c r="K2028" s="184"/>
      <c r="L2028" s="393"/>
      <c r="M2028" s="393"/>
      <c r="Q2028" s="234"/>
      <c r="R2028" s="75"/>
      <c r="S2028" s="75"/>
      <c r="T2028" s="75"/>
      <c r="U2028" s="200"/>
      <c r="V2028" s="75"/>
      <c r="W2028" s="75"/>
      <c r="X2028" s="200"/>
      <c r="Z2028" s="31"/>
      <c r="AA2028" s="223"/>
    </row>
    <row r="2029" spans="1:28" hidden="1" x14ac:dyDescent="0.25">
      <c r="A2029" s="315" t="s">
        <v>7803</v>
      </c>
      <c r="B2029" s="352" t="str">
        <f t="shared" si="448"/>
        <v>YES</v>
      </c>
      <c r="C2029" s="352" t="s">
        <v>5503</v>
      </c>
      <c r="D2029" s="95">
        <v>43551</v>
      </c>
      <c r="E2029" s="96">
        <v>43647</v>
      </c>
      <c r="F2029" s="355">
        <f t="shared" si="471"/>
        <v>47300</v>
      </c>
      <c r="G2029" s="6">
        <v>160</v>
      </c>
      <c r="H2029" s="93" t="s">
        <v>5637</v>
      </c>
      <c r="I2029" s="93" t="s">
        <v>5622</v>
      </c>
      <c r="J2029" s="184"/>
      <c r="K2029" s="192">
        <v>2029</v>
      </c>
      <c r="L2029" s="393" t="s">
        <v>5576</v>
      </c>
      <c r="M2029" s="393" t="s">
        <v>5639</v>
      </c>
      <c r="N2029" s="166" t="s">
        <v>7724</v>
      </c>
      <c r="O2029" s="166" t="s">
        <v>7809</v>
      </c>
      <c r="Q2029" s="234" t="s">
        <v>7806</v>
      </c>
      <c r="R2029" s="75">
        <v>725</v>
      </c>
      <c r="S2029" s="75">
        <f>T2029-R2029</f>
        <v>4640</v>
      </c>
      <c r="T2029" s="75">
        <f>4960+165+240</f>
        <v>5365</v>
      </c>
      <c r="U2029" s="200">
        <v>240</v>
      </c>
      <c r="V2029" s="75"/>
      <c r="W2029" s="75"/>
      <c r="X2029" s="200"/>
      <c r="Z2029" s="31"/>
      <c r="AA2029" s="223"/>
      <c r="AB2029" s="312" t="s">
        <v>8013</v>
      </c>
    </row>
    <row r="2030" spans="1:28" hidden="1" x14ac:dyDescent="0.25">
      <c r="A2030" s="315" t="s">
        <v>7804</v>
      </c>
      <c r="B2030" s="352" t="str">
        <f t="shared" si="448"/>
        <v>YES</v>
      </c>
      <c r="C2030" s="352" t="s">
        <v>5503</v>
      </c>
      <c r="D2030" s="95">
        <v>43551</v>
      </c>
      <c r="E2030" s="96">
        <v>43647</v>
      </c>
      <c r="F2030" s="355">
        <f>DATE(YEAR(E2030)+10,MONTH(E2030),DAY(E2030))</f>
        <v>47300</v>
      </c>
      <c r="G2030" s="6">
        <v>480</v>
      </c>
      <c r="H2030" s="93" t="s">
        <v>5637</v>
      </c>
      <c r="I2030" s="93" t="s">
        <v>5622</v>
      </c>
      <c r="J2030" s="184"/>
      <c r="K2030" s="192">
        <v>2029</v>
      </c>
      <c r="L2030" s="393" t="s">
        <v>5576</v>
      </c>
      <c r="M2030" s="393" t="s">
        <v>5639</v>
      </c>
      <c r="N2030" s="166" t="s">
        <v>7724</v>
      </c>
      <c r="O2030" s="166" t="s">
        <v>7808</v>
      </c>
      <c r="Q2030" s="234" t="s">
        <v>7807</v>
      </c>
      <c r="R2030" s="75">
        <v>1845</v>
      </c>
      <c r="S2030" s="75">
        <f>T2030-R2030</f>
        <v>36960</v>
      </c>
      <c r="T2030" s="75">
        <f>37920+165+720</f>
        <v>38805</v>
      </c>
      <c r="U2030" s="200">
        <v>720</v>
      </c>
      <c r="V2030" s="75"/>
      <c r="W2030" s="75"/>
      <c r="X2030" s="200"/>
      <c r="Z2030" s="31"/>
      <c r="AA2030" s="223"/>
      <c r="AB2030" s="312" t="s">
        <v>8013</v>
      </c>
    </row>
    <row r="2031" spans="1:28" ht="26.25" hidden="1" x14ac:dyDescent="0.25">
      <c r="A2031" s="315" t="s">
        <v>7805</v>
      </c>
      <c r="B2031" s="352" t="str">
        <f>IF(COUNTIF(GIS,A2031),"YES","NO")</f>
        <v>YES</v>
      </c>
      <c r="C2031" s="352" t="s">
        <v>5503</v>
      </c>
      <c r="D2031" s="95">
        <v>43551</v>
      </c>
      <c r="E2031" s="96">
        <v>43647</v>
      </c>
      <c r="F2031" s="355">
        <f t="shared" si="471"/>
        <v>47300</v>
      </c>
      <c r="G2031" s="6">
        <v>2080</v>
      </c>
      <c r="H2031" s="93" t="s">
        <v>5637</v>
      </c>
      <c r="I2031" s="93" t="s">
        <v>5622</v>
      </c>
      <c r="J2031" s="184"/>
      <c r="K2031" s="192">
        <v>2029</v>
      </c>
      <c r="L2031" s="399" t="s">
        <v>6015</v>
      </c>
      <c r="M2031" s="399" t="s">
        <v>5655</v>
      </c>
      <c r="N2031" s="166" t="s">
        <v>7724</v>
      </c>
      <c r="O2031" s="166" t="s">
        <v>7818</v>
      </c>
      <c r="Q2031" s="234" t="s">
        <v>7819</v>
      </c>
      <c r="R2031" s="75">
        <v>7445</v>
      </c>
      <c r="S2031" s="75">
        <f>T2031-R2031</f>
        <v>22880</v>
      </c>
      <c r="T2031" s="75">
        <f>27040+165+3120</f>
        <v>30325</v>
      </c>
      <c r="U2031" s="200">
        <v>3120</v>
      </c>
      <c r="V2031" s="75"/>
      <c r="W2031" s="75"/>
      <c r="X2031" s="200"/>
      <c r="Z2031" s="31"/>
      <c r="AA2031" s="223"/>
      <c r="AB2031" s="312" t="s">
        <v>8013</v>
      </c>
    </row>
    <row r="2032" spans="1:28" ht="15.75" hidden="1" thickBot="1" x14ac:dyDescent="0.3">
      <c r="A2032" s="316"/>
      <c r="B2032" s="352"/>
      <c r="C2032" s="352"/>
      <c r="F2032" s="355"/>
      <c r="G2032" s="6"/>
      <c r="I2032" s="93"/>
      <c r="J2032" s="184"/>
      <c r="K2032" s="184"/>
      <c r="L2032" s="393"/>
      <c r="M2032" s="393"/>
      <c r="Q2032" s="234"/>
      <c r="R2032" s="76">
        <f>SUM(R2029:R2031)</f>
        <v>10015</v>
      </c>
      <c r="S2032" s="76">
        <f>SUM(S2029:S2031)</f>
        <v>64480</v>
      </c>
      <c r="T2032" s="76">
        <f t="shared" ref="T2032" si="473">SUM(T2029:T2031)</f>
        <v>74495</v>
      </c>
      <c r="U2032" s="200"/>
      <c r="V2032" s="75"/>
      <c r="W2032" s="75"/>
      <c r="X2032" s="200"/>
      <c r="Z2032" s="31"/>
      <c r="AA2032" s="223"/>
    </row>
    <row r="2033" spans="1:27" hidden="1" x14ac:dyDescent="0.25">
      <c r="A2033" s="316"/>
      <c r="B2033" s="352"/>
      <c r="C2033" s="352"/>
      <c r="F2033" s="355"/>
      <c r="G2033" s="6"/>
      <c r="I2033" s="93"/>
      <c r="J2033" s="184"/>
      <c r="K2033" s="184"/>
      <c r="L2033" s="393"/>
      <c r="M2033" s="393"/>
      <c r="Q2033" s="234"/>
      <c r="R2033" s="431"/>
      <c r="S2033" s="431"/>
      <c r="T2033" s="431"/>
      <c r="U2033" s="200"/>
      <c r="V2033" s="75"/>
      <c r="W2033" s="75"/>
      <c r="X2033" s="200"/>
      <c r="Z2033" s="31"/>
      <c r="AA2033" s="223"/>
    </row>
    <row r="2034" spans="1:27" hidden="1" x14ac:dyDescent="0.25">
      <c r="A2034" s="315" t="s">
        <v>8053</v>
      </c>
      <c r="B2034" s="352" t="str">
        <f t="shared" ref="B2034:B2041" si="474">IF(COUNTIF(GIS,A2034),"YES","NO")</f>
        <v>YES</v>
      </c>
      <c r="C2034" s="352" t="s">
        <v>5503</v>
      </c>
      <c r="D2034" s="95">
        <v>43552</v>
      </c>
      <c r="F2034" s="355"/>
      <c r="G2034" s="6">
        <v>40</v>
      </c>
      <c r="H2034" s="93" t="s">
        <v>559</v>
      </c>
      <c r="I2034" s="93" t="s">
        <v>512</v>
      </c>
      <c r="J2034" s="425" t="s">
        <v>8102</v>
      </c>
      <c r="K2034" s="184"/>
      <c r="L2034" s="393" t="s">
        <v>7603</v>
      </c>
      <c r="M2034" s="393" t="s">
        <v>7531</v>
      </c>
      <c r="O2034" s="166" t="s">
        <v>8069</v>
      </c>
      <c r="Q2034" s="234" t="s">
        <v>8061</v>
      </c>
      <c r="R2034" s="431">
        <v>305</v>
      </c>
      <c r="S2034" s="431">
        <f>T2034-R2034</f>
        <v>0</v>
      </c>
      <c r="T2034" s="431">
        <f>80+165+60</f>
        <v>305</v>
      </c>
      <c r="U2034" s="200">
        <v>60</v>
      </c>
      <c r="V2034" s="75"/>
      <c r="W2034" s="75"/>
      <c r="X2034" s="200"/>
      <c r="Z2034" s="31"/>
      <c r="AA2034" s="223"/>
    </row>
    <row r="2035" spans="1:27" hidden="1" x14ac:dyDescent="0.25">
      <c r="A2035" s="315" t="s">
        <v>8054</v>
      </c>
      <c r="B2035" s="352" t="str">
        <f t="shared" si="474"/>
        <v>YES</v>
      </c>
      <c r="C2035" s="352" t="s">
        <v>5503</v>
      </c>
      <c r="D2035" s="95">
        <v>43552</v>
      </c>
      <c r="F2035" s="355"/>
      <c r="G2035" s="6">
        <v>160</v>
      </c>
      <c r="H2035" s="93" t="s">
        <v>522</v>
      </c>
      <c r="I2035" s="93" t="s">
        <v>512</v>
      </c>
      <c r="J2035" s="425" t="s">
        <v>8102</v>
      </c>
      <c r="K2035" s="184"/>
      <c r="L2035" s="393" t="s">
        <v>7602</v>
      </c>
      <c r="M2035" s="393" t="s">
        <v>8070</v>
      </c>
      <c r="O2035" s="166" t="s">
        <v>8071</v>
      </c>
      <c r="Q2035" s="234" t="s">
        <v>8062</v>
      </c>
      <c r="R2035" s="431">
        <v>725</v>
      </c>
      <c r="S2035" s="431">
        <f t="shared" ref="S2035:S2041" si="475">T2035-R2035</f>
        <v>7680</v>
      </c>
      <c r="T2035" s="431">
        <f>8000+165+240</f>
        <v>8405</v>
      </c>
      <c r="U2035" s="200">
        <v>240</v>
      </c>
      <c r="V2035" s="75"/>
      <c r="W2035" s="75"/>
      <c r="X2035" s="200"/>
      <c r="Z2035" s="31"/>
      <c r="AA2035" s="223"/>
    </row>
    <row r="2036" spans="1:27" hidden="1" x14ac:dyDescent="0.25">
      <c r="A2036" s="315" t="s">
        <v>8055</v>
      </c>
      <c r="B2036" s="352" t="str">
        <f t="shared" si="474"/>
        <v>YES</v>
      </c>
      <c r="C2036" s="352" t="s">
        <v>5503</v>
      </c>
      <c r="D2036" s="95">
        <v>43552</v>
      </c>
      <c r="F2036" s="355"/>
      <c r="G2036" s="6">
        <v>320</v>
      </c>
      <c r="H2036" s="93" t="s">
        <v>522</v>
      </c>
      <c r="I2036" s="93" t="s">
        <v>512</v>
      </c>
      <c r="J2036" s="425" t="s">
        <v>8102</v>
      </c>
      <c r="K2036" s="184"/>
      <c r="L2036" s="393" t="s">
        <v>7602</v>
      </c>
      <c r="M2036" s="393" t="s">
        <v>8070</v>
      </c>
      <c r="O2036" s="166" t="s">
        <v>8072</v>
      </c>
      <c r="Q2036" s="234" t="s">
        <v>8063</v>
      </c>
      <c r="R2036" s="431">
        <v>1285</v>
      </c>
      <c r="S2036" s="431">
        <f t="shared" si="475"/>
        <v>15360</v>
      </c>
      <c r="T2036" s="431">
        <f>16000+165+480</f>
        <v>16645</v>
      </c>
      <c r="U2036" s="200">
        <v>480</v>
      </c>
      <c r="V2036" s="75"/>
      <c r="W2036" s="75"/>
      <c r="X2036" s="200"/>
      <c r="Z2036" s="31"/>
      <c r="AA2036" s="223"/>
    </row>
    <row r="2037" spans="1:27" hidden="1" x14ac:dyDescent="0.25">
      <c r="A2037" s="315" t="s">
        <v>8056</v>
      </c>
      <c r="B2037" s="352" t="str">
        <f t="shared" si="474"/>
        <v>YES</v>
      </c>
      <c r="C2037" s="352" t="s">
        <v>5503</v>
      </c>
      <c r="D2037" s="95">
        <v>43552</v>
      </c>
      <c r="F2037" s="355"/>
      <c r="G2037" s="6">
        <v>240</v>
      </c>
      <c r="H2037" s="93" t="s">
        <v>522</v>
      </c>
      <c r="I2037" s="93" t="s">
        <v>512</v>
      </c>
      <c r="J2037" s="425" t="s">
        <v>8102</v>
      </c>
      <c r="K2037" s="184"/>
      <c r="L2037" s="393" t="s">
        <v>7602</v>
      </c>
      <c r="M2037" s="393" t="s">
        <v>6145</v>
      </c>
      <c r="O2037" s="166" t="s">
        <v>8073</v>
      </c>
      <c r="Q2037" s="234" t="s">
        <v>8064</v>
      </c>
      <c r="R2037" s="431">
        <v>1005</v>
      </c>
      <c r="S2037" s="431">
        <f t="shared" si="475"/>
        <v>11520</v>
      </c>
      <c r="T2037" s="431">
        <f>12000+165+360</f>
        <v>12525</v>
      </c>
      <c r="U2037" s="200">
        <v>360</v>
      </c>
      <c r="V2037" s="75"/>
      <c r="W2037" s="75"/>
      <c r="X2037" s="200"/>
      <c r="Z2037" s="31"/>
      <c r="AA2037" s="223"/>
    </row>
    <row r="2038" spans="1:27" hidden="1" x14ac:dyDescent="0.25">
      <c r="A2038" s="315" t="s">
        <v>8057</v>
      </c>
      <c r="B2038" s="352" t="str">
        <f t="shared" si="474"/>
        <v>YES</v>
      </c>
      <c r="C2038" s="352" t="s">
        <v>5503</v>
      </c>
      <c r="D2038" s="95">
        <v>43552</v>
      </c>
      <c r="F2038" s="355"/>
      <c r="G2038" s="6">
        <v>709.29</v>
      </c>
      <c r="H2038" s="93" t="s">
        <v>522</v>
      </c>
      <c r="I2038" s="93" t="s">
        <v>512</v>
      </c>
      <c r="J2038" s="425" t="s">
        <v>8102</v>
      </c>
      <c r="K2038" s="184"/>
      <c r="L2038" s="393" t="s">
        <v>7602</v>
      </c>
      <c r="M2038" s="393" t="s">
        <v>7542</v>
      </c>
      <c r="O2038" s="166" t="s">
        <v>8087</v>
      </c>
      <c r="Q2038" s="234" t="s">
        <v>8065</v>
      </c>
      <c r="R2038" s="431">
        <v>2650</v>
      </c>
      <c r="S2038" s="431">
        <f t="shared" si="475"/>
        <v>34080</v>
      </c>
      <c r="T2038" s="431">
        <f>35500+165+1065</f>
        <v>36730</v>
      </c>
      <c r="U2038" s="200">
        <v>1065</v>
      </c>
      <c r="V2038" s="75"/>
      <c r="W2038" s="75"/>
      <c r="X2038" s="200"/>
      <c r="Z2038" s="31"/>
      <c r="AA2038" s="223"/>
    </row>
    <row r="2039" spans="1:27" hidden="1" x14ac:dyDescent="0.25">
      <c r="A2039" s="315" t="s">
        <v>8058</v>
      </c>
      <c r="B2039" s="352" t="str">
        <f t="shared" si="474"/>
        <v>YES</v>
      </c>
      <c r="C2039" s="352" t="s">
        <v>5503</v>
      </c>
      <c r="D2039" s="95">
        <v>43552</v>
      </c>
      <c r="F2039" s="355"/>
      <c r="G2039" s="6">
        <v>712.28</v>
      </c>
      <c r="H2039" s="93" t="s">
        <v>522</v>
      </c>
      <c r="I2039" s="93" t="s">
        <v>512</v>
      </c>
      <c r="J2039" s="425" t="s">
        <v>8102</v>
      </c>
      <c r="K2039" s="184"/>
      <c r="L2039" s="393" t="s">
        <v>7602</v>
      </c>
      <c r="M2039" s="393" t="s">
        <v>7542</v>
      </c>
      <c r="O2039" s="166" t="s">
        <v>8074</v>
      </c>
      <c r="Q2039" s="234" t="s">
        <v>8066</v>
      </c>
      <c r="R2039" s="431">
        <v>2660.5</v>
      </c>
      <c r="S2039" s="431">
        <f t="shared" si="475"/>
        <v>34224</v>
      </c>
      <c r="T2039" s="431">
        <f>35650+165+1069.5</f>
        <v>36884.5</v>
      </c>
      <c r="U2039" s="200">
        <v>1069.5</v>
      </c>
      <c r="V2039" s="75"/>
      <c r="W2039" s="75"/>
      <c r="X2039" s="200"/>
      <c r="Z2039" s="31"/>
      <c r="AA2039" s="223"/>
    </row>
    <row r="2040" spans="1:27" hidden="1" x14ac:dyDescent="0.25">
      <c r="A2040" s="315" t="s">
        <v>8059</v>
      </c>
      <c r="B2040" s="352" t="str">
        <f t="shared" si="474"/>
        <v>YES</v>
      </c>
      <c r="C2040" s="352" t="s">
        <v>5503</v>
      </c>
      <c r="D2040" s="95">
        <v>43552</v>
      </c>
      <c r="F2040" s="355"/>
      <c r="G2040" s="6">
        <v>714.6</v>
      </c>
      <c r="H2040" s="93" t="s">
        <v>522</v>
      </c>
      <c r="I2040" s="93" t="s">
        <v>512</v>
      </c>
      <c r="J2040" s="425" t="s">
        <v>8102</v>
      </c>
      <c r="K2040" s="184"/>
      <c r="L2040" s="393" t="s">
        <v>7602</v>
      </c>
      <c r="M2040" s="393" t="s">
        <v>7542</v>
      </c>
      <c r="O2040" s="166" t="s">
        <v>8075</v>
      </c>
      <c r="Q2040" s="234" t="s">
        <v>8067</v>
      </c>
      <c r="R2040" s="431">
        <v>2667.5</v>
      </c>
      <c r="S2040" s="431">
        <f t="shared" si="475"/>
        <v>34320</v>
      </c>
      <c r="T2040" s="431">
        <f>35750+165+1072.5</f>
        <v>36987.5</v>
      </c>
      <c r="U2040" s="200">
        <v>1072.5</v>
      </c>
      <c r="V2040" s="75"/>
      <c r="W2040" s="75"/>
      <c r="X2040" s="200"/>
      <c r="Z2040" s="31"/>
      <c r="AA2040" s="223"/>
    </row>
    <row r="2041" spans="1:27" hidden="1" x14ac:dyDescent="0.25">
      <c r="A2041" s="315" t="s">
        <v>8060</v>
      </c>
      <c r="B2041" s="352" t="str">
        <f t="shared" si="474"/>
        <v>YES</v>
      </c>
      <c r="C2041" s="352" t="s">
        <v>5503</v>
      </c>
      <c r="D2041" s="95">
        <v>43552</v>
      </c>
      <c r="F2041" s="355"/>
      <c r="G2041" s="6">
        <v>160</v>
      </c>
      <c r="H2041" s="93" t="s">
        <v>522</v>
      </c>
      <c r="I2041" s="93" t="s">
        <v>512</v>
      </c>
      <c r="J2041" s="425" t="s">
        <v>8102</v>
      </c>
      <c r="K2041" s="184"/>
      <c r="L2041" s="393" t="s">
        <v>7602</v>
      </c>
      <c r="M2041" s="393" t="s">
        <v>7542</v>
      </c>
      <c r="O2041" s="166" t="s">
        <v>8076</v>
      </c>
      <c r="Q2041" s="234" t="s">
        <v>8068</v>
      </c>
      <c r="R2041" s="431">
        <v>725</v>
      </c>
      <c r="S2041" s="431">
        <f t="shared" si="475"/>
        <v>7680</v>
      </c>
      <c r="T2041" s="431">
        <f>8000+165+240</f>
        <v>8405</v>
      </c>
      <c r="U2041" s="200">
        <v>240</v>
      </c>
      <c r="V2041" s="75"/>
      <c r="W2041" s="75"/>
      <c r="X2041" s="200"/>
      <c r="Z2041" s="31"/>
      <c r="AA2041" s="223"/>
    </row>
    <row r="2042" spans="1:27" ht="15.75" hidden="1" thickBot="1" x14ac:dyDescent="0.3">
      <c r="A2042" s="316"/>
      <c r="B2042" s="352"/>
      <c r="F2042" s="355"/>
      <c r="G2042" s="6"/>
      <c r="I2042" s="93"/>
      <c r="J2042" s="425"/>
      <c r="K2042" s="184"/>
      <c r="L2042" s="393"/>
      <c r="M2042" s="393"/>
      <c r="Q2042" s="234"/>
      <c r="R2042" s="76">
        <f>SUM(R2034:R2041)</f>
        <v>12023</v>
      </c>
      <c r="S2042" s="76">
        <f>SUM(S2034:S2041)</f>
        <v>144864</v>
      </c>
      <c r="T2042" s="76">
        <f t="shared" ref="T2042" si="476">SUM(T2034:T2041)</f>
        <v>156887</v>
      </c>
      <c r="U2042" s="200"/>
      <c r="V2042" s="75"/>
      <c r="W2042" s="75"/>
      <c r="X2042" s="200"/>
      <c r="Z2042" s="31"/>
      <c r="AA2042" s="223"/>
    </row>
    <row r="2043" spans="1:27" hidden="1" x14ac:dyDescent="0.25">
      <c r="A2043" s="316"/>
      <c r="B2043" s="352"/>
      <c r="F2043" s="355"/>
      <c r="G2043" s="6"/>
      <c r="I2043" s="93"/>
      <c r="J2043" s="425"/>
      <c r="K2043" s="184"/>
      <c r="L2043" s="393"/>
      <c r="M2043" s="393"/>
      <c r="Q2043" s="234"/>
      <c r="R2043" s="431"/>
      <c r="S2043" s="431"/>
      <c r="T2043" s="431"/>
      <c r="U2043" s="200"/>
      <c r="V2043" s="75"/>
      <c r="W2043" s="75"/>
      <c r="X2043" s="200"/>
      <c r="Z2043" s="31"/>
      <c r="AA2043" s="223"/>
    </row>
    <row r="2044" spans="1:27" hidden="1" x14ac:dyDescent="0.25">
      <c r="A2044" s="315" t="s">
        <v>8077</v>
      </c>
      <c r="B2044" s="352" t="str">
        <f>IF(COUNTIF(GIS,A2044),"YES","NO")</f>
        <v>YES</v>
      </c>
      <c r="C2044" s="352" t="s">
        <v>5503</v>
      </c>
      <c r="D2044" s="95">
        <v>43636</v>
      </c>
      <c r="F2044" s="355"/>
      <c r="G2044" s="6">
        <v>320</v>
      </c>
      <c r="H2044" s="93" t="s">
        <v>8084</v>
      </c>
      <c r="I2044" s="93" t="s">
        <v>548</v>
      </c>
      <c r="J2044" s="425" t="s">
        <v>8102</v>
      </c>
      <c r="K2044" s="184"/>
      <c r="L2044" s="393" t="s">
        <v>7538</v>
      </c>
      <c r="M2044" s="393" t="s">
        <v>7531</v>
      </c>
      <c r="O2044" s="166" t="s">
        <v>8085</v>
      </c>
      <c r="Q2044" s="234" t="s">
        <v>8083</v>
      </c>
      <c r="R2044" s="431">
        <v>1285</v>
      </c>
      <c r="S2044" s="431">
        <f>T2044-R2044</f>
        <v>320</v>
      </c>
      <c r="T2044" s="431">
        <f>960+165+480</f>
        <v>1605</v>
      </c>
      <c r="U2044" s="200">
        <v>120</v>
      </c>
      <c r="V2044" s="75"/>
      <c r="W2044" s="75"/>
      <c r="X2044" s="200"/>
      <c r="Z2044" s="31"/>
      <c r="AA2044" s="223"/>
    </row>
    <row r="2045" spans="1:27" hidden="1" x14ac:dyDescent="0.25">
      <c r="A2045" s="315" t="s">
        <v>8078</v>
      </c>
      <c r="B2045" s="352" t="str">
        <f>IF(COUNTIF(GIS,A2045),"YES","NO")</f>
        <v>YES</v>
      </c>
      <c r="C2045" s="352" t="s">
        <v>5503</v>
      </c>
      <c r="D2045" s="95">
        <v>43636</v>
      </c>
      <c r="F2045" s="355"/>
      <c r="G2045" s="6">
        <v>161.28</v>
      </c>
      <c r="H2045" s="93" t="s">
        <v>892</v>
      </c>
      <c r="I2045" s="93" t="s">
        <v>512</v>
      </c>
      <c r="J2045" s="425" t="s">
        <v>8102</v>
      </c>
      <c r="K2045" s="184"/>
      <c r="L2045" s="393" t="s">
        <v>6178</v>
      </c>
      <c r="M2045" s="393" t="s">
        <v>5853</v>
      </c>
      <c r="O2045" s="166" t="s">
        <v>8080</v>
      </c>
      <c r="Q2045" s="234" t="s">
        <v>8081</v>
      </c>
      <c r="R2045" s="431">
        <v>732</v>
      </c>
      <c r="S2045" s="431">
        <f t="shared" ref="S2045:S2046" si="477">T2045-R2045</f>
        <v>0</v>
      </c>
      <c r="T2045" s="431">
        <f>324+165+243</f>
        <v>732</v>
      </c>
      <c r="U2045" s="200">
        <v>243</v>
      </c>
      <c r="V2045" s="75"/>
      <c r="W2045" s="75"/>
      <c r="X2045" s="200"/>
      <c r="Z2045" s="31"/>
      <c r="AA2045" s="223"/>
    </row>
    <row r="2046" spans="1:27" hidden="1" x14ac:dyDescent="0.25">
      <c r="A2046" s="315" t="s">
        <v>8079</v>
      </c>
      <c r="B2046" s="352" t="str">
        <f>IF(COUNTIF(GIS,A2046),"YES","NO")</f>
        <v>YES</v>
      </c>
      <c r="C2046" s="352" t="s">
        <v>5503</v>
      </c>
      <c r="D2046" s="95">
        <v>43636</v>
      </c>
      <c r="F2046" s="355"/>
      <c r="G2046" s="6">
        <v>160</v>
      </c>
      <c r="H2046" s="93" t="s">
        <v>892</v>
      </c>
      <c r="I2046" s="93" t="s">
        <v>512</v>
      </c>
      <c r="J2046" s="425" t="s">
        <v>8102</v>
      </c>
      <c r="K2046" s="184"/>
      <c r="L2046" s="393" t="s">
        <v>6178</v>
      </c>
      <c r="M2046" s="393" t="s">
        <v>5853</v>
      </c>
      <c r="O2046" s="166" t="s">
        <v>8086</v>
      </c>
      <c r="Q2046" s="234" t="s">
        <v>8082</v>
      </c>
      <c r="R2046" s="431">
        <v>725</v>
      </c>
      <c r="S2046" s="431">
        <f t="shared" si="477"/>
        <v>0</v>
      </c>
      <c r="T2046" s="431">
        <f>320+165+240</f>
        <v>725</v>
      </c>
      <c r="U2046" s="200">
        <v>240</v>
      </c>
      <c r="V2046" s="75"/>
      <c r="W2046" s="75"/>
      <c r="X2046" s="200"/>
      <c r="Z2046" s="31"/>
      <c r="AA2046" s="223"/>
    </row>
    <row r="2047" spans="1:27" ht="15.75" hidden="1" thickBot="1" x14ac:dyDescent="0.3">
      <c r="A2047" s="316"/>
      <c r="B2047" s="352"/>
      <c r="F2047" s="355"/>
      <c r="G2047" s="6"/>
      <c r="I2047" s="93"/>
      <c r="J2047" s="184"/>
      <c r="K2047" s="184"/>
      <c r="L2047" s="393"/>
      <c r="M2047" s="393"/>
      <c r="Q2047" s="234"/>
      <c r="R2047" s="76">
        <f>SUM(R2044:R2046)</f>
        <v>2742</v>
      </c>
      <c r="S2047" s="76">
        <f t="shared" ref="S2047:T2047" si="478">SUM(S2044:S2046)</f>
        <v>320</v>
      </c>
      <c r="T2047" s="76">
        <f t="shared" si="478"/>
        <v>3062</v>
      </c>
      <c r="U2047" s="200"/>
      <c r="V2047" s="75"/>
      <c r="W2047" s="75"/>
      <c r="X2047" s="200"/>
      <c r="Z2047" s="31"/>
      <c r="AA2047" s="223"/>
    </row>
    <row r="2048" spans="1:27" hidden="1" x14ac:dyDescent="0.25">
      <c r="A2048" s="316"/>
      <c r="B2048" s="352"/>
      <c r="F2048" s="355"/>
      <c r="G2048" s="6"/>
      <c r="I2048" s="93"/>
      <c r="J2048" s="184"/>
      <c r="K2048" s="184"/>
      <c r="L2048" s="393"/>
      <c r="M2048" s="393"/>
      <c r="Q2048" s="234"/>
      <c r="R2048" s="431"/>
      <c r="S2048" s="431"/>
      <c r="T2048" s="431"/>
      <c r="U2048" s="200"/>
      <c r="V2048" s="75"/>
      <c r="W2048" s="75"/>
      <c r="X2048" s="200"/>
      <c r="Z2048" s="31"/>
      <c r="AA2048" s="223"/>
    </row>
    <row r="2049" spans="1:28" hidden="1" x14ac:dyDescent="0.25">
      <c r="A2049" s="432" t="s">
        <v>8019</v>
      </c>
      <c r="B2049" s="352" t="str">
        <f t="shared" si="448"/>
        <v>YES</v>
      </c>
      <c r="C2049" s="352" t="s">
        <v>5503</v>
      </c>
      <c r="D2049" s="95">
        <v>43720</v>
      </c>
      <c r="E2049" s="146">
        <v>43739</v>
      </c>
      <c r="F2049" s="355">
        <f t="shared" si="471"/>
        <v>47392</v>
      </c>
      <c r="G2049" s="6">
        <v>9.58</v>
      </c>
      <c r="H2049" s="93" t="s">
        <v>453</v>
      </c>
      <c r="I2049" s="93" t="s">
        <v>86</v>
      </c>
      <c r="J2049" s="425"/>
      <c r="K2049" s="192">
        <f>YEAR(F2049)</f>
        <v>2029</v>
      </c>
      <c r="L2049" s="393" t="s">
        <v>8028</v>
      </c>
      <c r="M2049" s="393" t="s">
        <v>7592</v>
      </c>
      <c r="N2049" s="166" t="s">
        <v>8029</v>
      </c>
      <c r="O2049" s="166" t="s">
        <v>8042</v>
      </c>
      <c r="Q2049" s="234" t="s">
        <v>8035</v>
      </c>
      <c r="R2049" s="75">
        <v>200</v>
      </c>
      <c r="S2049" s="75">
        <f>T2049-R2049</f>
        <v>0</v>
      </c>
      <c r="T2049" s="75">
        <f>20+165+15</f>
        <v>200</v>
      </c>
      <c r="U2049" s="200">
        <v>15</v>
      </c>
      <c r="V2049" s="75"/>
      <c r="W2049" s="75"/>
      <c r="X2049" s="200"/>
      <c r="Z2049" s="31"/>
      <c r="AA2049" s="223"/>
      <c r="AB2049" s="312" t="s">
        <v>8132</v>
      </c>
    </row>
    <row r="2050" spans="1:28" hidden="1" x14ac:dyDescent="0.25">
      <c r="A2050" s="432" t="s">
        <v>8020</v>
      </c>
      <c r="B2050" s="352" t="str">
        <f t="shared" si="448"/>
        <v>YES</v>
      </c>
      <c r="C2050" s="352" t="s">
        <v>5503</v>
      </c>
      <c r="D2050" s="95">
        <v>43720</v>
      </c>
      <c r="E2050" s="146">
        <v>43739</v>
      </c>
      <c r="F2050" s="355">
        <f t="shared" si="471"/>
        <v>47392</v>
      </c>
      <c r="G2050" s="6">
        <v>122.39</v>
      </c>
      <c r="H2050" s="93" t="s">
        <v>453</v>
      </c>
      <c r="I2050" s="93" t="s">
        <v>86</v>
      </c>
      <c r="J2050" s="425"/>
      <c r="K2050" s="192">
        <f t="shared" ref="K2050:K2057" si="479">YEAR(F2050)</f>
        <v>2029</v>
      </c>
      <c r="L2050" s="393" t="s">
        <v>7631</v>
      </c>
      <c r="M2050" s="393" t="s">
        <v>5853</v>
      </c>
      <c r="N2050" s="166" t="s">
        <v>8029</v>
      </c>
      <c r="O2050" s="166" t="s">
        <v>8041</v>
      </c>
      <c r="Q2050" s="234" t="s">
        <v>8036</v>
      </c>
      <c r="R2050" s="75">
        <v>595.5</v>
      </c>
      <c r="S2050" s="75">
        <f t="shared" ref="S2050:S2057" si="480">T2050-R2050</f>
        <v>0</v>
      </c>
      <c r="T2050" s="75">
        <f>246+165+184.5</f>
        <v>595.5</v>
      </c>
      <c r="U2050" s="200">
        <v>184.5</v>
      </c>
      <c r="V2050" s="75"/>
      <c r="W2050" s="75"/>
      <c r="X2050" s="200"/>
      <c r="Z2050" s="31"/>
      <c r="AA2050" s="223"/>
      <c r="AB2050" s="312" t="s">
        <v>8132</v>
      </c>
    </row>
    <row r="2051" spans="1:28" hidden="1" x14ac:dyDescent="0.25">
      <c r="A2051" s="432" t="s">
        <v>8021</v>
      </c>
      <c r="B2051" s="352" t="str">
        <f t="shared" si="448"/>
        <v>YES</v>
      </c>
      <c r="C2051" s="352" t="s">
        <v>5503</v>
      </c>
      <c r="D2051" s="95">
        <v>43720</v>
      </c>
      <c r="E2051" s="146">
        <v>43739</v>
      </c>
      <c r="F2051" s="355">
        <f t="shared" si="471"/>
        <v>47392</v>
      </c>
      <c r="G2051" s="6">
        <v>565.95000000000005</v>
      </c>
      <c r="H2051" s="93" t="s">
        <v>453</v>
      </c>
      <c r="I2051" s="93" t="s">
        <v>86</v>
      </c>
      <c r="J2051" s="425"/>
      <c r="K2051" s="192">
        <f t="shared" si="479"/>
        <v>2029</v>
      </c>
      <c r="L2051" s="393" t="s">
        <v>7631</v>
      </c>
      <c r="M2051" s="393" t="s">
        <v>5853</v>
      </c>
      <c r="N2051" s="166" t="s">
        <v>8029</v>
      </c>
      <c r="O2051" s="166" t="s">
        <v>8037</v>
      </c>
      <c r="Q2051" s="234" t="s">
        <v>8038</v>
      </c>
      <c r="R2051" s="75">
        <v>2146</v>
      </c>
      <c r="S2051" s="75">
        <f t="shared" si="480"/>
        <v>0</v>
      </c>
      <c r="T2051" s="75">
        <f>1132+165+849</f>
        <v>2146</v>
      </c>
      <c r="U2051" s="200">
        <v>849</v>
      </c>
      <c r="V2051" s="75"/>
      <c r="W2051" s="75"/>
      <c r="X2051" s="200"/>
      <c r="Z2051" s="31"/>
      <c r="AA2051" s="223"/>
      <c r="AB2051" s="312" t="s">
        <v>8132</v>
      </c>
    </row>
    <row r="2052" spans="1:28" hidden="1" x14ac:dyDescent="0.25">
      <c r="A2052" s="432" t="s">
        <v>8022</v>
      </c>
      <c r="B2052" s="352" t="str">
        <f t="shared" si="448"/>
        <v>YES</v>
      </c>
      <c r="C2052" s="352" t="s">
        <v>5503</v>
      </c>
      <c r="D2052" s="95">
        <v>43720</v>
      </c>
      <c r="E2052" s="146">
        <v>43739</v>
      </c>
      <c r="F2052" s="355">
        <f t="shared" si="471"/>
        <v>47392</v>
      </c>
      <c r="G2052" s="6">
        <v>133.38999999999999</v>
      </c>
      <c r="H2052" s="93" t="s">
        <v>453</v>
      </c>
      <c r="I2052" s="93" t="s">
        <v>86</v>
      </c>
      <c r="J2052" s="425"/>
      <c r="K2052" s="192">
        <f t="shared" si="479"/>
        <v>2029</v>
      </c>
      <c r="L2052" s="393" t="s">
        <v>7631</v>
      </c>
      <c r="M2052" s="393" t="s">
        <v>5853</v>
      </c>
      <c r="N2052" s="166" t="s">
        <v>8029</v>
      </c>
      <c r="O2052" s="166" t="s">
        <v>8040</v>
      </c>
      <c r="Q2052" s="234" t="s">
        <v>8039</v>
      </c>
      <c r="R2052" s="75">
        <v>634</v>
      </c>
      <c r="S2052" s="75">
        <f t="shared" si="480"/>
        <v>0</v>
      </c>
      <c r="T2052" s="75">
        <f>268+165+201</f>
        <v>634</v>
      </c>
      <c r="U2052" s="200">
        <v>201</v>
      </c>
      <c r="V2052" s="75"/>
      <c r="W2052" s="75"/>
      <c r="X2052" s="200"/>
      <c r="Z2052" s="31"/>
      <c r="AA2052" s="223"/>
      <c r="AB2052" s="312" t="s">
        <v>8132</v>
      </c>
    </row>
    <row r="2053" spans="1:28" hidden="1" x14ac:dyDescent="0.25">
      <c r="A2053" s="432" t="s">
        <v>8023</v>
      </c>
      <c r="B2053" s="352" t="str">
        <f t="shared" si="448"/>
        <v>YES</v>
      </c>
      <c r="C2053" s="352" t="s">
        <v>5503</v>
      </c>
      <c r="D2053" s="95">
        <v>43720</v>
      </c>
      <c r="E2053" s="146">
        <v>43739</v>
      </c>
      <c r="F2053" s="355">
        <f t="shared" si="471"/>
        <v>47392</v>
      </c>
      <c r="G2053" s="6">
        <v>79.36</v>
      </c>
      <c r="H2053" s="93" t="s">
        <v>453</v>
      </c>
      <c r="I2053" s="93" t="s">
        <v>86</v>
      </c>
      <c r="J2053" s="425"/>
      <c r="K2053" s="192">
        <f t="shared" si="479"/>
        <v>2029</v>
      </c>
      <c r="L2053" s="393" t="s">
        <v>7631</v>
      </c>
      <c r="M2053" s="393" t="s">
        <v>8030</v>
      </c>
      <c r="N2053" s="166" t="s">
        <v>8029</v>
      </c>
      <c r="O2053" s="166" t="s">
        <v>8044</v>
      </c>
      <c r="Q2053" s="234" t="s">
        <v>8043</v>
      </c>
      <c r="R2053" s="75">
        <v>445</v>
      </c>
      <c r="S2053" s="75">
        <f t="shared" si="480"/>
        <v>0</v>
      </c>
      <c r="T2053" s="75">
        <f>160+165+120</f>
        <v>445</v>
      </c>
      <c r="U2053" s="200">
        <v>120</v>
      </c>
      <c r="V2053" s="75"/>
      <c r="W2053" s="75"/>
      <c r="X2053" s="200"/>
      <c r="Z2053" s="31"/>
      <c r="AA2053" s="223"/>
      <c r="AB2053" s="312" t="s">
        <v>8132</v>
      </c>
    </row>
    <row r="2054" spans="1:28" hidden="1" x14ac:dyDescent="0.25">
      <c r="A2054" s="432" t="s">
        <v>8024</v>
      </c>
      <c r="B2054" s="352" t="str">
        <f t="shared" si="448"/>
        <v>YES</v>
      </c>
      <c r="C2054" s="352" t="s">
        <v>5503</v>
      </c>
      <c r="D2054" s="95">
        <v>43720</v>
      </c>
      <c r="E2054" s="146">
        <v>43739</v>
      </c>
      <c r="F2054" s="355">
        <f t="shared" si="471"/>
        <v>47392</v>
      </c>
      <c r="G2054" s="6">
        <v>79.760000000000005</v>
      </c>
      <c r="H2054" s="93" t="s">
        <v>684</v>
      </c>
      <c r="I2054" s="93" t="s">
        <v>86</v>
      </c>
      <c r="J2054" s="425"/>
      <c r="K2054" s="192">
        <f t="shared" si="479"/>
        <v>2029</v>
      </c>
      <c r="L2054" s="393" t="s">
        <v>7629</v>
      </c>
      <c r="M2054" s="393" t="s">
        <v>7622</v>
      </c>
      <c r="N2054" s="166" t="s">
        <v>8031</v>
      </c>
      <c r="O2054" s="166" t="s">
        <v>8046</v>
      </c>
      <c r="Q2054" s="234" t="s">
        <v>8045</v>
      </c>
      <c r="R2054" s="75">
        <v>445</v>
      </c>
      <c r="S2054" s="75">
        <f t="shared" si="480"/>
        <v>0</v>
      </c>
      <c r="T2054" s="75">
        <f>160+165+120</f>
        <v>445</v>
      </c>
      <c r="U2054" s="200">
        <v>120</v>
      </c>
      <c r="V2054" s="75"/>
      <c r="W2054" s="75"/>
      <c r="X2054" s="200"/>
      <c r="Z2054" s="31"/>
      <c r="AA2054" s="223"/>
      <c r="AB2054" s="312" t="s">
        <v>8130</v>
      </c>
    </row>
    <row r="2055" spans="1:28" hidden="1" x14ac:dyDescent="0.25">
      <c r="A2055" s="432" t="s">
        <v>8025</v>
      </c>
      <c r="B2055" s="352" t="str">
        <f t="shared" si="448"/>
        <v>YES</v>
      </c>
      <c r="C2055" s="352" t="s">
        <v>5503</v>
      </c>
      <c r="D2055" s="95">
        <v>43720</v>
      </c>
      <c r="E2055" s="146">
        <v>43739</v>
      </c>
      <c r="F2055" s="355">
        <f t="shared" si="471"/>
        <v>47392</v>
      </c>
      <c r="G2055" s="6">
        <v>79.680000000000007</v>
      </c>
      <c r="H2055" s="93" t="s">
        <v>684</v>
      </c>
      <c r="I2055" s="93" t="s">
        <v>86</v>
      </c>
      <c r="J2055" s="425"/>
      <c r="K2055" s="192">
        <f t="shared" si="479"/>
        <v>2029</v>
      </c>
      <c r="L2055" s="393" t="s">
        <v>7629</v>
      </c>
      <c r="M2055" s="393" t="s">
        <v>7622</v>
      </c>
      <c r="N2055" s="166" t="s">
        <v>8031</v>
      </c>
      <c r="O2055" s="166" t="s">
        <v>8048</v>
      </c>
      <c r="Q2055" s="234" t="s">
        <v>8047</v>
      </c>
      <c r="R2055" s="75">
        <v>445</v>
      </c>
      <c r="S2055" s="75">
        <f t="shared" si="480"/>
        <v>0</v>
      </c>
      <c r="T2055" s="75">
        <f>160+165+120</f>
        <v>445</v>
      </c>
      <c r="U2055" s="200">
        <v>120</v>
      </c>
      <c r="V2055" s="75"/>
      <c r="W2055" s="75"/>
      <c r="X2055" s="200"/>
      <c r="Z2055" s="31"/>
      <c r="AA2055" s="223"/>
      <c r="AB2055" s="312" t="s">
        <v>8130</v>
      </c>
    </row>
    <row r="2056" spans="1:28" hidden="1" x14ac:dyDescent="0.25">
      <c r="A2056" s="432" t="s">
        <v>8027</v>
      </c>
      <c r="B2056" s="352" t="str">
        <f t="shared" si="448"/>
        <v>YES</v>
      </c>
      <c r="C2056" s="352" t="s">
        <v>5503</v>
      </c>
      <c r="D2056" s="95">
        <v>43720</v>
      </c>
      <c r="E2056" s="146">
        <v>43739</v>
      </c>
      <c r="F2056" s="355">
        <f t="shared" si="471"/>
        <v>47392</v>
      </c>
      <c r="G2056" s="6">
        <v>42.25</v>
      </c>
      <c r="H2056" s="93" t="s">
        <v>2747</v>
      </c>
      <c r="I2056" s="93" t="s">
        <v>2748</v>
      </c>
      <c r="J2056" s="425"/>
      <c r="K2056" s="192">
        <f t="shared" si="479"/>
        <v>2029</v>
      </c>
      <c r="L2056" s="393" t="s">
        <v>8032</v>
      </c>
      <c r="M2056" s="393" t="s">
        <v>7616</v>
      </c>
      <c r="N2056" s="166" t="s">
        <v>8033</v>
      </c>
      <c r="O2056" s="166" t="s">
        <v>8049</v>
      </c>
      <c r="Q2056" s="234" t="s">
        <v>8050</v>
      </c>
      <c r="R2056" s="75">
        <v>315.5</v>
      </c>
      <c r="S2056" s="75">
        <f t="shared" si="480"/>
        <v>21672</v>
      </c>
      <c r="T2056" s="75">
        <f>21758+165+64.5</f>
        <v>21987.5</v>
      </c>
      <c r="U2056" s="200">
        <v>64.5</v>
      </c>
      <c r="V2056" s="75"/>
      <c r="W2056" s="75"/>
      <c r="X2056" s="200"/>
      <c r="Z2056" s="31"/>
      <c r="AA2056" s="223"/>
      <c r="AB2056" s="312" t="s">
        <v>8133</v>
      </c>
    </row>
    <row r="2057" spans="1:28" hidden="1" x14ac:dyDescent="0.25">
      <c r="A2057" s="432" t="s">
        <v>8026</v>
      </c>
      <c r="B2057" s="352" t="str">
        <f t="shared" si="448"/>
        <v>YES</v>
      </c>
      <c r="C2057" s="352" t="s">
        <v>5503</v>
      </c>
      <c r="D2057" s="95">
        <v>43720</v>
      </c>
      <c r="E2057" s="146">
        <v>43739</v>
      </c>
      <c r="F2057" s="355">
        <f t="shared" si="471"/>
        <v>47392</v>
      </c>
      <c r="G2057" s="6">
        <v>40.4</v>
      </c>
      <c r="H2057" s="93" t="s">
        <v>2397</v>
      </c>
      <c r="I2057" s="93" t="s">
        <v>79</v>
      </c>
      <c r="J2057" s="425"/>
      <c r="K2057" s="192">
        <f t="shared" si="479"/>
        <v>2029</v>
      </c>
      <c r="L2057" s="393" t="s">
        <v>7608</v>
      </c>
      <c r="M2057" s="393" t="s">
        <v>7616</v>
      </c>
      <c r="N2057" s="166" t="s">
        <v>8034</v>
      </c>
      <c r="O2057" s="166" t="s">
        <v>8052</v>
      </c>
      <c r="Q2057" s="234" t="s">
        <v>8051</v>
      </c>
      <c r="R2057" s="75">
        <v>308.5</v>
      </c>
      <c r="S2057" s="75">
        <f t="shared" si="480"/>
        <v>0</v>
      </c>
      <c r="T2057" s="75">
        <f>82+165+61.5</f>
        <v>308.5</v>
      </c>
      <c r="U2057" s="200">
        <v>61.5</v>
      </c>
      <c r="V2057" s="75"/>
      <c r="W2057" s="75"/>
      <c r="X2057" s="200"/>
      <c r="Z2057" s="31"/>
      <c r="AA2057" s="223"/>
    </row>
    <row r="2058" spans="1:28" ht="15.75" hidden="1" thickBot="1" x14ac:dyDescent="0.3">
      <c r="B2058" s="352"/>
      <c r="F2058" s="355"/>
      <c r="G2058" s="6"/>
      <c r="J2058" s="184"/>
      <c r="K2058" s="192"/>
      <c r="L2058" s="393"/>
      <c r="M2058" s="393"/>
      <c r="R2058" s="76">
        <f>SUM(R2049:R2057)</f>
        <v>5534.5</v>
      </c>
      <c r="S2058" s="76">
        <f>SUM(S2049:S2057)</f>
        <v>21672</v>
      </c>
      <c r="T2058" s="76">
        <f>SUM(T2049:T2057)</f>
        <v>27206.5</v>
      </c>
      <c r="U2058" s="200"/>
      <c r="V2058" s="75"/>
      <c r="W2058" s="75"/>
      <c r="X2058" s="200"/>
      <c r="Z2058" s="31"/>
      <c r="AA2058" s="223"/>
    </row>
    <row r="2059" spans="1:28" hidden="1" x14ac:dyDescent="0.25">
      <c r="B2059" s="352"/>
      <c r="F2059" s="355"/>
      <c r="G2059" s="6"/>
      <c r="J2059" s="184"/>
      <c r="K2059" s="192"/>
      <c r="L2059" s="393"/>
      <c r="M2059" s="393"/>
      <c r="R2059" s="431"/>
      <c r="S2059" s="431"/>
      <c r="T2059" s="431"/>
      <c r="U2059" s="200"/>
      <c r="V2059" s="75"/>
      <c r="W2059" s="75"/>
      <c r="X2059" s="200"/>
      <c r="Z2059" s="31"/>
      <c r="AA2059" s="223"/>
    </row>
    <row r="2060" spans="1:28" hidden="1" x14ac:dyDescent="0.25">
      <c r="B2060" s="352"/>
      <c r="F2060" s="355"/>
      <c r="G2060" s="6"/>
      <c r="J2060" s="184"/>
      <c r="K2060" s="192"/>
      <c r="L2060" s="393"/>
      <c r="M2060" s="393"/>
      <c r="R2060" s="431"/>
      <c r="S2060" s="431"/>
      <c r="T2060" s="431"/>
      <c r="U2060" s="200"/>
      <c r="V2060" s="75"/>
      <c r="W2060" s="75"/>
      <c r="X2060" s="200"/>
      <c r="Z2060" s="31"/>
      <c r="AA2060" s="223"/>
    </row>
    <row r="2061" spans="1:28" ht="45" hidden="1" x14ac:dyDescent="0.25">
      <c r="A2061" s="315" t="s">
        <v>8195</v>
      </c>
      <c r="B2061" s="352" t="str">
        <f t="shared" si="448"/>
        <v>NO</v>
      </c>
      <c r="C2061" s="352" t="s">
        <v>5503</v>
      </c>
      <c r="D2061" s="95">
        <v>43809</v>
      </c>
      <c r="F2061" s="355"/>
      <c r="G2061" s="442">
        <v>203.57</v>
      </c>
      <c r="H2061" s="93" t="s">
        <v>5987</v>
      </c>
      <c r="I2061" s="402" t="s">
        <v>5460</v>
      </c>
      <c r="J2061" s="425" t="s">
        <v>8194</v>
      </c>
      <c r="K2061" s="192"/>
      <c r="L2061" s="94" t="s">
        <v>6180</v>
      </c>
      <c r="M2061" s="94" t="s">
        <v>5683</v>
      </c>
      <c r="N2061" s="166" t="s">
        <v>8196</v>
      </c>
      <c r="O2061" s="441" t="s">
        <v>8197</v>
      </c>
      <c r="Q2061" s="428" t="s">
        <v>8198</v>
      </c>
      <c r="R2061" s="431">
        <v>884</v>
      </c>
      <c r="S2061" s="431">
        <f>T2061-R2061</f>
        <v>204</v>
      </c>
      <c r="T2061" s="431">
        <f>612+170+306</f>
        <v>1088</v>
      </c>
      <c r="U2061" s="200">
        <v>306</v>
      </c>
      <c r="V2061" s="75"/>
      <c r="W2061" s="75"/>
      <c r="X2061" s="200"/>
      <c r="Z2061" s="31"/>
      <c r="AA2061" s="223"/>
    </row>
    <row r="2062" spans="1:28" ht="15.75" hidden="1" thickBot="1" x14ac:dyDescent="0.3">
      <c r="B2062" s="352"/>
      <c r="F2062" s="355"/>
      <c r="G2062" s="6"/>
      <c r="J2062" s="184"/>
      <c r="K2062" s="192"/>
      <c r="L2062" s="393"/>
      <c r="M2062" s="393"/>
      <c r="R2062" s="76">
        <f>SUM(R2061)</f>
        <v>884</v>
      </c>
      <c r="S2062" s="76">
        <f t="shared" ref="S2062:T2062" si="481">SUM(S2061)</f>
        <v>204</v>
      </c>
      <c r="T2062" s="76">
        <f t="shared" si="481"/>
        <v>1088</v>
      </c>
      <c r="U2062" s="200"/>
      <c r="V2062" s="75"/>
      <c r="W2062" s="75"/>
      <c r="X2062" s="200"/>
      <c r="Z2062" s="31"/>
      <c r="AA2062" s="223"/>
    </row>
    <row r="2063" spans="1:28" hidden="1" x14ac:dyDescent="0.25">
      <c r="B2063" s="352"/>
      <c r="F2063" s="355"/>
      <c r="G2063" s="6"/>
      <c r="J2063" s="184"/>
      <c r="K2063" s="192"/>
      <c r="L2063" s="393"/>
      <c r="M2063" s="393"/>
      <c r="R2063" s="431"/>
      <c r="S2063" s="431"/>
      <c r="T2063" s="431"/>
      <c r="U2063" s="200"/>
      <c r="V2063" s="75"/>
      <c r="W2063" s="75"/>
      <c r="X2063" s="200"/>
      <c r="Z2063" s="31"/>
      <c r="AA2063" s="223"/>
    </row>
    <row r="2064" spans="1:28" hidden="1" x14ac:dyDescent="0.25">
      <c r="B2064" s="352"/>
      <c r="F2064" s="355"/>
      <c r="G2064" s="6"/>
      <c r="J2064" s="184"/>
      <c r="K2064" s="192"/>
      <c r="L2064" s="393"/>
      <c r="M2064" s="393"/>
      <c r="R2064" s="431"/>
      <c r="S2064" s="431"/>
      <c r="T2064" s="431"/>
      <c r="U2064" s="200"/>
      <c r="V2064" s="75"/>
      <c r="W2064" s="75"/>
      <c r="X2064" s="200"/>
      <c r="Z2064" s="31"/>
      <c r="AA2064" s="223"/>
    </row>
    <row r="2065" spans="1:27" ht="39" hidden="1" x14ac:dyDescent="0.25">
      <c r="A2065" s="432" t="s">
        <v>8136</v>
      </c>
      <c r="B2065" s="352" t="str">
        <f t="shared" si="448"/>
        <v>NO</v>
      </c>
      <c r="C2065" s="352" t="s">
        <v>5503</v>
      </c>
      <c r="D2065" s="95">
        <v>43811</v>
      </c>
      <c r="F2065" s="355"/>
      <c r="G2065" s="439">
        <v>280.42</v>
      </c>
      <c r="H2065" s="437" t="s">
        <v>458</v>
      </c>
      <c r="I2065" s="402" t="s">
        <v>86</v>
      </c>
      <c r="J2065" s="425" t="s">
        <v>2184</v>
      </c>
      <c r="K2065" s="192"/>
      <c r="L2065" s="94" t="s">
        <v>5698</v>
      </c>
      <c r="M2065" s="94" t="s">
        <v>7617</v>
      </c>
      <c r="N2065" s="166" t="s">
        <v>8154</v>
      </c>
      <c r="O2065" s="438" t="s">
        <v>8157</v>
      </c>
      <c r="Q2065" s="428" t="s">
        <v>8175</v>
      </c>
      <c r="R2065" s="431">
        <v>1153.5</v>
      </c>
      <c r="S2065" s="431">
        <f>T2065-R2065</f>
        <v>0</v>
      </c>
      <c r="T2065" s="431">
        <f>562+170+421.5</f>
        <v>1153.5</v>
      </c>
      <c r="U2065" s="200">
        <v>421.5</v>
      </c>
      <c r="V2065" s="75"/>
      <c r="W2065" s="75"/>
      <c r="X2065" s="200"/>
      <c r="Z2065" s="31"/>
      <c r="AA2065" s="223"/>
    </row>
    <row r="2066" spans="1:27" ht="26.25" hidden="1" x14ac:dyDescent="0.25">
      <c r="A2066" s="432" t="s">
        <v>8137</v>
      </c>
      <c r="B2066" s="352" t="str">
        <f t="shared" si="448"/>
        <v>NO</v>
      </c>
      <c r="C2066" s="352" t="s">
        <v>5503</v>
      </c>
      <c r="D2066" s="95">
        <v>43811</v>
      </c>
      <c r="F2066" s="355"/>
      <c r="G2066" s="439">
        <v>40.049999999999997</v>
      </c>
      <c r="H2066" s="437" t="s">
        <v>458</v>
      </c>
      <c r="I2066" s="402" t="s">
        <v>86</v>
      </c>
      <c r="J2066" s="425" t="s">
        <v>2184</v>
      </c>
      <c r="K2066" s="192"/>
      <c r="L2066" s="94" t="s">
        <v>5698</v>
      </c>
      <c r="M2066" s="94" t="s">
        <v>7617</v>
      </c>
      <c r="N2066" s="166" t="s">
        <v>8154</v>
      </c>
      <c r="O2066" s="438" t="s">
        <v>8158</v>
      </c>
      <c r="Q2066" s="428" t="s">
        <v>8176</v>
      </c>
      <c r="R2066" s="431">
        <v>313.5</v>
      </c>
      <c r="S2066" s="431">
        <f t="shared" ref="S2066:S2082" si="482">T2066-R2066</f>
        <v>0</v>
      </c>
      <c r="T2066" s="431">
        <f>82+170+61.5</f>
        <v>313.5</v>
      </c>
      <c r="U2066" s="200">
        <v>61.5</v>
      </c>
      <c r="V2066" s="75"/>
      <c r="W2066" s="75"/>
      <c r="X2066" s="200"/>
      <c r="Z2066" s="31"/>
      <c r="AA2066" s="223"/>
    </row>
    <row r="2067" spans="1:27" ht="26.25" hidden="1" x14ac:dyDescent="0.25">
      <c r="A2067" s="432" t="s">
        <v>8138</v>
      </c>
      <c r="B2067" s="352" t="str">
        <f t="shared" si="448"/>
        <v>NO</v>
      </c>
      <c r="C2067" s="352" t="s">
        <v>5503</v>
      </c>
      <c r="D2067" s="95">
        <v>43811</v>
      </c>
      <c r="F2067" s="355"/>
      <c r="G2067" s="439">
        <v>639.20000000000005</v>
      </c>
      <c r="H2067" s="437" t="s">
        <v>458</v>
      </c>
      <c r="I2067" s="402" t="s">
        <v>86</v>
      </c>
      <c r="J2067" s="425" t="s">
        <v>8193</v>
      </c>
      <c r="K2067" s="192"/>
      <c r="L2067" s="94" t="s">
        <v>5698</v>
      </c>
      <c r="M2067" s="94" t="s">
        <v>7617</v>
      </c>
      <c r="N2067" s="166" t="s">
        <v>8154</v>
      </c>
      <c r="O2067" s="438" t="s">
        <v>8160</v>
      </c>
      <c r="Q2067" s="428" t="s">
        <v>8177</v>
      </c>
      <c r="R2067" s="431">
        <v>2410</v>
      </c>
      <c r="S2067" s="431">
        <f t="shared" si="482"/>
        <v>0</v>
      </c>
      <c r="T2067" s="431">
        <f>1280+170+960</f>
        <v>2410</v>
      </c>
      <c r="U2067" s="200"/>
      <c r="V2067" s="75"/>
      <c r="W2067" s="75"/>
      <c r="X2067" s="200"/>
      <c r="Z2067" s="31"/>
      <c r="AA2067" s="223"/>
    </row>
    <row r="2068" spans="1:27" ht="39" hidden="1" x14ac:dyDescent="0.25">
      <c r="A2068" s="432" t="s">
        <v>8139</v>
      </c>
      <c r="B2068" s="352" t="str">
        <f t="shared" si="448"/>
        <v>NO</v>
      </c>
      <c r="C2068" s="352" t="s">
        <v>5503</v>
      </c>
      <c r="D2068" s="95">
        <v>43811</v>
      </c>
      <c r="F2068" s="355"/>
      <c r="G2068" s="439">
        <v>479.52</v>
      </c>
      <c r="H2068" s="437" t="s">
        <v>458</v>
      </c>
      <c r="I2068" s="402" t="s">
        <v>86</v>
      </c>
      <c r="J2068" s="425" t="s">
        <v>2184</v>
      </c>
      <c r="K2068" s="192"/>
      <c r="L2068" s="94" t="s">
        <v>5698</v>
      </c>
      <c r="M2068" s="94" t="s">
        <v>7617</v>
      </c>
      <c r="N2068" s="166" t="s">
        <v>8154</v>
      </c>
      <c r="O2068" s="438" t="s">
        <v>8159</v>
      </c>
      <c r="Q2068" s="428" t="s">
        <v>8192</v>
      </c>
      <c r="R2068" s="431">
        <v>1850</v>
      </c>
      <c r="S2068" s="431">
        <f t="shared" si="482"/>
        <v>0</v>
      </c>
      <c r="T2068" s="431">
        <f>960+170+720</f>
        <v>1850</v>
      </c>
      <c r="U2068" s="200">
        <v>720</v>
      </c>
      <c r="V2068" s="75"/>
      <c r="W2068" s="75"/>
      <c r="X2068" s="200"/>
      <c r="Z2068" s="31"/>
      <c r="AA2068" s="223"/>
    </row>
    <row r="2069" spans="1:27" ht="26.25" hidden="1" x14ac:dyDescent="0.25">
      <c r="A2069" s="432" t="s">
        <v>8140</v>
      </c>
      <c r="B2069" s="352" t="str">
        <f t="shared" si="448"/>
        <v>NO</v>
      </c>
      <c r="C2069" s="352" t="s">
        <v>5503</v>
      </c>
      <c r="D2069" s="95">
        <v>43811</v>
      </c>
      <c r="F2069" s="355"/>
      <c r="G2069" s="439">
        <v>169.92</v>
      </c>
      <c r="H2069" s="437" t="s">
        <v>3750</v>
      </c>
      <c r="I2069" s="402" t="s">
        <v>86</v>
      </c>
      <c r="J2069" s="425" t="s">
        <v>2184</v>
      </c>
      <c r="K2069" s="192"/>
      <c r="L2069" s="94" t="s">
        <v>7629</v>
      </c>
      <c r="M2069" s="94" t="s">
        <v>6140</v>
      </c>
      <c r="N2069" s="166" t="s">
        <v>8155</v>
      </c>
      <c r="O2069" s="438" t="s">
        <v>8161</v>
      </c>
      <c r="Q2069" s="428" t="s">
        <v>8178</v>
      </c>
      <c r="R2069" s="431">
        <v>765</v>
      </c>
      <c r="S2069" s="431">
        <f t="shared" si="482"/>
        <v>0</v>
      </c>
      <c r="T2069" s="431">
        <f>340+170+255</f>
        <v>765</v>
      </c>
      <c r="U2069" s="200">
        <v>255</v>
      </c>
      <c r="V2069" s="75"/>
      <c r="W2069" s="75"/>
      <c r="X2069" s="200"/>
      <c r="Z2069" s="31"/>
      <c r="AA2069" s="223"/>
    </row>
    <row r="2070" spans="1:27" ht="26.25" hidden="1" x14ac:dyDescent="0.25">
      <c r="A2070" s="432" t="s">
        <v>8141</v>
      </c>
      <c r="B2070" s="352" t="str">
        <f t="shared" si="448"/>
        <v>NO</v>
      </c>
      <c r="C2070" s="352" t="s">
        <v>5503</v>
      </c>
      <c r="D2070" s="95">
        <v>43811</v>
      </c>
      <c r="F2070" s="355"/>
      <c r="G2070" s="439">
        <v>318.48</v>
      </c>
      <c r="H2070" s="437" t="s">
        <v>332</v>
      </c>
      <c r="I2070" s="402" t="s">
        <v>86</v>
      </c>
      <c r="J2070" s="425" t="s">
        <v>8194</v>
      </c>
      <c r="K2070" s="192"/>
      <c r="L2070" s="94" t="s">
        <v>7629</v>
      </c>
      <c r="M2070" s="94" t="s">
        <v>7743</v>
      </c>
      <c r="N2070" s="166" t="s">
        <v>8155</v>
      </c>
      <c r="O2070" s="438" t="s">
        <v>8162</v>
      </c>
      <c r="Q2070" s="428" t="s">
        <v>8179</v>
      </c>
      <c r="R2070" s="431">
        <v>1286.5</v>
      </c>
      <c r="S2070" s="431">
        <f t="shared" si="482"/>
        <v>0</v>
      </c>
      <c r="T2070" s="431">
        <f>638+170+478.5</f>
        <v>1286.5</v>
      </c>
      <c r="U2070" s="200"/>
      <c r="V2070" s="75"/>
      <c r="W2070" s="75"/>
      <c r="X2070" s="200"/>
      <c r="Z2070" s="31"/>
      <c r="AA2070" s="223"/>
    </row>
    <row r="2071" spans="1:27" ht="26.25" hidden="1" x14ac:dyDescent="0.25">
      <c r="A2071" s="432" t="s">
        <v>8142</v>
      </c>
      <c r="B2071" s="352" t="str">
        <f t="shared" si="448"/>
        <v>NO</v>
      </c>
      <c r="C2071" s="352" t="s">
        <v>5503</v>
      </c>
      <c r="D2071" s="95">
        <v>43811</v>
      </c>
      <c r="F2071" s="355"/>
      <c r="G2071" s="439">
        <v>484.68</v>
      </c>
      <c r="H2071" s="437" t="s">
        <v>332</v>
      </c>
      <c r="I2071" s="402" t="s">
        <v>86</v>
      </c>
      <c r="J2071" s="425" t="s">
        <v>8194</v>
      </c>
      <c r="K2071" s="192"/>
      <c r="L2071" s="94" t="s">
        <v>7629</v>
      </c>
      <c r="M2071" s="94" t="s">
        <v>7743</v>
      </c>
      <c r="N2071" s="166" t="s">
        <v>8155</v>
      </c>
      <c r="O2071" s="438" t="s">
        <v>8163</v>
      </c>
      <c r="Q2071" s="428" t="s">
        <v>8180</v>
      </c>
      <c r="R2071" s="431">
        <v>1867.5</v>
      </c>
      <c r="S2071" s="431">
        <f t="shared" si="482"/>
        <v>0</v>
      </c>
      <c r="T2071" s="431">
        <f>970+170+727.5</f>
        <v>1867.5</v>
      </c>
      <c r="U2071" s="200"/>
      <c r="V2071" s="75"/>
      <c r="W2071" s="75"/>
      <c r="X2071" s="200"/>
      <c r="Z2071" s="31"/>
      <c r="AA2071" s="223"/>
    </row>
    <row r="2072" spans="1:27" ht="26.25" hidden="1" x14ac:dyDescent="0.25">
      <c r="A2072" s="432" t="s">
        <v>8143</v>
      </c>
      <c r="B2072" s="352" t="str">
        <f t="shared" si="448"/>
        <v>NO</v>
      </c>
      <c r="C2072" s="352" t="s">
        <v>5503</v>
      </c>
      <c r="D2072" s="95">
        <v>43811</v>
      </c>
      <c r="F2072" s="355"/>
      <c r="G2072" s="439">
        <v>115.08</v>
      </c>
      <c r="H2072" s="437" t="s">
        <v>453</v>
      </c>
      <c r="I2072" s="402" t="s">
        <v>86</v>
      </c>
      <c r="J2072" s="425" t="s">
        <v>2184</v>
      </c>
      <c r="K2072" s="192"/>
      <c r="L2072" s="94" t="s">
        <v>7631</v>
      </c>
      <c r="M2072" s="94" t="s">
        <v>7743</v>
      </c>
      <c r="N2072" s="166" t="s">
        <v>8155</v>
      </c>
      <c r="O2072" s="438" t="s">
        <v>8164</v>
      </c>
      <c r="Q2072" s="428" t="s">
        <v>8181</v>
      </c>
      <c r="R2072" s="431">
        <v>576</v>
      </c>
      <c r="S2072" s="431">
        <f t="shared" si="482"/>
        <v>0</v>
      </c>
      <c r="T2072" s="431">
        <f>232+170+174</f>
        <v>576</v>
      </c>
      <c r="U2072" s="200">
        <v>174</v>
      </c>
      <c r="V2072" s="75"/>
      <c r="W2072" s="75"/>
      <c r="X2072" s="200"/>
      <c r="Z2072" s="31"/>
      <c r="AA2072" s="223"/>
    </row>
    <row r="2073" spans="1:27" ht="39" hidden="1" x14ac:dyDescent="0.25">
      <c r="A2073" s="432" t="s">
        <v>8144</v>
      </c>
      <c r="B2073" s="352" t="str">
        <f t="shared" si="448"/>
        <v>NO</v>
      </c>
      <c r="C2073" s="352" t="s">
        <v>5503</v>
      </c>
      <c r="D2073" s="95">
        <v>43811</v>
      </c>
      <c r="F2073" s="355"/>
      <c r="G2073" s="439">
        <v>581.54999999999995</v>
      </c>
      <c r="H2073" s="437" t="s">
        <v>453</v>
      </c>
      <c r="I2073" s="402" t="s">
        <v>86</v>
      </c>
      <c r="J2073" s="425" t="s">
        <v>2184</v>
      </c>
      <c r="K2073" s="192"/>
      <c r="L2073" s="94" t="s">
        <v>7631</v>
      </c>
      <c r="M2073" s="94" t="s">
        <v>7743</v>
      </c>
      <c r="N2073" s="166" t="s">
        <v>8155</v>
      </c>
      <c r="O2073" s="438" t="s">
        <v>8165</v>
      </c>
      <c r="Q2073" s="428" t="s">
        <v>8182</v>
      </c>
      <c r="R2073" s="431">
        <v>2207</v>
      </c>
      <c r="S2073" s="431">
        <f t="shared" si="482"/>
        <v>0</v>
      </c>
      <c r="T2073" s="431">
        <f>1164+170+873</f>
        <v>2207</v>
      </c>
      <c r="U2073" s="200">
        <v>873</v>
      </c>
      <c r="V2073" s="75"/>
      <c r="W2073" s="75"/>
      <c r="X2073" s="200"/>
      <c r="Z2073" s="31"/>
      <c r="AA2073" s="223"/>
    </row>
    <row r="2074" spans="1:27" ht="26.25" hidden="1" x14ac:dyDescent="0.25">
      <c r="A2074" s="432" t="s">
        <v>8145</v>
      </c>
      <c r="B2074" s="352" t="str">
        <f t="shared" si="448"/>
        <v>NO</v>
      </c>
      <c r="C2074" s="352" t="s">
        <v>5503</v>
      </c>
      <c r="D2074" s="95">
        <v>43811</v>
      </c>
      <c r="F2074" s="355"/>
      <c r="G2074" s="439">
        <v>621.96</v>
      </c>
      <c r="H2074" s="437" t="s">
        <v>453</v>
      </c>
      <c r="I2074" s="402" t="s">
        <v>86</v>
      </c>
      <c r="J2074" s="425" t="s">
        <v>2184</v>
      </c>
      <c r="K2074" s="192"/>
      <c r="L2074" s="94" t="s">
        <v>7631</v>
      </c>
      <c r="M2074" s="94" t="s">
        <v>7743</v>
      </c>
      <c r="N2074" s="166" t="s">
        <v>8155</v>
      </c>
      <c r="O2074" s="438" t="s">
        <v>8166</v>
      </c>
      <c r="Q2074" s="428" t="s">
        <v>8183</v>
      </c>
      <c r="R2074" s="431">
        <v>2347</v>
      </c>
      <c r="S2074" s="431">
        <f t="shared" si="482"/>
        <v>622</v>
      </c>
      <c r="T2074" s="431">
        <f>1866+170+933</f>
        <v>2969</v>
      </c>
      <c r="U2074" s="200">
        <v>933</v>
      </c>
      <c r="V2074" s="75"/>
      <c r="W2074" s="75"/>
      <c r="X2074" s="200"/>
      <c r="Z2074" s="31"/>
      <c r="AA2074" s="223"/>
    </row>
    <row r="2075" spans="1:27" ht="39" hidden="1" x14ac:dyDescent="0.25">
      <c r="A2075" s="432" t="s">
        <v>8146</v>
      </c>
      <c r="B2075" s="352" t="str">
        <f t="shared" si="448"/>
        <v>NO</v>
      </c>
      <c r="C2075" s="352" t="s">
        <v>5503</v>
      </c>
      <c r="D2075" s="95">
        <v>43811</v>
      </c>
      <c r="F2075" s="355"/>
      <c r="G2075" s="439">
        <v>407.79</v>
      </c>
      <c r="H2075" s="437" t="s">
        <v>453</v>
      </c>
      <c r="I2075" s="402" t="s">
        <v>86</v>
      </c>
      <c r="J2075" s="425" t="s">
        <v>2184</v>
      </c>
      <c r="K2075" s="192"/>
      <c r="L2075" s="94" t="s">
        <v>7631</v>
      </c>
      <c r="M2075" s="94" t="s">
        <v>7743</v>
      </c>
      <c r="N2075" s="166" t="s">
        <v>8155</v>
      </c>
      <c r="O2075" s="438" t="s">
        <v>8167</v>
      </c>
      <c r="Q2075" s="234" t="s">
        <v>8184</v>
      </c>
      <c r="R2075" s="75">
        <v>1598</v>
      </c>
      <c r="S2075" s="431">
        <f t="shared" si="482"/>
        <v>0</v>
      </c>
      <c r="T2075" s="75">
        <f>816+170+612</f>
        <v>1598</v>
      </c>
      <c r="U2075" s="200">
        <v>612</v>
      </c>
      <c r="V2075" s="75"/>
      <c r="W2075" s="75"/>
      <c r="X2075" s="200"/>
      <c r="Z2075" s="31"/>
      <c r="AA2075" s="223"/>
    </row>
    <row r="2076" spans="1:27" ht="26.25" hidden="1" x14ac:dyDescent="0.25">
      <c r="A2076" s="432" t="s">
        <v>8147</v>
      </c>
      <c r="B2076" s="352" t="str">
        <f t="shared" si="448"/>
        <v>NO</v>
      </c>
      <c r="C2076" s="352" t="s">
        <v>5503</v>
      </c>
      <c r="D2076" s="95">
        <v>43811</v>
      </c>
      <c r="F2076" s="355"/>
      <c r="G2076" s="439">
        <v>643.13</v>
      </c>
      <c r="H2076" s="437" t="s">
        <v>453</v>
      </c>
      <c r="I2076" s="402" t="s">
        <v>86</v>
      </c>
      <c r="J2076" s="425" t="s">
        <v>2184</v>
      </c>
      <c r="K2076" s="192"/>
      <c r="L2076" s="94" t="s">
        <v>7631</v>
      </c>
      <c r="M2076" s="94" t="s">
        <v>7743</v>
      </c>
      <c r="N2076" s="166" t="s">
        <v>8155</v>
      </c>
      <c r="O2076" s="438" t="s">
        <v>8168</v>
      </c>
      <c r="Q2076" s="234" t="s">
        <v>8185</v>
      </c>
      <c r="R2076" s="75">
        <v>2424</v>
      </c>
      <c r="S2076" s="431">
        <f t="shared" si="482"/>
        <v>644</v>
      </c>
      <c r="T2076" s="75">
        <f>1932+170+966</f>
        <v>3068</v>
      </c>
      <c r="U2076" s="200">
        <v>966</v>
      </c>
      <c r="V2076" s="75"/>
      <c r="W2076" s="75"/>
      <c r="X2076" s="200"/>
      <c r="Z2076" s="31"/>
      <c r="AA2076" s="223"/>
    </row>
    <row r="2077" spans="1:27" ht="26.25" hidden="1" x14ac:dyDescent="0.25">
      <c r="A2077" s="432" t="s">
        <v>8148</v>
      </c>
      <c r="B2077" s="352" t="str">
        <f t="shared" si="448"/>
        <v>NO</v>
      </c>
      <c r="C2077" s="352" t="s">
        <v>5503</v>
      </c>
      <c r="D2077" s="95">
        <v>43811</v>
      </c>
      <c r="F2077" s="355"/>
      <c r="G2077" s="439">
        <v>440.44</v>
      </c>
      <c r="H2077" s="437" t="s">
        <v>453</v>
      </c>
      <c r="I2077" s="402" t="s">
        <v>86</v>
      </c>
      <c r="J2077" s="425" t="s">
        <v>2184</v>
      </c>
      <c r="K2077" s="192"/>
      <c r="L2077" s="94" t="s">
        <v>7631</v>
      </c>
      <c r="M2077" s="94" t="s">
        <v>7743</v>
      </c>
      <c r="N2077" s="166" t="s">
        <v>8155</v>
      </c>
      <c r="O2077" s="438" t="s">
        <v>8169</v>
      </c>
      <c r="Q2077" s="234" t="s">
        <v>8186</v>
      </c>
      <c r="R2077" s="75">
        <v>1713.5</v>
      </c>
      <c r="S2077" s="431">
        <f t="shared" si="482"/>
        <v>0</v>
      </c>
      <c r="T2077" s="75">
        <f>882+170+661.5</f>
        <v>1713.5</v>
      </c>
      <c r="U2077" s="200">
        <v>661.5</v>
      </c>
      <c r="V2077" s="75"/>
      <c r="W2077" s="75"/>
      <c r="X2077" s="200"/>
      <c r="Z2077" s="31"/>
      <c r="AA2077" s="223"/>
    </row>
    <row r="2078" spans="1:27" ht="26.25" hidden="1" x14ac:dyDescent="0.25">
      <c r="A2078" s="432" t="s">
        <v>8149</v>
      </c>
      <c r="B2078" s="352" t="str">
        <f t="shared" si="448"/>
        <v>NO</v>
      </c>
      <c r="C2078" s="352" t="s">
        <v>5503</v>
      </c>
      <c r="D2078" s="95">
        <v>43811</v>
      </c>
      <c r="F2078" s="355"/>
      <c r="G2078" s="439">
        <v>244.39</v>
      </c>
      <c r="H2078" s="437" t="s">
        <v>453</v>
      </c>
      <c r="I2078" s="402" t="s">
        <v>86</v>
      </c>
      <c r="J2078" s="425" t="s">
        <v>2184</v>
      </c>
      <c r="K2078" s="192"/>
      <c r="L2078" s="94" t="s">
        <v>7631</v>
      </c>
      <c r="M2078" s="94" t="s">
        <v>7743</v>
      </c>
      <c r="N2078" s="166" t="s">
        <v>8155</v>
      </c>
      <c r="O2078" s="438" t="s">
        <v>8170</v>
      </c>
      <c r="Q2078" s="234" t="s">
        <v>8187</v>
      </c>
      <c r="R2078" s="92">
        <v>1027.5</v>
      </c>
      <c r="S2078" s="431">
        <f t="shared" si="482"/>
        <v>245</v>
      </c>
      <c r="T2078" s="92">
        <f>735+170+367.5</f>
        <v>1272.5</v>
      </c>
      <c r="U2078" s="200">
        <v>367.5</v>
      </c>
      <c r="V2078" s="75"/>
      <c r="W2078" s="75"/>
      <c r="X2078" s="200"/>
      <c r="Z2078" s="31"/>
      <c r="AA2078" s="223"/>
    </row>
    <row r="2079" spans="1:27" ht="26.25" hidden="1" x14ac:dyDescent="0.25">
      <c r="A2079" s="432" t="s">
        <v>8150</v>
      </c>
      <c r="B2079" s="352" t="str">
        <f t="shared" si="448"/>
        <v>NO</v>
      </c>
      <c r="C2079" s="352" t="s">
        <v>5503</v>
      </c>
      <c r="D2079" s="95">
        <v>43811</v>
      </c>
      <c r="F2079" s="355"/>
      <c r="G2079" s="439">
        <v>78.040000000000006</v>
      </c>
      <c r="H2079" s="437" t="s">
        <v>453</v>
      </c>
      <c r="I2079" s="402" t="s">
        <v>86</v>
      </c>
      <c r="J2079" s="425" t="s">
        <v>2184</v>
      </c>
      <c r="K2079" s="192"/>
      <c r="L2079" s="94" t="s">
        <v>7631</v>
      </c>
      <c r="M2079" s="94" t="s">
        <v>7743</v>
      </c>
      <c r="N2079" s="166" t="s">
        <v>8155</v>
      </c>
      <c r="O2079" s="438" t="s">
        <v>8171</v>
      </c>
      <c r="Q2079" s="234" t="s">
        <v>8188</v>
      </c>
      <c r="R2079" s="92">
        <v>446.5</v>
      </c>
      <c r="S2079" s="431">
        <f t="shared" si="482"/>
        <v>0</v>
      </c>
      <c r="T2079" s="92">
        <f>158+170+118.5</f>
        <v>446.5</v>
      </c>
      <c r="U2079" s="200">
        <v>118.5</v>
      </c>
      <c r="V2079" s="75"/>
      <c r="W2079" s="75"/>
      <c r="X2079" s="200"/>
      <c r="Z2079" s="31"/>
      <c r="AA2079" s="223"/>
    </row>
    <row r="2080" spans="1:27" ht="26.25" hidden="1" x14ac:dyDescent="0.25">
      <c r="A2080" s="432" t="s">
        <v>8151</v>
      </c>
      <c r="B2080" s="352" t="str">
        <f t="shared" si="448"/>
        <v>NO</v>
      </c>
      <c r="C2080" s="352" t="s">
        <v>5503</v>
      </c>
      <c r="D2080" s="95">
        <v>43811</v>
      </c>
      <c r="F2080" s="355"/>
      <c r="G2080" s="439">
        <v>403.55</v>
      </c>
      <c r="H2080" s="437" t="s">
        <v>453</v>
      </c>
      <c r="I2080" s="402" t="s">
        <v>86</v>
      </c>
      <c r="J2080" s="425" t="s">
        <v>2184</v>
      </c>
      <c r="K2080" s="192"/>
      <c r="L2080" s="94" t="s">
        <v>7631</v>
      </c>
      <c r="M2080" s="94" t="s">
        <v>7743</v>
      </c>
      <c r="N2080" s="166" t="s">
        <v>8155</v>
      </c>
      <c r="O2080" s="438" t="s">
        <v>8172</v>
      </c>
      <c r="Q2080" s="234" t="s">
        <v>8189</v>
      </c>
      <c r="R2080" s="92">
        <v>1584</v>
      </c>
      <c r="S2080" s="431">
        <f t="shared" si="482"/>
        <v>404</v>
      </c>
      <c r="T2080" s="92">
        <f>1212+170+606</f>
        <v>1988</v>
      </c>
      <c r="U2080" s="200">
        <v>606</v>
      </c>
      <c r="V2080" s="75"/>
      <c r="W2080" s="75"/>
      <c r="X2080" s="200"/>
      <c r="Z2080" s="31"/>
      <c r="AA2080" s="223"/>
    </row>
    <row r="2081" spans="1:32" ht="29.25" hidden="1" customHeight="1" x14ac:dyDescent="0.25">
      <c r="A2081" s="432" t="s">
        <v>8152</v>
      </c>
      <c r="B2081" s="352" t="str">
        <f t="shared" si="448"/>
        <v>NO</v>
      </c>
      <c r="C2081" s="352" t="s">
        <v>5503</v>
      </c>
      <c r="D2081" s="95">
        <v>43811</v>
      </c>
      <c r="F2081" s="355"/>
      <c r="G2081" s="439">
        <v>317.83</v>
      </c>
      <c r="H2081" s="437" t="s">
        <v>453</v>
      </c>
      <c r="I2081" s="402" t="s">
        <v>86</v>
      </c>
      <c r="J2081" s="425" t="s">
        <v>2184</v>
      </c>
      <c r="K2081" s="192"/>
      <c r="L2081" s="94" t="s">
        <v>7631</v>
      </c>
      <c r="M2081" s="94" t="s">
        <v>7743</v>
      </c>
      <c r="N2081" s="166" t="s">
        <v>8155</v>
      </c>
      <c r="O2081" s="438" t="s">
        <v>8173</v>
      </c>
      <c r="Q2081" s="234" t="s">
        <v>8190</v>
      </c>
      <c r="R2081" s="92">
        <v>1283</v>
      </c>
      <c r="S2081" s="431">
        <f t="shared" si="482"/>
        <v>0</v>
      </c>
      <c r="T2081" s="92">
        <f>636+170+477</f>
        <v>1283</v>
      </c>
      <c r="U2081" s="200">
        <v>477</v>
      </c>
      <c r="V2081" s="75"/>
      <c r="W2081" s="75"/>
      <c r="X2081" s="200"/>
      <c r="Z2081" s="31"/>
      <c r="AA2081" s="223"/>
    </row>
    <row r="2082" spans="1:32" ht="51.75" hidden="1" x14ac:dyDescent="0.25">
      <c r="A2082" s="432" t="s">
        <v>8153</v>
      </c>
      <c r="B2082" s="352" t="str">
        <f t="shared" si="448"/>
        <v>NO</v>
      </c>
      <c r="C2082" s="352" t="s">
        <v>5503</v>
      </c>
      <c r="D2082" s="95">
        <v>43811</v>
      </c>
      <c r="F2082" s="355"/>
      <c r="G2082" s="439">
        <v>50</v>
      </c>
      <c r="H2082" s="437" t="s">
        <v>2747</v>
      </c>
      <c r="I2082" s="93" t="s">
        <v>2748</v>
      </c>
      <c r="J2082" s="425" t="s">
        <v>2184</v>
      </c>
      <c r="K2082" s="192"/>
      <c r="L2082" s="94" t="s">
        <v>8032</v>
      </c>
      <c r="M2082" s="94" t="s">
        <v>7616</v>
      </c>
      <c r="N2082" s="166" t="s">
        <v>8156</v>
      </c>
      <c r="O2082" s="438" t="s">
        <v>8174</v>
      </c>
      <c r="Q2082" s="234" t="s">
        <v>8191</v>
      </c>
      <c r="R2082" s="92">
        <v>345</v>
      </c>
      <c r="S2082" s="431">
        <f t="shared" si="482"/>
        <v>62500</v>
      </c>
      <c r="T2082" s="92">
        <f>62600+170+75</f>
        <v>62845</v>
      </c>
      <c r="U2082" s="200">
        <v>952.5</v>
      </c>
      <c r="V2082" s="75"/>
      <c r="W2082" s="75"/>
      <c r="X2082" s="200"/>
      <c r="Z2082" s="31"/>
      <c r="AA2082" s="223"/>
    </row>
    <row r="2083" spans="1:32" ht="15.75" hidden="1" thickBot="1" x14ac:dyDescent="0.3">
      <c r="A2083" s="316"/>
      <c r="B2083" s="352"/>
      <c r="F2083" s="355"/>
      <c r="G2083" s="6"/>
      <c r="I2083" s="93"/>
      <c r="J2083" s="184"/>
      <c r="K2083" s="192"/>
      <c r="L2083" s="393"/>
      <c r="M2083" s="393"/>
      <c r="Q2083" s="234"/>
      <c r="R2083" s="440">
        <f>SUM(R2065:R2082)</f>
        <v>25197.5</v>
      </c>
      <c r="S2083" s="440">
        <f t="shared" ref="S2083:T2083" si="483">SUM(S2065:S2082)</f>
        <v>64415</v>
      </c>
      <c r="T2083" s="440">
        <f t="shared" si="483"/>
        <v>89612.5</v>
      </c>
      <c r="U2083" s="200"/>
      <c r="V2083" s="75"/>
      <c r="W2083" s="75"/>
      <c r="X2083" s="200"/>
      <c r="Z2083" s="31"/>
      <c r="AA2083" s="223"/>
    </row>
    <row r="2084" spans="1:32" hidden="1" x14ac:dyDescent="0.25">
      <c r="A2084" s="316"/>
      <c r="B2084" s="352"/>
      <c r="F2084" s="355"/>
      <c r="G2084" s="6"/>
      <c r="I2084" s="93"/>
      <c r="J2084" s="184"/>
      <c r="K2084" s="192"/>
      <c r="L2084" s="393"/>
      <c r="M2084" s="393"/>
      <c r="Q2084" s="234"/>
      <c r="S2084" s="75"/>
      <c r="U2084" s="200"/>
      <c r="V2084" s="75"/>
      <c r="W2084" s="75"/>
      <c r="X2084" s="200"/>
      <c r="Z2084" s="31"/>
      <c r="AA2084" s="223"/>
    </row>
    <row r="2085" spans="1:32" hidden="1" x14ac:dyDescent="0.25">
      <c r="A2085" s="316"/>
      <c r="B2085" s="352"/>
      <c r="F2085" s="355"/>
      <c r="G2085" s="6"/>
      <c r="I2085" s="93"/>
      <c r="J2085" s="184"/>
      <c r="K2085" s="192"/>
      <c r="L2085" s="393"/>
      <c r="M2085" s="393"/>
      <c r="Q2085" s="234"/>
      <c r="S2085" s="75"/>
      <c r="U2085" s="200"/>
      <c r="V2085" s="75"/>
      <c r="W2085" s="75"/>
      <c r="X2085" s="200"/>
      <c r="Z2085" s="31"/>
      <c r="AA2085" s="223"/>
    </row>
    <row r="2086" spans="1:32" hidden="1" x14ac:dyDescent="0.25">
      <c r="A2086" s="316"/>
      <c r="B2086" s="352"/>
      <c r="F2086" s="355"/>
      <c r="G2086" s="6"/>
      <c r="I2086" s="93"/>
      <c r="J2086" s="184"/>
      <c r="K2086" s="192"/>
      <c r="L2086" s="393"/>
      <c r="M2086" s="393"/>
      <c r="Q2086" s="234"/>
      <c r="S2086" s="75"/>
      <c r="U2086" s="200"/>
      <c r="V2086" s="75"/>
      <c r="W2086" s="75"/>
      <c r="X2086" s="200"/>
      <c r="Z2086" s="31"/>
      <c r="AA2086" s="223"/>
    </row>
    <row r="2087" spans="1:32" hidden="1" x14ac:dyDescent="0.25">
      <c r="A2087" s="316"/>
      <c r="B2087" s="352"/>
      <c r="F2087" s="355"/>
      <c r="G2087" s="6"/>
      <c r="I2087" s="93"/>
      <c r="J2087" s="184"/>
      <c r="K2087" s="192"/>
      <c r="L2087" s="393"/>
      <c r="M2087" s="393"/>
      <c r="Q2087" s="234"/>
      <c r="R2087" s="75"/>
      <c r="S2087" s="75"/>
      <c r="T2087" s="75"/>
      <c r="U2087" s="200"/>
      <c r="V2087" s="75"/>
      <c r="W2087" s="75"/>
      <c r="X2087" s="200"/>
      <c r="Z2087" s="31"/>
      <c r="AA2087" s="223"/>
    </row>
    <row r="2088" spans="1:32" ht="60" hidden="1" x14ac:dyDescent="0.25">
      <c r="A2088" s="315" t="s">
        <v>5504</v>
      </c>
      <c r="B2088" s="93" t="str">
        <f>IF(COUNTIF(GIS,A2088),"YES","NO")</f>
        <v>YES</v>
      </c>
      <c r="C2088" t="s">
        <v>5505</v>
      </c>
      <c r="D2088" s="146">
        <v>38435</v>
      </c>
      <c r="E2088" s="152">
        <v>40483</v>
      </c>
      <c r="F2088" s="2">
        <f t="shared" si="432"/>
        <v>44136</v>
      </c>
      <c r="G2088" s="153">
        <v>142.41</v>
      </c>
      <c r="H2088" s="7" t="s">
        <v>2831</v>
      </c>
      <c r="I2088" s="151" t="s">
        <v>79</v>
      </c>
      <c r="J2088" s="348" t="s">
        <v>5506</v>
      </c>
      <c r="K2088" s="266">
        <f>YEAR(F2088)</f>
        <v>2020</v>
      </c>
      <c r="L2088" s="395" t="s">
        <v>5507</v>
      </c>
      <c r="M2088" s="395" t="s">
        <v>5508</v>
      </c>
      <c r="N2088" s="163" t="s">
        <v>5509</v>
      </c>
      <c r="Q2088" s="241"/>
      <c r="R2088" s="147">
        <v>575.5</v>
      </c>
      <c r="S2088" s="147">
        <v>0</v>
      </c>
      <c r="T2088" s="148">
        <v>575.5</v>
      </c>
      <c r="U2088" s="206">
        <v>214.5</v>
      </c>
      <c r="V2088" s="287">
        <f ca="1">IF(YEAR($W$3)-YEAR(E2088)&gt;9,10,IF(MONTH($W$3)&lt;MONTH(E2088),YEAR($W$3)-YEAR(E2088),YEAR($W$3)-YEAR(E2088)+1))</f>
        <v>10</v>
      </c>
      <c r="W2088" s="75">
        <f ca="1">IF(V2088&lt;6, ROUNDUP(G2088,0)*$W$6*V2088, ROUNDUP(G2088,0)*($W$6*5 + (V2088-5)*$W$7))</f>
        <v>2502.5</v>
      </c>
      <c r="X2088" s="200">
        <f ca="1">IF(V2088=0,T2088,((T2088-ROUNDUP(G2088,0)*1.5)+W2088))</f>
        <v>2863.5</v>
      </c>
      <c r="Y2088"/>
      <c r="Z2088" s="156">
        <v>0.1</v>
      </c>
      <c r="AA2088" s="227">
        <v>0.09</v>
      </c>
      <c r="AB2088" s="343"/>
      <c r="AC2088" s="343"/>
      <c r="AD2088" s="343"/>
      <c r="AE2088" s="343"/>
      <c r="AF2088">
        <f t="shared" si="431"/>
        <v>0</v>
      </c>
    </row>
    <row r="2089" spans="1:32" hidden="1" x14ac:dyDescent="0.25">
      <c r="A2089" s="316"/>
      <c r="C2089"/>
      <c r="D2089" s="146"/>
      <c r="E2089" s="152"/>
      <c r="F2089" s="152"/>
      <c r="G2089" s="153"/>
      <c r="H2089" s="151"/>
      <c r="I2089" s="151"/>
      <c r="J2089" s="162"/>
      <c r="K2089" s="162"/>
      <c r="L2089" s="395"/>
      <c r="M2089" s="395" t="s">
        <v>5510</v>
      </c>
      <c r="N2089" s="163" t="s">
        <v>5511</v>
      </c>
      <c r="Q2089" s="241"/>
      <c r="R2089" s="147"/>
      <c r="S2089" s="147"/>
      <c r="T2089" s="148"/>
      <c r="U2089" s="206"/>
      <c r="V2089" s="147"/>
      <c r="W2089" s="147"/>
      <c r="X2089" s="206"/>
      <c r="Y2089"/>
      <c r="Z2089" s="156"/>
      <c r="AA2089" s="227"/>
      <c r="AB2089" s="343"/>
      <c r="AC2089" s="343"/>
      <c r="AD2089" s="343"/>
      <c r="AE2089" s="343"/>
      <c r="AF2089">
        <f t="shared" si="431"/>
        <v>0</v>
      </c>
    </row>
    <row r="2090" spans="1:32" ht="30" hidden="1" x14ac:dyDescent="0.25">
      <c r="A2090" s="315" t="s">
        <v>5512</v>
      </c>
      <c r="B2090" s="93" t="str">
        <f>IF(COUNTIF(GIS,A2090),"YES","NO")</f>
        <v>NO</v>
      </c>
      <c r="C2090" t="s">
        <v>5505</v>
      </c>
      <c r="D2090" s="146">
        <v>38735</v>
      </c>
      <c r="E2090" s="152">
        <v>38777</v>
      </c>
      <c r="F2090" s="2">
        <f t="shared" si="432"/>
        <v>42430</v>
      </c>
      <c r="G2090" s="153">
        <v>479.46</v>
      </c>
      <c r="H2090" s="151" t="s">
        <v>1575</v>
      </c>
      <c r="I2090" s="151" t="s">
        <v>198</v>
      </c>
      <c r="J2090" s="348" t="s">
        <v>5513</v>
      </c>
      <c r="K2090" s="266">
        <f>YEAR(F2090)</f>
        <v>2016</v>
      </c>
      <c r="L2090" s="395" t="s">
        <v>5514</v>
      </c>
      <c r="M2090" s="395" t="s">
        <v>5515</v>
      </c>
      <c r="N2090" s="163" t="s">
        <v>5516</v>
      </c>
      <c r="Q2090" s="241"/>
      <c r="R2090" s="147">
        <v>0</v>
      </c>
      <c r="S2090" s="147">
        <v>0</v>
      </c>
      <c r="T2090" s="148">
        <v>0</v>
      </c>
      <c r="U2090" s="206">
        <v>960</v>
      </c>
      <c r="V2090" s="287">
        <f ca="1">IF(YEAR($W$3)-YEAR(E2090)&gt;9,10,IF(MONTH($W$3)&lt;MONTH(E2090),YEAR($W$3)-YEAR(E2090),YEAR($W$3)-YEAR(E2090)+1))</f>
        <v>10</v>
      </c>
      <c r="W2090" s="75">
        <f ca="1">IF(V2090&lt;6, ROUNDUP(G2090,0)*$W$6*V2090, ROUNDUP(G2090,0)*($W$6*5 + (V2090-5)*$W$7))</f>
        <v>8400</v>
      </c>
      <c r="X2090" s="200">
        <f ca="1">IF(V2090=0,T2090,((T2090-ROUNDUP(G2090,0)*1.5)+W2090))</f>
        <v>7680</v>
      </c>
      <c r="Y2090"/>
      <c r="Z2090" s="156">
        <v>0.1</v>
      </c>
      <c r="AA2090" s="227">
        <v>0.09</v>
      </c>
      <c r="AB2090" s="343"/>
      <c r="AC2090" s="343"/>
      <c r="AD2090" s="343"/>
      <c r="AE2090" s="343"/>
      <c r="AF2090">
        <f t="shared" si="431"/>
        <v>0</v>
      </c>
    </row>
    <row r="2091" spans="1:32" hidden="1" x14ac:dyDescent="0.25">
      <c r="A2091" s="316"/>
      <c r="C2091"/>
      <c r="D2091" s="146"/>
      <c r="E2091" s="152"/>
      <c r="F2091" s="152"/>
      <c r="G2091" s="153"/>
      <c r="H2091" s="151"/>
      <c r="I2091" s="151"/>
      <c r="J2091" s="162"/>
      <c r="K2091" s="162"/>
      <c r="L2091" s="395"/>
      <c r="M2091" s="395"/>
      <c r="N2091" s="163" t="s">
        <v>5511</v>
      </c>
      <c r="Q2091" s="241"/>
      <c r="R2091" s="147"/>
      <c r="S2091" s="147"/>
      <c r="T2091" s="148"/>
      <c r="U2091" s="206"/>
      <c r="V2091" s="147"/>
      <c r="W2091" s="147"/>
      <c r="X2091" s="206"/>
      <c r="Y2091"/>
      <c r="Z2091" s="156"/>
      <c r="AA2091" s="227"/>
      <c r="AB2091" s="343"/>
      <c r="AC2091" s="343"/>
      <c r="AD2091" s="343"/>
      <c r="AE2091" s="343"/>
      <c r="AF2091">
        <f t="shared" ref="AF2091:AF2154" si="484">COUNTIF(FilterList,A2091)</f>
        <v>0</v>
      </c>
    </row>
    <row r="2092" spans="1:32" ht="45" hidden="1" x14ac:dyDescent="0.25">
      <c r="A2092" s="315" t="s">
        <v>5517</v>
      </c>
      <c r="B2092" s="93" t="str">
        <f t="shared" si="448"/>
        <v>NO</v>
      </c>
      <c r="C2092" t="s">
        <v>5505</v>
      </c>
      <c r="D2092" s="146">
        <v>39099</v>
      </c>
      <c r="E2092" s="152">
        <v>39142</v>
      </c>
      <c r="F2092" s="2">
        <f t="shared" si="432"/>
        <v>42795</v>
      </c>
      <c r="G2092" s="153">
        <v>1200</v>
      </c>
      <c r="H2092" s="151" t="s">
        <v>1575</v>
      </c>
      <c r="I2092" s="151" t="s">
        <v>198</v>
      </c>
      <c r="J2092" s="348" t="s">
        <v>5518</v>
      </c>
      <c r="K2092" s="266">
        <f t="shared" ref="K2092:K2105" si="485">YEAR(F2092)</f>
        <v>2017</v>
      </c>
      <c r="L2092" s="395" t="s">
        <v>5519</v>
      </c>
      <c r="M2092" s="395" t="s">
        <v>5515</v>
      </c>
      <c r="N2092" s="163" t="s">
        <v>5520</v>
      </c>
      <c r="Q2092" s="241"/>
      <c r="R2092" s="147">
        <v>0</v>
      </c>
      <c r="S2092" s="147">
        <v>0</v>
      </c>
      <c r="T2092" s="148">
        <v>0</v>
      </c>
      <c r="U2092" s="206">
        <v>2400</v>
      </c>
      <c r="V2092" s="287">
        <f t="shared" ref="V2092:V2105" ca="1" si="486">IF(YEAR($W$3)-YEAR(E2092)&gt;9,10,IF(MONTH($W$3)&lt;MONTH(E2092),YEAR($W$3)-YEAR(E2092),YEAR($W$3)-YEAR(E2092)+1))</f>
        <v>10</v>
      </c>
      <c r="W2092" s="75">
        <f t="shared" ref="W2092:W2105" ca="1" si="487">IF(V2092&lt;6, ROUNDUP(G2092,0)*$W$6*V2092, ROUNDUP(G2092,0)*($W$6*5 + (V2092-5)*$W$7))</f>
        <v>21000</v>
      </c>
      <c r="X2092" s="200">
        <f t="shared" ref="X2092:X2105" ca="1" si="488">IF(V2092=0,T2092,((T2092-ROUNDUP(G2092,0)*1.5)+W2092))</f>
        <v>19200</v>
      </c>
      <c r="Y2092"/>
      <c r="Z2092" s="156">
        <v>0.1</v>
      </c>
      <c r="AA2092" s="227">
        <v>0.09</v>
      </c>
      <c r="AB2092" s="343"/>
      <c r="AC2092" s="343"/>
      <c r="AD2092" s="343"/>
      <c r="AE2092" s="343"/>
      <c r="AF2092">
        <f t="shared" si="484"/>
        <v>0</v>
      </c>
    </row>
    <row r="2093" spans="1:32" ht="30" hidden="1" x14ac:dyDescent="0.25">
      <c r="A2093" s="315" t="s">
        <v>5521</v>
      </c>
      <c r="B2093" s="93" t="str">
        <f t="shared" si="448"/>
        <v>NO</v>
      </c>
      <c r="C2093" t="s">
        <v>5505</v>
      </c>
      <c r="D2093" s="146">
        <v>39099</v>
      </c>
      <c r="E2093" s="152">
        <v>39142</v>
      </c>
      <c r="F2093" s="2">
        <f t="shared" ref="F2093:F2105" si="489">DATE(YEAR(E2093)+10,MONTH(E2093),DAY(E2093))</f>
        <v>42795</v>
      </c>
      <c r="G2093" s="153">
        <v>922.76</v>
      </c>
      <c r="H2093" s="151" t="s">
        <v>1575</v>
      </c>
      <c r="I2093" s="151" t="s">
        <v>198</v>
      </c>
      <c r="J2093" s="348" t="s">
        <v>5518</v>
      </c>
      <c r="K2093" s="266">
        <f t="shared" si="485"/>
        <v>2017</v>
      </c>
      <c r="L2093" s="395" t="s">
        <v>5519</v>
      </c>
      <c r="M2093" s="395" t="s">
        <v>5515</v>
      </c>
      <c r="N2093" s="163" t="s">
        <v>5522</v>
      </c>
      <c r="Q2093" s="241"/>
      <c r="R2093" s="147">
        <v>0</v>
      </c>
      <c r="S2093" s="147">
        <v>0</v>
      </c>
      <c r="T2093" s="148">
        <v>0</v>
      </c>
      <c r="U2093" s="206">
        <v>1846</v>
      </c>
      <c r="V2093" s="287">
        <f t="shared" ca="1" si="486"/>
        <v>10</v>
      </c>
      <c r="W2093" s="75">
        <f t="shared" ca="1" si="487"/>
        <v>16152.5</v>
      </c>
      <c r="X2093" s="200">
        <f t="shared" ca="1" si="488"/>
        <v>14768</v>
      </c>
      <c r="Y2093"/>
      <c r="Z2093" s="156">
        <v>0.1</v>
      </c>
      <c r="AA2093" s="227">
        <v>0.09</v>
      </c>
      <c r="AB2093" s="343"/>
      <c r="AC2093" s="343"/>
      <c r="AD2093" s="343"/>
      <c r="AE2093" s="343"/>
      <c r="AF2093">
        <f t="shared" si="484"/>
        <v>0</v>
      </c>
    </row>
    <row r="2094" spans="1:32" ht="90" hidden="1" x14ac:dyDescent="0.25">
      <c r="A2094" s="315" t="s">
        <v>5523</v>
      </c>
      <c r="B2094" s="93" t="str">
        <f t="shared" si="448"/>
        <v>NO</v>
      </c>
      <c r="C2094" t="s">
        <v>5505</v>
      </c>
      <c r="D2094" s="146">
        <v>39099</v>
      </c>
      <c r="E2094" s="152">
        <v>39142</v>
      </c>
      <c r="F2094" s="2">
        <f t="shared" si="489"/>
        <v>42795</v>
      </c>
      <c r="G2094" s="153">
        <v>2183.3000000000002</v>
      </c>
      <c r="H2094" s="151" t="s">
        <v>1575</v>
      </c>
      <c r="I2094" s="151" t="s">
        <v>198</v>
      </c>
      <c r="J2094" s="348" t="s">
        <v>5518</v>
      </c>
      <c r="K2094" s="266">
        <f t="shared" si="485"/>
        <v>2017</v>
      </c>
      <c r="L2094" s="395" t="s">
        <v>5519</v>
      </c>
      <c r="M2094" s="395" t="s">
        <v>5515</v>
      </c>
      <c r="N2094" s="163" t="s">
        <v>5524</v>
      </c>
      <c r="Q2094" s="241"/>
      <c r="R2094" s="147">
        <v>0</v>
      </c>
      <c r="S2094" s="147">
        <v>0</v>
      </c>
      <c r="T2094" s="148">
        <v>0</v>
      </c>
      <c r="U2094" s="206">
        <v>4368</v>
      </c>
      <c r="V2094" s="287">
        <f t="shared" ca="1" si="486"/>
        <v>10</v>
      </c>
      <c r="W2094" s="75">
        <f t="shared" ca="1" si="487"/>
        <v>38220</v>
      </c>
      <c r="X2094" s="200">
        <f t="shared" ca="1" si="488"/>
        <v>34944</v>
      </c>
      <c r="Y2094"/>
      <c r="Z2094" s="156">
        <v>0.1</v>
      </c>
      <c r="AA2094" s="227">
        <v>0.09</v>
      </c>
      <c r="AB2094" s="343"/>
      <c r="AC2094" s="343"/>
      <c r="AD2094" s="343"/>
      <c r="AE2094" s="343"/>
      <c r="AF2094">
        <f t="shared" si="484"/>
        <v>0</v>
      </c>
    </row>
    <row r="2095" spans="1:32" ht="45" hidden="1" x14ac:dyDescent="0.25">
      <c r="A2095" s="315" t="s">
        <v>5525</v>
      </c>
      <c r="B2095" s="93" t="str">
        <f t="shared" si="448"/>
        <v>NO</v>
      </c>
      <c r="C2095" t="s">
        <v>5505</v>
      </c>
      <c r="D2095" s="146">
        <v>39099</v>
      </c>
      <c r="E2095" s="152">
        <v>39142</v>
      </c>
      <c r="F2095" s="2">
        <f t="shared" si="489"/>
        <v>42795</v>
      </c>
      <c r="G2095" s="153">
        <v>1920</v>
      </c>
      <c r="H2095" s="151" t="s">
        <v>1575</v>
      </c>
      <c r="I2095" s="151" t="s">
        <v>198</v>
      </c>
      <c r="J2095" s="348" t="s">
        <v>5518</v>
      </c>
      <c r="K2095" s="266">
        <f t="shared" si="485"/>
        <v>2017</v>
      </c>
      <c r="L2095" s="395" t="s">
        <v>5519</v>
      </c>
      <c r="M2095" s="395" t="s">
        <v>5515</v>
      </c>
      <c r="N2095" s="163" t="s">
        <v>5526</v>
      </c>
      <c r="Q2095" s="241"/>
      <c r="R2095" s="147">
        <v>0</v>
      </c>
      <c r="S2095" s="147">
        <v>0</v>
      </c>
      <c r="T2095" s="148">
        <v>0</v>
      </c>
      <c r="U2095" s="206">
        <v>3840</v>
      </c>
      <c r="V2095" s="287">
        <f t="shared" ca="1" si="486"/>
        <v>10</v>
      </c>
      <c r="W2095" s="75">
        <f t="shared" ca="1" si="487"/>
        <v>33600</v>
      </c>
      <c r="X2095" s="200">
        <f t="shared" ca="1" si="488"/>
        <v>30720</v>
      </c>
      <c r="Y2095"/>
      <c r="Z2095" s="156">
        <v>0.1</v>
      </c>
      <c r="AA2095" s="227">
        <v>0.09</v>
      </c>
      <c r="AB2095" s="343"/>
      <c r="AC2095" s="343"/>
      <c r="AD2095" s="343"/>
      <c r="AE2095" s="343"/>
      <c r="AF2095">
        <f t="shared" si="484"/>
        <v>0</v>
      </c>
    </row>
    <row r="2096" spans="1:32" ht="45" hidden="1" x14ac:dyDescent="0.25">
      <c r="A2096" s="315" t="s">
        <v>5527</v>
      </c>
      <c r="B2096" s="93" t="str">
        <f t="shared" si="448"/>
        <v>NO</v>
      </c>
      <c r="C2096" t="s">
        <v>5505</v>
      </c>
      <c r="D2096" s="146">
        <v>39099</v>
      </c>
      <c r="E2096" s="152">
        <v>39142</v>
      </c>
      <c r="F2096" s="2">
        <f t="shared" si="489"/>
        <v>42795</v>
      </c>
      <c r="G2096" s="153">
        <v>1800</v>
      </c>
      <c r="H2096" s="151" t="s">
        <v>1575</v>
      </c>
      <c r="I2096" s="151" t="s">
        <v>198</v>
      </c>
      <c r="J2096" s="348" t="s">
        <v>5518</v>
      </c>
      <c r="K2096" s="266">
        <f t="shared" si="485"/>
        <v>2017</v>
      </c>
      <c r="L2096" s="395" t="s">
        <v>5519</v>
      </c>
      <c r="M2096" s="395" t="s">
        <v>5515</v>
      </c>
      <c r="N2096" s="163" t="s">
        <v>5528</v>
      </c>
      <c r="Q2096" s="241"/>
      <c r="R2096" s="147">
        <v>0</v>
      </c>
      <c r="S2096" s="147">
        <v>0</v>
      </c>
      <c r="T2096" s="148">
        <v>0</v>
      </c>
      <c r="U2096" s="206">
        <v>3600</v>
      </c>
      <c r="V2096" s="287">
        <f t="shared" ca="1" si="486"/>
        <v>10</v>
      </c>
      <c r="W2096" s="75">
        <f t="shared" ca="1" si="487"/>
        <v>31500</v>
      </c>
      <c r="X2096" s="200">
        <f t="shared" ca="1" si="488"/>
        <v>28800</v>
      </c>
      <c r="Y2096"/>
      <c r="Z2096" s="156">
        <v>0.1</v>
      </c>
      <c r="AA2096" s="227">
        <v>0.09</v>
      </c>
      <c r="AB2096" s="343"/>
      <c r="AC2096" s="343"/>
      <c r="AD2096" s="343"/>
      <c r="AE2096" s="343"/>
      <c r="AF2096">
        <f t="shared" si="484"/>
        <v>0</v>
      </c>
    </row>
    <row r="2097" spans="1:32" ht="75" hidden="1" x14ac:dyDescent="0.25">
      <c r="A2097" s="315" t="s">
        <v>5529</v>
      </c>
      <c r="B2097" s="93" t="str">
        <f t="shared" si="448"/>
        <v>NO</v>
      </c>
      <c r="C2097" t="s">
        <v>5505</v>
      </c>
      <c r="D2097" s="146">
        <v>39099</v>
      </c>
      <c r="E2097" s="152">
        <v>39142</v>
      </c>
      <c r="F2097" s="2">
        <f t="shared" si="489"/>
        <v>42795</v>
      </c>
      <c r="G2097" s="153">
        <v>1714.52</v>
      </c>
      <c r="H2097" s="151" t="s">
        <v>1575</v>
      </c>
      <c r="I2097" s="151" t="s">
        <v>198</v>
      </c>
      <c r="J2097" s="348" t="s">
        <v>5518</v>
      </c>
      <c r="K2097" s="266">
        <f t="shared" si="485"/>
        <v>2017</v>
      </c>
      <c r="L2097" s="395" t="s">
        <v>5519</v>
      </c>
      <c r="M2097" s="395" t="s">
        <v>5515</v>
      </c>
      <c r="N2097" s="163" t="s">
        <v>5530</v>
      </c>
      <c r="Q2097" s="241"/>
      <c r="R2097" s="147">
        <v>0</v>
      </c>
      <c r="S2097" s="147">
        <v>0</v>
      </c>
      <c r="T2097" s="148">
        <v>0</v>
      </c>
      <c r="U2097" s="206">
        <v>3430</v>
      </c>
      <c r="V2097" s="287">
        <f t="shared" ca="1" si="486"/>
        <v>10</v>
      </c>
      <c r="W2097" s="75">
        <f t="shared" ca="1" si="487"/>
        <v>30012.5</v>
      </c>
      <c r="X2097" s="200">
        <f t="shared" ca="1" si="488"/>
        <v>27440</v>
      </c>
      <c r="Y2097"/>
      <c r="Z2097" s="156">
        <v>0.1</v>
      </c>
      <c r="AA2097" s="227">
        <v>0.09</v>
      </c>
      <c r="AB2097" s="343"/>
      <c r="AC2097" s="343"/>
      <c r="AD2097" s="343"/>
      <c r="AE2097" s="343"/>
      <c r="AF2097">
        <f t="shared" si="484"/>
        <v>0</v>
      </c>
    </row>
    <row r="2098" spans="1:32" ht="45" hidden="1" x14ac:dyDescent="0.25">
      <c r="A2098" s="315" t="s">
        <v>5531</v>
      </c>
      <c r="B2098" s="93" t="str">
        <f t="shared" si="448"/>
        <v>NO</v>
      </c>
      <c r="C2098" t="s">
        <v>5505</v>
      </c>
      <c r="D2098" s="146">
        <v>39099</v>
      </c>
      <c r="E2098" s="152">
        <v>39142</v>
      </c>
      <c r="F2098" s="2">
        <f t="shared" si="489"/>
        <v>42795</v>
      </c>
      <c r="G2098" s="153">
        <v>2440</v>
      </c>
      <c r="H2098" s="151" t="s">
        <v>1575</v>
      </c>
      <c r="I2098" s="151" t="s">
        <v>198</v>
      </c>
      <c r="J2098" s="348" t="s">
        <v>5518</v>
      </c>
      <c r="K2098" s="266">
        <f t="shared" si="485"/>
        <v>2017</v>
      </c>
      <c r="L2098" s="395" t="s">
        <v>5519</v>
      </c>
      <c r="M2098" s="395" t="s">
        <v>5515</v>
      </c>
      <c r="N2098" s="163" t="s">
        <v>5532</v>
      </c>
      <c r="Q2098" s="241"/>
      <c r="R2098" s="147">
        <v>0</v>
      </c>
      <c r="S2098" s="147">
        <v>0</v>
      </c>
      <c r="T2098" s="148">
        <v>0</v>
      </c>
      <c r="U2098" s="206">
        <v>4880</v>
      </c>
      <c r="V2098" s="287">
        <f t="shared" ca="1" si="486"/>
        <v>10</v>
      </c>
      <c r="W2098" s="75">
        <f t="shared" ca="1" si="487"/>
        <v>42700</v>
      </c>
      <c r="X2098" s="200">
        <f t="shared" ca="1" si="488"/>
        <v>39040</v>
      </c>
      <c r="Y2098"/>
      <c r="Z2098" s="156">
        <v>0.1</v>
      </c>
      <c r="AA2098" s="227">
        <v>0.09</v>
      </c>
      <c r="AB2098" s="343"/>
      <c r="AC2098" s="343"/>
      <c r="AD2098" s="343"/>
      <c r="AE2098" s="343"/>
      <c r="AF2098">
        <f t="shared" si="484"/>
        <v>0</v>
      </c>
    </row>
    <row r="2099" spans="1:32" ht="60" hidden="1" x14ac:dyDescent="0.25">
      <c r="A2099" s="315" t="s">
        <v>5533</v>
      </c>
      <c r="B2099" s="93" t="str">
        <f t="shared" si="448"/>
        <v>NO</v>
      </c>
      <c r="C2099" t="s">
        <v>5505</v>
      </c>
      <c r="D2099" s="146">
        <v>39099</v>
      </c>
      <c r="E2099" s="152">
        <v>39142</v>
      </c>
      <c r="F2099" s="2">
        <f t="shared" si="489"/>
        <v>42795</v>
      </c>
      <c r="G2099" s="153">
        <v>2350</v>
      </c>
      <c r="H2099" s="151" t="s">
        <v>1575</v>
      </c>
      <c r="I2099" s="151" t="s">
        <v>198</v>
      </c>
      <c r="J2099" s="348" t="s">
        <v>5518</v>
      </c>
      <c r="K2099" s="266">
        <f t="shared" si="485"/>
        <v>2017</v>
      </c>
      <c r="L2099" s="395" t="s">
        <v>5519</v>
      </c>
      <c r="M2099" s="395" t="s">
        <v>5515</v>
      </c>
      <c r="N2099" s="163" t="s">
        <v>5534</v>
      </c>
      <c r="Q2099" s="241"/>
      <c r="R2099" s="147">
        <v>0</v>
      </c>
      <c r="S2099" s="147">
        <v>0</v>
      </c>
      <c r="T2099" s="148">
        <v>0</v>
      </c>
      <c r="U2099" s="206">
        <v>4700</v>
      </c>
      <c r="V2099" s="287">
        <f t="shared" ca="1" si="486"/>
        <v>10</v>
      </c>
      <c r="W2099" s="75">
        <f t="shared" ca="1" si="487"/>
        <v>41125</v>
      </c>
      <c r="X2099" s="200">
        <f t="shared" ca="1" si="488"/>
        <v>37600</v>
      </c>
      <c r="Y2099"/>
      <c r="Z2099" s="156">
        <v>0.1</v>
      </c>
      <c r="AA2099" s="227">
        <v>0.09</v>
      </c>
      <c r="AB2099" s="343"/>
      <c r="AC2099" s="343"/>
      <c r="AD2099" s="343"/>
      <c r="AE2099" s="343"/>
      <c r="AF2099">
        <f t="shared" si="484"/>
        <v>0</v>
      </c>
    </row>
    <row r="2100" spans="1:32" ht="75" hidden="1" x14ac:dyDescent="0.25">
      <c r="A2100" s="315" t="s">
        <v>5535</v>
      </c>
      <c r="B2100" s="93" t="str">
        <f t="shared" si="448"/>
        <v>NO</v>
      </c>
      <c r="C2100" t="s">
        <v>5505</v>
      </c>
      <c r="D2100" s="146">
        <v>39099</v>
      </c>
      <c r="E2100" s="152">
        <v>39142</v>
      </c>
      <c r="F2100" s="2">
        <f t="shared" si="489"/>
        <v>42795</v>
      </c>
      <c r="G2100" s="153">
        <v>2356</v>
      </c>
      <c r="H2100" s="151" t="s">
        <v>1575</v>
      </c>
      <c r="I2100" s="151" t="s">
        <v>198</v>
      </c>
      <c r="J2100" s="348" t="s">
        <v>5518</v>
      </c>
      <c r="K2100" s="266">
        <f t="shared" si="485"/>
        <v>2017</v>
      </c>
      <c r="L2100" s="395" t="s">
        <v>5519</v>
      </c>
      <c r="M2100" s="395" t="s">
        <v>5515</v>
      </c>
      <c r="N2100" s="163" t="s">
        <v>5536</v>
      </c>
      <c r="Q2100" s="241"/>
      <c r="R2100" s="147">
        <v>0</v>
      </c>
      <c r="S2100" s="147">
        <v>0</v>
      </c>
      <c r="T2100" s="148">
        <v>0</v>
      </c>
      <c r="U2100" s="206">
        <v>4712</v>
      </c>
      <c r="V2100" s="287">
        <f t="shared" ca="1" si="486"/>
        <v>10</v>
      </c>
      <c r="W2100" s="75">
        <f t="shared" ca="1" si="487"/>
        <v>41230</v>
      </c>
      <c r="X2100" s="200">
        <f t="shared" ca="1" si="488"/>
        <v>37696</v>
      </c>
      <c r="Y2100"/>
      <c r="Z2100" s="156">
        <v>0.1</v>
      </c>
      <c r="AA2100" s="227">
        <v>0.09</v>
      </c>
      <c r="AB2100" s="343"/>
      <c r="AC2100" s="343"/>
      <c r="AD2100" s="343"/>
      <c r="AE2100" s="343"/>
      <c r="AF2100">
        <f t="shared" si="484"/>
        <v>0</v>
      </c>
    </row>
    <row r="2101" spans="1:32" ht="75" hidden="1" x14ac:dyDescent="0.25">
      <c r="A2101" s="315" t="s">
        <v>5537</v>
      </c>
      <c r="B2101" s="93" t="str">
        <f t="shared" si="448"/>
        <v>NO</v>
      </c>
      <c r="C2101" t="s">
        <v>5505</v>
      </c>
      <c r="D2101" s="146">
        <v>39099</v>
      </c>
      <c r="E2101" s="152">
        <v>39142</v>
      </c>
      <c r="F2101" s="2">
        <f t="shared" si="489"/>
        <v>42795</v>
      </c>
      <c r="G2101" s="153">
        <v>1185.07</v>
      </c>
      <c r="H2101" s="151" t="s">
        <v>1575</v>
      </c>
      <c r="I2101" s="151" t="s">
        <v>198</v>
      </c>
      <c r="J2101" s="348" t="s">
        <v>5518</v>
      </c>
      <c r="K2101" s="266">
        <f t="shared" si="485"/>
        <v>2017</v>
      </c>
      <c r="L2101" s="395" t="s">
        <v>5519</v>
      </c>
      <c r="M2101" s="395" t="s">
        <v>5538</v>
      </c>
      <c r="N2101" s="163" t="s">
        <v>5539</v>
      </c>
      <c r="Q2101" s="241"/>
      <c r="R2101" s="147">
        <v>0</v>
      </c>
      <c r="S2101" s="147">
        <v>0</v>
      </c>
      <c r="T2101" s="148">
        <v>0</v>
      </c>
      <c r="U2101" s="206">
        <v>2372</v>
      </c>
      <c r="V2101" s="287">
        <f t="shared" ca="1" si="486"/>
        <v>10</v>
      </c>
      <c r="W2101" s="75">
        <f t="shared" ca="1" si="487"/>
        <v>20755</v>
      </c>
      <c r="X2101" s="200">
        <f t="shared" ca="1" si="488"/>
        <v>18976</v>
      </c>
      <c r="Y2101"/>
      <c r="Z2101" s="156">
        <v>0.1</v>
      </c>
      <c r="AA2101" s="227">
        <v>0.09</v>
      </c>
      <c r="AB2101" s="343"/>
      <c r="AC2101" s="343"/>
      <c r="AD2101" s="343"/>
      <c r="AE2101" s="343"/>
      <c r="AF2101">
        <f t="shared" si="484"/>
        <v>0</v>
      </c>
    </row>
    <row r="2102" spans="1:32" ht="45" hidden="1" x14ac:dyDescent="0.25">
      <c r="A2102" s="315" t="s">
        <v>5540</v>
      </c>
      <c r="B2102" s="93" t="str">
        <f t="shared" si="448"/>
        <v>NO</v>
      </c>
      <c r="C2102" t="s">
        <v>5505</v>
      </c>
      <c r="D2102" s="146">
        <v>39099</v>
      </c>
      <c r="E2102" s="152">
        <v>39142</v>
      </c>
      <c r="F2102" s="2">
        <f t="shared" si="489"/>
        <v>42795</v>
      </c>
      <c r="G2102" s="153">
        <v>920</v>
      </c>
      <c r="H2102" s="151" t="s">
        <v>1575</v>
      </c>
      <c r="I2102" s="151" t="s">
        <v>198</v>
      </c>
      <c r="J2102" s="348" t="s">
        <v>5518</v>
      </c>
      <c r="K2102" s="266">
        <f t="shared" si="485"/>
        <v>2017</v>
      </c>
      <c r="L2102" s="395" t="s">
        <v>5519</v>
      </c>
      <c r="M2102" s="395" t="s">
        <v>5538</v>
      </c>
      <c r="N2102" s="163" t="s">
        <v>5541</v>
      </c>
      <c r="Q2102" s="241"/>
      <c r="R2102" s="147">
        <v>0</v>
      </c>
      <c r="S2102" s="147">
        <v>0</v>
      </c>
      <c r="T2102" s="148">
        <v>0</v>
      </c>
      <c r="U2102" s="206">
        <v>1840</v>
      </c>
      <c r="V2102" s="287">
        <f t="shared" ca="1" si="486"/>
        <v>10</v>
      </c>
      <c r="W2102" s="75">
        <f t="shared" ca="1" si="487"/>
        <v>16100</v>
      </c>
      <c r="X2102" s="200">
        <f t="shared" ca="1" si="488"/>
        <v>14720</v>
      </c>
      <c r="Y2102"/>
      <c r="Z2102" s="156">
        <v>0.1</v>
      </c>
      <c r="AA2102" s="227">
        <v>0.09</v>
      </c>
      <c r="AB2102" s="343"/>
      <c r="AC2102" s="343"/>
      <c r="AD2102" s="343"/>
      <c r="AE2102" s="343"/>
      <c r="AF2102">
        <f t="shared" si="484"/>
        <v>0</v>
      </c>
    </row>
    <row r="2103" spans="1:32" ht="45" hidden="1" x14ac:dyDescent="0.25">
      <c r="A2103" s="315" t="s">
        <v>5542</v>
      </c>
      <c r="B2103" s="93" t="str">
        <f t="shared" si="448"/>
        <v>NO</v>
      </c>
      <c r="C2103" t="s">
        <v>5505</v>
      </c>
      <c r="D2103" s="146">
        <v>39099</v>
      </c>
      <c r="E2103" s="152">
        <v>39142</v>
      </c>
      <c r="F2103" s="2">
        <f t="shared" si="489"/>
        <v>42795</v>
      </c>
      <c r="G2103" s="153">
        <v>1420</v>
      </c>
      <c r="H2103" s="151" t="s">
        <v>1575</v>
      </c>
      <c r="I2103" s="151" t="s">
        <v>198</v>
      </c>
      <c r="J2103" s="348" t="s">
        <v>5518</v>
      </c>
      <c r="K2103" s="266">
        <f t="shared" si="485"/>
        <v>2017</v>
      </c>
      <c r="L2103" s="395" t="s">
        <v>5519</v>
      </c>
      <c r="M2103" s="395" t="s">
        <v>5538</v>
      </c>
      <c r="N2103" s="163" t="s">
        <v>5543</v>
      </c>
      <c r="Q2103" s="241"/>
      <c r="R2103" s="147">
        <v>0</v>
      </c>
      <c r="S2103" s="147">
        <v>0</v>
      </c>
      <c r="T2103" s="148">
        <v>0</v>
      </c>
      <c r="U2103" s="206">
        <v>2840</v>
      </c>
      <c r="V2103" s="287">
        <f t="shared" ca="1" si="486"/>
        <v>10</v>
      </c>
      <c r="W2103" s="75">
        <f t="shared" ca="1" si="487"/>
        <v>24850</v>
      </c>
      <c r="X2103" s="200">
        <f t="shared" ca="1" si="488"/>
        <v>22720</v>
      </c>
      <c r="Y2103"/>
      <c r="Z2103" s="156">
        <v>0.1</v>
      </c>
      <c r="AA2103" s="227">
        <v>0.09</v>
      </c>
      <c r="AB2103" s="343"/>
      <c r="AC2103" s="343"/>
      <c r="AD2103" s="343"/>
      <c r="AE2103" s="343"/>
      <c r="AF2103">
        <f t="shared" si="484"/>
        <v>0</v>
      </c>
    </row>
    <row r="2104" spans="1:32" ht="90" hidden="1" x14ac:dyDescent="0.25">
      <c r="A2104" s="315" t="s">
        <v>5544</v>
      </c>
      <c r="B2104" s="93" t="str">
        <f t="shared" si="448"/>
        <v>NO</v>
      </c>
      <c r="C2104" t="s">
        <v>5505</v>
      </c>
      <c r="D2104" s="146">
        <v>39099</v>
      </c>
      <c r="E2104" s="152">
        <v>39142</v>
      </c>
      <c r="F2104" s="2">
        <f t="shared" si="489"/>
        <v>42795</v>
      </c>
      <c r="G2104" s="153">
        <v>2050</v>
      </c>
      <c r="H2104" s="151" t="s">
        <v>1575</v>
      </c>
      <c r="I2104" s="151" t="s">
        <v>198</v>
      </c>
      <c r="J2104" s="348" t="s">
        <v>5518</v>
      </c>
      <c r="K2104" s="266">
        <f t="shared" si="485"/>
        <v>2017</v>
      </c>
      <c r="L2104" s="395" t="s">
        <v>5519</v>
      </c>
      <c r="M2104" s="395" t="s">
        <v>5538</v>
      </c>
      <c r="N2104" s="163" t="s">
        <v>5545</v>
      </c>
      <c r="Q2104" s="241"/>
      <c r="R2104" s="147">
        <v>0</v>
      </c>
      <c r="S2104" s="147">
        <v>0</v>
      </c>
      <c r="T2104" s="148">
        <v>0</v>
      </c>
      <c r="U2104" s="206">
        <v>4100</v>
      </c>
      <c r="V2104" s="287">
        <f t="shared" ca="1" si="486"/>
        <v>10</v>
      </c>
      <c r="W2104" s="75">
        <f t="shared" ca="1" si="487"/>
        <v>35875</v>
      </c>
      <c r="X2104" s="200">
        <f t="shared" ca="1" si="488"/>
        <v>32800</v>
      </c>
      <c r="Y2104"/>
      <c r="Z2104" s="156">
        <v>0.1</v>
      </c>
      <c r="AA2104" s="227">
        <v>0.09</v>
      </c>
      <c r="AB2104" s="343"/>
      <c r="AC2104" s="343"/>
      <c r="AD2104" s="343"/>
      <c r="AE2104" s="343"/>
      <c r="AF2104">
        <f t="shared" si="484"/>
        <v>0</v>
      </c>
    </row>
    <row r="2105" spans="1:32" ht="60" hidden="1" x14ac:dyDescent="0.25">
      <c r="A2105" s="315" t="s">
        <v>5546</v>
      </c>
      <c r="B2105" s="93" t="str">
        <f t="shared" si="448"/>
        <v>NO</v>
      </c>
      <c r="C2105" t="s">
        <v>5505</v>
      </c>
      <c r="D2105" s="146">
        <v>39099</v>
      </c>
      <c r="E2105" s="152">
        <v>39142</v>
      </c>
      <c r="F2105" s="2">
        <f t="shared" si="489"/>
        <v>42795</v>
      </c>
      <c r="G2105" s="153">
        <v>2456.08</v>
      </c>
      <c r="H2105" s="151" t="s">
        <v>1575</v>
      </c>
      <c r="I2105" s="151" t="s">
        <v>198</v>
      </c>
      <c r="J2105" s="348" t="s">
        <v>5518</v>
      </c>
      <c r="K2105" s="266">
        <f t="shared" si="485"/>
        <v>2017</v>
      </c>
      <c r="L2105" s="395" t="s">
        <v>5519</v>
      </c>
      <c r="M2105" s="395" t="s">
        <v>5538</v>
      </c>
      <c r="N2105" s="163" t="s">
        <v>5547</v>
      </c>
      <c r="Q2105" s="241"/>
      <c r="R2105" s="147">
        <v>0</v>
      </c>
      <c r="S2105" s="147">
        <v>0</v>
      </c>
      <c r="T2105" s="148">
        <v>0</v>
      </c>
      <c r="U2105" s="206">
        <v>4914</v>
      </c>
      <c r="V2105" s="287">
        <f t="shared" ca="1" si="486"/>
        <v>10</v>
      </c>
      <c r="W2105" s="75">
        <f t="shared" ca="1" si="487"/>
        <v>42997.5</v>
      </c>
      <c r="X2105" s="200">
        <f t="shared" ca="1" si="488"/>
        <v>39312</v>
      </c>
      <c r="Y2105"/>
      <c r="Z2105" s="156">
        <v>0.1</v>
      </c>
      <c r="AA2105" s="227">
        <v>0.09</v>
      </c>
      <c r="AB2105" s="343"/>
      <c r="AC2105" s="343"/>
      <c r="AD2105" s="343"/>
      <c r="AE2105" s="343"/>
      <c r="AF2105">
        <f t="shared" si="484"/>
        <v>0</v>
      </c>
    </row>
    <row r="2106" spans="1:32" hidden="1" x14ac:dyDescent="0.25">
      <c r="A2106" s="316"/>
      <c r="C2106"/>
      <c r="D2106" s="146"/>
      <c r="E2106" s="152"/>
      <c r="F2106" s="152"/>
      <c r="G2106" s="153"/>
      <c r="H2106" s="151"/>
      <c r="I2106" s="151"/>
      <c r="J2106" s="162"/>
      <c r="K2106" s="162"/>
      <c r="L2106" s="395"/>
      <c r="M2106" s="395"/>
      <c r="N2106" s="163" t="s">
        <v>5511</v>
      </c>
      <c r="Q2106" s="241"/>
      <c r="R2106" s="147"/>
      <c r="S2106" s="147"/>
      <c r="T2106" s="148"/>
      <c r="U2106" s="206"/>
      <c r="V2106" s="147"/>
      <c r="W2106" s="147"/>
      <c r="X2106" s="206"/>
      <c r="Y2106"/>
      <c r="Z2106" s="156"/>
      <c r="AA2106" s="227"/>
      <c r="AB2106" s="343"/>
      <c r="AC2106" s="343"/>
      <c r="AD2106" s="343"/>
      <c r="AE2106" s="343"/>
      <c r="AF2106">
        <f t="shared" si="484"/>
        <v>0</v>
      </c>
    </row>
    <row r="2107" spans="1:32" ht="120" hidden="1" x14ac:dyDescent="0.25">
      <c r="A2107" s="315" t="s">
        <v>5548</v>
      </c>
      <c r="B2107" s="93" t="str">
        <f t="shared" si="448"/>
        <v>NO</v>
      </c>
      <c r="C2107" t="s">
        <v>5505</v>
      </c>
      <c r="D2107" s="146">
        <v>39372</v>
      </c>
      <c r="E2107" s="152">
        <v>39417</v>
      </c>
      <c r="F2107" s="2">
        <f t="shared" ref="F2107:F2108" si="490">DATE(YEAR(E2107)+10,MONTH(E2107),DAY(E2107))</f>
        <v>43070</v>
      </c>
      <c r="G2107" s="153">
        <v>348.75</v>
      </c>
      <c r="H2107" s="151" t="s">
        <v>1575</v>
      </c>
      <c r="I2107" s="151" t="s">
        <v>198</v>
      </c>
      <c r="J2107" s="348" t="s">
        <v>5518</v>
      </c>
      <c r="K2107" s="266">
        <f>YEAR(F2107)</f>
        <v>2017</v>
      </c>
      <c r="L2107" s="395" t="s">
        <v>5514</v>
      </c>
      <c r="M2107" s="395" t="s">
        <v>5549</v>
      </c>
      <c r="N2107" s="163" t="s">
        <v>5550</v>
      </c>
      <c r="Q2107" s="241"/>
      <c r="R2107" s="147">
        <v>0</v>
      </c>
      <c r="S2107" s="147">
        <v>0</v>
      </c>
      <c r="T2107" s="148">
        <v>0</v>
      </c>
      <c r="U2107" s="206">
        <v>698</v>
      </c>
      <c r="V2107" s="287">
        <f ca="1">IF(YEAR($W$3)-YEAR(E2107)&gt;9,10,IF(MONTH($W$3)&lt;MONTH(E2107),YEAR($W$3)-YEAR(E2107),YEAR($W$3)-YEAR(E2107)+1))</f>
        <v>10</v>
      </c>
      <c r="W2107" s="75">
        <f t="shared" ref="W2107:W2108" ca="1" si="491">IF(V2107&lt;6, ROUNDUP(G2107,0)*$W$6*V2107, ROUNDUP(G2107,0)*($W$6*5 + (V2107-5)*$W$7))</f>
        <v>6107.5</v>
      </c>
      <c r="X2107" s="200">
        <f t="shared" ref="X2107:X2108" ca="1" si="492">IF(V2107=0,T2107,((T2107-ROUNDUP(G2107,0)*1.5)+W2107))</f>
        <v>5584</v>
      </c>
      <c r="Y2107"/>
      <c r="Z2107" s="156">
        <v>0.1</v>
      </c>
      <c r="AA2107" s="227">
        <v>0.09</v>
      </c>
      <c r="AB2107" s="343"/>
      <c r="AC2107" s="343"/>
      <c r="AD2107" s="343"/>
      <c r="AE2107" s="343"/>
      <c r="AF2107">
        <f t="shared" si="484"/>
        <v>0</v>
      </c>
    </row>
    <row r="2108" spans="1:32" ht="96.75" hidden="1" x14ac:dyDescent="0.25">
      <c r="A2108" s="315" t="s">
        <v>5551</v>
      </c>
      <c r="B2108" s="93" t="str">
        <f t="shared" si="448"/>
        <v>NO</v>
      </c>
      <c r="C2108" t="s">
        <v>5505</v>
      </c>
      <c r="D2108" s="146">
        <v>39372</v>
      </c>
      <c r="E2108" s="152">
        <v>39417</v>
      </c>
      <c r="F2108" s="2">
        <f t="shared" si="490"/>
        <v>43070</v>
      </c>
      <c r="G2108" s="153">
        <v>425</v>
      </c>
      <c r="H2108" s="151" t="s">
        <v>1575</v>
      </c>
      <c r="I2108" s="151" t="s">
        <v>198</v>
      </c>
      <c r="J2108" s="348" t="s">
        <v>5518</v>
      </c>
      <c r="K2108" s="266">
        <f>YEAR(F2108)</f>
        <v>2017</v>
      </c>
      <c r="L2108" s="395" t="s">
        <v>5514</v>
      </c>
      <c r="M2108" s="395" t="s">
        <v>5515</v>
      </c>
      <c r="N2108" s="164" t="s">
        <v>5552</v>
      </c>
      <c r="Q2108" s="241"/>
      <c r="R2108" s="147">
        <v>0</v>
      </c>
      <c r="S2108" s="147">
        <v>0</v>
      </c>
      <c r="T2108" s="148">
        <v>0</v>
      </c>
      <c r="U2108" s="206">
        <v>850</v>
      </c>
      <c r="V2108" s="287">
        <f ca="1">IF(YEAR($W$3)-YEAR(E2108)&gt;9,10,IF(MONTH($W$3)&lt;MONTH(E2108),YEAR($W$3)-YEAR(E2108),YEAR($W$3)-YEAR(E2108)+1))</f>
        <v>10</v>
      </c>
      <c r="W2108" s="75">
        <f t="shared" ca="1" si="491"/>
        <v>7437.5</v>
      </c>
      <c r="X2108" s="200">
        <f t="shared" ca="1" si="492"/>
        <v>6800</v>
      </c>
      <c r="Y2108"/>
      <c r="Z2108" s="156">
        <v>0.1</v>
      </c>
      <c r="AA2108" s="227">
        <v>0.09</v>
      </c>
      <c r="AB2108" s="343"/>
      <c r="AC2108" s="343"/>
      <c r="AD2108" s="343"/>
      <c r="AE2108" s="343"/>
      <c r="AF2108">
        <f t="shared" si="484"/>
        <v>0</v>
      </c>
    </row>
    <row r="2109" spans="1:32" hidden="1" x14ac:dyDescent="0.25">
      <c r="A2109" s="316"/>
      <c r="C2109"/>
      <c r="D2109" s="146"/>
      <c r="E2109" s="152"/>
      <c r="F2109" s="152"/>
      <c r="G2109" s="153"/>
      <c r="H2109" s="151"/>
      <c r="I2109" s="151"/>
      <c r="J2109" s="162"/>
      <c r="K2109" s="162"/>
      <c r="L2109" s="395"/>
      <c r="M2109" s="395"/>
      <c r="N2109" s="163" t="s">
        <v>5511</v>
      </c>
      <c r="Q2109" s="241"/>
      <c r="R2109" s="147"/>
      <c r="S2109" s="147"/>
      <c r="T2109" s="148"/>
      <c r="U2109" s="206"/>
      <c r="V2109" s="147"/>
      <c r="W2109" s="147"/>
      <c r="X2109" s="206"/>
      <c r="Y2109"/>
      <c r="Z2109" s="156"/>
      <c r="AA2109" s="227"/>
      <c r="AB2109" s="343"/>
      <c r="AC2109" s="343"/>
      <c r="AD2109" s="343"/>
      <c r="AE2109" s="343"/>
      <c r="AF2109">
        <f t="shared" si="484"/>
        <v>0</v>
      </c>
    </row>
    <row r="2110" spans="1:32" ht="30" hidden="1" x14ac:dyDescent="0.25">
      <c r="A2110" s="315" t="s">
        <v>5553</v>
      </c>
      <c r="B2110" s="93" t="str">
        <f t="shared" si="448"/>
        <v>YES</v>
      </c>
      <c r="C2110" t="s">
        <v>5505</v>
      </c>
      <c r="D2110" s="146">
        <v>39800</v>
      </c>
      <c r="E2110" s="152">
        <v>39845</v>
      </c>
      <c r="F2110" s="2">
        <f t="shared" ref="F2110:F2115" si="493">DATE(YEAR(E2110)+10,MONTH(E2110),DAY(E2110))</f>
        <v>43497</v>
      </c>
      <c r="G2110" s="153">
        <v>40.01</v>
      </c>
      <c r="H2110" s="151" t="s">
        <v>5554</v>
      </c>
      <c r="I2110" s="151" t="s">
        <v>308</v>
      </c>
      <c r="J2110" s="348" t="s">
        <v>5506</v>
      </c>
      <c r="K2110" s="266">
        <f t="shared" ref="K2110:K2115" si="494">YEAR(F2110)</f>
        <v>2019</v>
      </c>
      <c r="L2110" s="395" t="s">
        <v>5555</v>
      </c>
      <c r="M2110" s="395" t="s">
        <v>5556</v>
      </c>
      <c r="N2110" s="163" t="s">
        <v>5557</v>
      </c>
      <c r="Q2110" s="241"/>
      <c r="R2110" s="147">
        <v>283.5</v>
      </c>
      <c r="S2110" s="147">
        <v>82</v>
      </c>
      <c r="T2110" s="148">
        <v>365.5</v>
      </c>
      <c r="U2110" s="206">
        <v>82</v>
      </c>
      <c r="V2110" s="287">
        <f t="shared" ref="V2110:V2115" ca="1" si="495">IF(YEAR($W$3)-YEAR(E2110)&gt;9,10,IF(MONTH($W$3)&lt;MONTH(E2110),YEAR($W$3)-YEAR(E2110),YEAR($W$3)-YEAR(E2110)+1))</f>
        <v>10</v>
      </c>
      <c r="W2110" s="75">
        <f t="shared" ref="W2110:W2115" ca="1" si="496">IF(V2110&lt;6, ROUNDUP(G2110,0)*$W$6*V2110, ROUNDUP(G2110,0)*($W$6*5 + (V2110-5)*$W$7))</f>
        <v>717.5</v>
      </c>
      <c r="X2110" s="200">
        <f t="shared" ref="X2110:X2115" ca="1" si="497">IF(V2110=0,T2110,((T2110-ROUNDUP(G2110,0)*1.5)+W2110))</f>
        <v>1021.5</v>
      </c>
      <c r="Y2110"/>
      <c r="Z2110" s="156">
        <v>0.1</v>
      </c>
      <c r="AA2110" s="227">
        <v>0.09</v>
      </c>
      <c r="AB2110" s="343"/>
      <c r="AC2110" s="343"/>
      <c r="AD2110" s="343"/>
      <c r="AE2110" s="343"/>
      <c r="AF2110">
        <f t="shared" si="484"/>
        <v>0</v>
      </c>
    </row>
    <row r="2111" spans="1:32" ht="30" hidden="1" x14ac:dyDescent="0.25">
      <c r="A2111" s="315" t="s">
        <v>5558</v>
      </c>
      <c r="B2111" s="93" t="str">
        <f t="shared" si="448"/>
        <v>YES</v>
      </c>
      <c r="C2111" t="s">
        <v>5505</v>
      </c>
      <c r="D2111" s="146">
        <v>39800</v>
      </c>
      <c r="E2111" s="152">
        <v>39845</v>
      </c>
      <c r="F2111" s="2">
        <f t="shared" si="493"/>
        <v>43497</v>
      </c>
      <c r="G2111" s="153">
        <v>160</v>
      </c>
      <c r="H2111" s="151" t="s">
        <v>5554</v>
      </c>
      <c r="I2111" s="151" t="s">
        <v>308</v>
      </c>
      <c r="J2111" s="348" t="s">
        <v>5506</v>
      </c>
      <c r="K2111" s="266">
        <f t="shared" si="494"/>
        <v>2019</v>
      </c>
      <c r="L2111" s="395" t="s">
        <v>5555</v>
      </c>
      <c r="M2111" s="395" t="s">
        <v>5556</v>
      </c>
      <c r="N2111" s="163" t="s">
        <v>5559</v>
      </c>
      <c r="Q2111" s="241"/>
      <c r="R2111" s="147">
        <v>700</v>
      </c>
      <c r="S2111" s="147">
        <v>320</v>
      </c>
      <c r="T2111" s="148">
        <v>1020</v>
      </c>
      <c r="U2111" s="206">
        <v>320</v>
      </c>
      <c r="V2111" s="287">
        <f t="shared" ca="1" si="495"/>
        <v>10</v>
      </c>
      <c r="W2111" s="75">
        <f t="shared" ca="1" si="496"/>
        <v>2800</v>
      </c>
      <c r="X2111" s="200">
        <f t="shared" ca="1" si="497"/>
        <v>3580</v>
      </c>
      <c r="Y2111"/>
      <c r="Z2111" s="156">
        <v>0.1</v>
      </c>
      <c r="AA2111" s="227">
        <v>0.09</v>
      </c>
      <c r="AB2111" s="343"/>
      <c r="AC2111" s="343"/>
      <c r="AD2111" s="343"/>
      <c r="AE2111" s="343"/>
      <c r="AF2111">
        <f t="shared" si="484"/>
        <v>0</v>
      </c>
    </row>
    <row r="2112" spans="1:32" ht="45" hidden="1" x14ac:dyDescent="0.25">
      <c r="A2112" s="315" t="s">
        <v>5560</v>
      </c>
      <c r="B2112" s="93" t="str">
        <f t="shared" si="448"/>
        <v>YES</v>
      </c>
      <c r="C2112" t="s">
        <v>5505</v>
      </c>
      <c r="D2112" s="146">
        <v>39800</v>
      </c>
      <c r="E2112" s="152">
        <v>39845</v>
      </c>
      <c r="F2112" s="2">
        <f t="shared" si="493"/>
        <v>43497</v>
      </c>
      <c r="G2112" s="153">
        <v>428.23</v>
      </c>
      <c r="H2112" s="151" t="s">
        <v>4084</v>
      </c>
      <c r="I2112" s="151" t="s">
        <v>308</v>
      </c>
      <c r="J2112" s="348" t="s">
        <v>5506</v>
      </c>
      <c r="K2112" s="266">
        <f t="shared" si="494"/>
        <v>2019</v>
      </c>
      <c r="L2112" s="395" t="s">
        <v>5561</v>
      </c>
      <c r="M2112" s="395" t="s">
        <v>5562</v>
      </c>
      <c r="N2112" s="163" t="s">
        <v>5563</v>
      </c>
      <c r="Q2112" s="241"/>
      <c r="R2112" s="147">
        <v>1641.5</v>
      </c>
      <c r="S2112" s="147">
        <v>858</v>
      </c>
      <c r="T2112" s="148">
        <v>2499.5</v>
      </c>
      <c r="U2112" s="206">
        <v>858</v>
      </c>
      <c r="V2112" s="287">
        <f t="shared" ca="1" si="495"/>
        <v>10</v>
      </c>
      <c r="W2112" s="75">
        <f t="shared" ca="1" si="496"/>
        <v>7507.5</v>
      </c>
      <c r="X2112" s="200">
        <f t="shared" ca="1" si="497"/>
        <v>9363.5</v>
      </c>
      <c r="Y2112"/>
      <c r="Z2112" s="156">
        <v>0.1</v>
      </c>
      <c r="AA2112" s="227">
        <v>0.09</v>
      </c>
      <c r="AB2112" s="343"/>
      <c r="AC2112" s="343"/>
      <c r="AD2112" s="343"/>
      <c r="AE2112" s="343"/>
      <c r="AF2112">
        <f t="shared" si="484"/>
        <v>0</v>
      </c>
    </row>
    <row r="2113" spans="1:32" ht="150" hidden="1" x14ac:dyDescent="0.25">
      <c r="A2113" s="315" t="s">
        <v>5564</v>
      </c>
      <c r="B2113" s="93" t="str">
        <f t="shared" si="448"/>
        <v>YES</v>
      </c>
      <c r="C2113" t="s">
        <v>5505</v>
      </c>
      <c r="D2113" s="146">
        <v>39800</v>
      </c>
      <c r="E2113" s="152">
        <v>39845</v>
      </c>
      <c r="F2113" s="2">
        <f t="shared" si="493"/>
        <v>43497</v>
      </c>
      <c r="G2113" s="153">
        <v>477.28</v>
      </c>
      <c r="H2113" s="151" t="s">
        <v>4084</v>
      </c>
      <c r="I2113" s="151" t="s">
        <v>308</v>
      </c>
      <c r="J2113" s="348" t="s">
        <v>5506</v>
      </c>
      <c r="K2113" s="266">
        <f t="shared" si="494"/>
        <v>2019</v>
      </c>
      <c r="L2113" s="395" t="s">
        <v>5561</v>
      </c>
      <c r="M2113" s="395" t="s">
        <v>5562</v>
      </c>
      <c r="N2113" s="163" t="s">
        <v>5565</v>
      </c>
      <c r="Q2113" s="241"/>
      <c r="R2113" s="147">
        <v>1813</v>
      </c>
      <c r="S2113" s="147">
        <v>956</v>
      </c>
      <c r="T2113" s="148">
        <v>2769</v>
      </c>
      <c r="U2113" s="206">
        <v>956</v>
      </c>
      <c r="V2113" s="287">
        <f t="shared" ca="1" si="495"/>
        <v>10</v>
      </c>
      <c r="W2113" s="75">
        <f t="shared" ca="1" si="496"/>
        <v>8365</v>
      </c>
      <c r="X2113" s="200">
        <f t="shared" ca="1" si="497"/>
        <v>10417</v>
      </c>
      <c r="Y2113"/>
      <c r="Z2113" s="156">
        <v>0.1</v>
      </c>
      <c r="AA2113" s="227">
        <v>0.09</v>
      </c>
      <c r="AB2113" s="343"/>
      <c r="AC2113" s="343"/>
      <c r="AD2113" s="343"/>
      <c r="AE2113" s="343"/>
      <c r="AF2113">
        <f t="shared" si="484"/>
        <v>0</v>
      </c>
    </row>
    <row r="2114" spans="1:32" ht="45" hidden="1" x14ac:dyDescent="0.25">
      <c r="A2114" s="315" t="s">
        <v>5566</v>
      </c>
      <c r="B2114" s="93" t="str">
        <f t="shared" si="448"/>
        <v>YES</v>
      </c>
      <c r="C2114" t="s">
        <v>5505</v>
      </c>
      <c r="D2114" s="146">
        <v>39800</v>
      </c>
      <c r="E2114" s="152">
        <v>39845</v>
      </c>
      <c r="F2114" s="2">
        <f t="shared" si="493"/>
        <v>43497</v>
      </c>
      <c r="G2114" s="153">
        <v>40</v>
      </c>
      <c r="H2114" s="151" t="s">
        <v>4084</v>
      </c>
      <c r="I2114" s="151" t="s">
        <v>308</v>
      </c>
      <c r="J2114" s="348" t="s">
        <v>5506</v>
      </c>
      <c r="K2114" s="266">
        <f t="shared" si="494"/>
        <v>2019</v>
      </c>
      <c r="L2114" s="395" t="s">
        <v>5561</v>
      </c>
      <c r="M2114" s="395" t="s">
        <v>5562</v>
      </c>
      <c r="N2114" s="163" t="s">
        <v>5567</v>
      </c>
      <c r="Q2114" s="241"/>
      <c r="R2114" s="147">
        <v>980</v>
      </c>
      <c r="S2114" s="147">
        <v>480</v>
      </c>
      <c r="T2114" s="148">
        <v>1460</v>
      </c>
      <c r="U2114" s="206">
        <v>80</v>
      </c>
      <c r="V2114" s="287">
        <f t="shared" ca="1" si="495"/>
        <v>10</v>
      </c>
      <c r="W2114" s="75">
        <f t="shared" ca="1" si="496"/>
        <v>700</v>
      </c>
      <c r="X2114" s="200">
        <f t="shared" ca="1" si="497"/>
        <v>2100</v>
      </c>
      <c r="Y2114"/>
      <c r="Z2114" s="156">
        <v>0.1</v>
      </c>
      <c r="AA2114" s="227">
        <v>0.09</v>
      </c>
      <c r="AB2114" s="343"/>
      <c r="AC2114" s="343"/>
      <c r="AD2114" s="343"/>
      <c r="AE2114" s="343"/>
      <c r="AF2114">
        <f t="shared" si="484"/>
        <v>0</v>
      </c>
    </row>
    <row r="2115" spans="1:32" ht="30" hidden="1" x14ac:dyDescent="0.25">
      <c r="A2115" s="315" t="s">
        <v>5568</v>
      </c>
      <c r="B2115" s="93" t="str">
        <f t="shared" si="448"/>
        <v>YES</v>
      </c>
      <c r="C2115" t="s">
        <v>5505</v>
      </c>
      <c r="D2115" s="146">
        <v>39800</v>
      </c>
      <c r="E2115" s="152">
        <v>39845</v>
      </c>
      <c r="F2115" s="2">
        <f t="shared" si="493"/>
        <v>43497</v>
      </c>
      <c r="G2115" s="153">
        <v>40.36</v>
      </c>
      <c r="H2115" s="151" t="s">
        <v>4084</v>
      </c>
      <c r="I2115" s="151" t="s">
        <v>308</v>
      </c>
      <c r="J2115" s="348" t="s">
        <v>5506</v>
      </c>
      <c r="K2115" s="266">
        <f t="shared" si="494"/>
        <v>2019</v>
      </c>
      <c r="L2115" s="395" t="s">
        <v>5561</v>
      </c>
      <c r="M2115" s="395" t="s">
        <v>5562</v>
      </c>
      <c r="N2115" s="163" t="s">
        <v>5569</v>
      </c>
      <c r="Q2115" s="241"/>
      <c r="R2115" s="147">
        <v>283.5</v>
      </c>
      <c r="S2115" s="147">
        <v>82</v>
      </c>
      <c r="T2115" s="148">
        <v>365.5</v>
      </c>
      <c r="U2115" s="206">
        <v>82</v>
      </c>
      <c r="V2115" s="287">
        <f t="shared" ca="1" si="495"/>
        <v>10</v>
      </c>
      <c r="W2115" s="75">
        <f t="shared" ca="1" si="496"/>
        <v>717.5</v>
      </c>
      <c r="X2115" s="200">
        <f t="shared" ca="1" si="497"/>
        <v>1021.5</v>
      </c>
      <c r="Y2115"/>
      <c r="Z2115" s="156">
        <v>0.1</v>
      </c>
      <c r="AA2115" s="227">
        <v>0.09</v>
      </c>
      <c r="AB2115" s="343"/>
      <c r="AC2115" s="343"/>
      <c r="AD2115" s="343"/>
      <c r="AE2115" s="343"/>
      <c r="AF2115">
        <f t="shared" si="484"/>
        <v>0</v>
      </c>
    </row>
    <row r="2116" spans="1:32" hidden="1" x14ac:dyDescent="0.25">
      <c r="A2116" s="316"/>
      <c r="C2116"/>
      <c r="D2116" s="146"/>
      <c r="E2116" s="152"/>
      <c r="F2116" s="152"/>
      <c r="G2116" s="153"/>
      <c r="H2116" s="151"/>
      <c r="I2116" s="151"/>
      <c r="J2116" s="162"/>
      <c r="K2116" s="162"/>
      <c r="L2116" s="395"/>
      <c r="M2116" s="395"/>
      <c r="N2116" s="163" t="s">
        <v>5511</v>
      </c>
      <c r="Q2116" s="241"/>
      <c r="R2116" s="147"/>
      <c r="S2116" s="147"/>
      <c r="T2116" s="148"/>
      <c r="U2116" s="206"/>
      <c r="V2116" s="147"/>
      <c r="W2116" s="147"/>
      <c r="X2116" s="206"/>
      <c r="Y2116"/>
      <c r="Z2116" s="156"/>
      <c r="AA2116" s="227"/>
      <c r="AB2116" s="343"/>
      <c r="AC2116" s="343"/>
      <c r="AD2116" s="343"/>
      <c r="AE2116" s="343"/>
      <c r="AF2116">
        <f t="shared" si="484"/>
        <v>0</v>
      </c>
    </row>
    <row r="2117" spans="1:32" hidden="1" x14ac:dyDescent="0.25">
      <c r="A2117" s="330"/>
      <c r="C2117"/>
      <c r="D2117" s="146"/>
      <c r="E2117" s="152"/>
      <c r="F2117" s="152"/>
      <c r="G2117" s="153"/>
      <c r="H2117" s="151"/>
      <c r="I2117" s="151"/>
      <c r="J2117" s="162"/>
      <c r="K2117" s="162"/>
      <c r="L2117" s="395"/>
      <c r="M2117" s="395"/>
      <c r="N2117" s="163" t="s">
        <v>5511</v>
      </c>
      <c r="Q2117" s="241"/>
      <c r="R2117" s="139">
        <v>5701.5</v>
      </c>
      <c r="S2117" s="139">
        <v>2778</v>
      </c>
      <c r="T2117" s="139">
        <v>8479.5</v>
      </c>
      <c r="U2117" s="206"/>
      <c r="V2117" s="147"/>
      <c r="W2117" s="147"/>
      <c r="X2117" s="206"/>
      <c r="Y2117"/>
      <c r="Z2117" s="156"/>
      <c r="AA2117" s="227"/>
      <c r="AB2117" s="343"/>
      <c r="AC2117" s="343"/>
      <c r="AD2117" s="343"/>
      <c r="AE2117" s="343"/>
      <c r="AF2117">
        <f t="shared" si="484"/>
        <v>0</v>
      </c>
    </row>
    <row r="2118" spans="1:32" ht="15.75" hidden="1" thickTop="1" x14ac:dyDescent="0.25">
      <c r="A2118" s="316"/>
      <c r="C2118"/>
      <c r="D2118" s="146"/>
      <c r="E2118" s="152"/>
      <c r="F2118" s="152"/>
      <c r="G2118" s="153"/>
      <c r="H2118" s="151"/>
      <c r="I2118" s="151"/>
      <c r="J2118" s="162"/>
      <c r="K2118" s="162"/>
      <c r="L2118" s="395"/>
      <c r="M2118" s="395"/>
      <c r="N2118" s="163" t="s">
        <v>5511</v>
      </c>
      <c r="Q2118" s="241"/>
      <c r="R2118" s="137"/>
      <c r="S2118" s="137"/>
      <c r="T2118" s="142"/>
      <c r="U2118" s="206"/>
      <c r="V2118" s="147"/>
      <c r="W2118" s="147"/>
      <c r="X2118" s="206"/>
      <c r="Y2118"/>
      <c r="Z2118" s="156"/>
      <c r="AA2118" s="227"/>
      <c r="AB2118" s="343"/>
      <c r="AC2118" s="343"/>
      <c r="AD2118" s="343"/>
      <c r="AE2118" s="343"/>
      <c r="AF2118">
        <f t="shared" si="484"/>
        <v>0</v>
      </c>
    </row>
    <row r="2119" spans="1:32" ht="45" hidden="1" x14ac:dyDescent="0.25">
      <c r="A2119" s="315" t="s">
        <v>5570</v>
      </c>
      <c r="B2119" s="93" t="str">
        <f t="shared" si="448"/>
        <v>YES</v>
      </c>
      <c r="C2119" t="s">
        <v>5505</v>
      </c>
      <c r="D2119" s="146">
        <v>40521</v>
      </c>
      <c r="E2119" s="152">
        <v>40575</v>
      </c>
      <c r="F2119" s="2">
        <f t="shared" ref="F2119:F2120" si="498">DATE(YEAR(E2119)+10,MONTH(E2119),DAY(E2119))</f>
        <v>44228</v>
      </c>
      <c r="G2119" s="153">
        <v>1.24</v>
      </c>
      <c r="H2119" s="151" t="s">
        <v>6211</v>
      </c>
      <c r="I2119" s="151" t="s">
        <v>79</v>
      </c>
      <c r="J2119" s="348" t="s">
        <v>5506</v>
      </c>
      <c r="K2119" s="266">
        <f>YEAR(F2119)</f>
        <v>2021</v>
      </c>
      <c r="L2119" s="395" t="s">
        <v>5572</v>
      </c>
      <c r="M2119" s="395" t="s">
        <v>5573</v>
      </c>
      <c r="N2119" s="163" t="s">
        <v>5574</v>
      </c>
      <c r="Q2119" s="241"/>
      <c r="R2119" s="147">
        <v>152</v>
      </c>
      <c r="S2119" s="147">
        <v>0</v>
      </c>
      <c r="T2119" s="148">
        <v>152</v>
      </c>
      <c r="U2119" s="206">
        <v>4</v>
      </c>
      <c r="V2119" s="287">
        <f ca="1">IF(YEAR($W$3)-YEAR(E2119)&gt;9,10,IF(MONTH($W$3)&lt;MONTH(E2119),YEAR($W$3)-YEAR(E2119),YEAR($W$3)-YEAR(E2119)+1))</f>
        <v>9</v>
      </c>
      <c r="W2119" s="75">
        <f t="shared" ref="W2119:W2120" ca="1" si="499">IF(V2119&lt;6, ROUNDUP(G2119,0)*$W$6*V2119, ROUNDUP(G2119,0)*($W$6*5 + (V2119-5)*$W$7))</f>
        <v>31</v>
      </c>
      <c r="X2119" s="200">
        <f t="shared" ref="X2119:X2120" ca="1" si="500">IF(V2119=0,T2119,((T2119-ROUNDUP(G2119,0)*1.5)+W2119))</f>
        <v>180</v>
      </c>
      <c r="Y2119"/>
      <c r="Z2119" s="156">
        <v>0.1</v>
      </c>
      <c r="AA2119" s="227">
        <v>0.09</v>
      </c>
      <c r="AB2119" s="343"/>
      <c r="AC2119" s="343"/>
      <c r="AD2119" s="343"/>
      <c r="AE2119" s="343"/>
      <c r="AF2119">
        <f t="shared" si="484"/>
        <v>0</v>
      </c>
    </row>
    <row r="2120" spans="1:32" ht="60" hidden="1" x14ac:dyDescent="0.25">
      <c r="A2120" s="315" t="s">
        <v>5575</v>
      </c>
      <c r="B2120" s="93" t="str">
        <f t="shared" si="448"/>
        <v>YES</v>
      </c>
      <c r="C2120" t="s">
        <v>5505</v>
      </c>
      <c r="D2120" s="146">
        <v>40521</v>
      </c>
      <c r="E2120" s="152">
        <v>40575</v>
      </c>
      <c r="F2120" s="2">
        <f t="shared" si="498"/>
        <v>44228</v>
      </c>
      <c r="G2120" s="153">
        <v>160</v>
      </c>
      <c r="H2120" s="151" t="s">
        <v>2466</v>
      </c>
      <c r="I2120" s="151" t="s">
        <v>1050</v>
      </c>
      <c r="J2120" s="348" t="s">
        <v>5506</v>
      </c>
      <c r="K2120" s="266">
        <f>YEAR(F2120)</f>
        <v>2021</v>
      </c>
      <c r="L2120" s="418" t="s">
        <v>5576</v>
      </c>
      <c r="M2120" s="418" t="s">
        <v>5577</v>
      </c>
      <c r="N2120" s="163" t="s">
        <v>5578</v>
      </c>
      <c r="Q2120" s="241"/>
      <c r="R2120" s="147">
        <v>705</v>
      </c>
      <c r="S2120" s="147">
        <v>0</v>
      </c>
      <c r="T2120" s="148">
        <v>705</v>
      </c>
      <c r="U2120" s="206">
        <v>320</v>
      </c>
      <c r="V2120" s="287">
        <f ca="1">IF(YEAR($W$3)-YEAR(E2120)&gt;9,10,IF(MONTH($W$3)&lt;MONTH(E2120),YEAR($W$3)-YEAR(E2120),YEAR($W$3)-YEAR(E2120)+1))</f>
        <v>9</v>
      </c>
      <c r="W2120" s="75">
        <f t="shared" ca="1" si="499"/>
        <v>2480</v>
      </c>
      <c r="X2120" s="200">
        <f t="shared" ca="1" si="500"/>
        <v>2945</v>
      </c>
      <c r="Y2120"/>
      <c r="Z2120" s="156">
        <v>0.1</v>
      </c>
      <c r="AA2120" s="227">
        <v>0.09</v>
      </c>
      <c r="AB2120" s="343"/>
      <c r="AC2120" s="343"/>
      <c r="AD2120" s="343"/>
      <c r="AE2120" s="343"/>
      <c r="AF2120">
        <f t="shared" si="484"/>
        <v>0</v>
      </c>
    </row>
    <row r="2121" spans="1:32" hidden="1" x14ac:dyDescent="0.25">
      <c r="A2121" s="316"/>
      <c r="C2121"/>
      <c r="D2121" s="146"/>
      <c r="E2121" s="152"/>
      <c r="F2121" s="152"/>
      <c r="G2121" s="153"/>
      <c r="H2121" s="151"/>
      <c r="I2121" s="151"/>
      <c r="J2121" s="162"/>
      <c r="K2121" s="162"/>
      <c r="L2121" s="395"/>
      <c r="M2121" s="395"/>
      <c r="N2121" s="163" t="s">
        <v>5511</v>
      </c>
      <c r="Q2121" s="241"/>
      <c r="R2121" s="147"/>
      <c r="S2121" s="147"/>
      <c r="T2121" s="148"/>
      <c r="U2121" s="206"/>
      <c r="V2121" s="147"/>
      <c r="W2121" s="147"/>
      <c r="X2121" s="206"/>
      <c r="Y2121"/>
      <c r="Z2121" s="156"/>
      <c r="AA2121" s="227"/>
      <c r="AB2121" s="343"/>
      <c r="AC2121" s="343"/>
      <c r="AD2121" s="343"/>
      <c r="AE2121" s="343"/>
      <c r="AF2121">
        <f t="shared" si="484"/>
        <v>0</v>
      </c>
    </row>
    <row r="2122" spans="1:32" hidden="1" x14ac:dyDescent="0.25">
      <c r="A2122" s="316"/>
      <c r="C2122"/>
      <c r="D2122" s="146"/>
      <c r="E2122" s="152"/>
      <c r="F2122" s="152"/>
      <c r="G2122" s="153"/>
      <c r="H2122" s="151"/>
      <c r="I2122" s="151"/>
      <c r="J2122" s="162"/>
      <c r="K2122" s="162"/>
      <c r="L2122" s="395"/>
      <c r="M2122" s="395"/>
      <c r="N2122" s="163" t="s">
        <v>5511</v>
      </c>
      <c r="Q2122" s="241"/>
      <c r="R2122" s="139">
        <v>857</v>
      </c>
      <c r="S2122" s="139">
        <v>0</v>
      </c>
      <c r="T2122" s="139">
        <v>857</v>
      </c>
      <c r="U2122" s="206"/>
      <c r="V2122" s="147"/>
      <c r="W2122" s="147"/>
      <c r="X2122" s="206"/>
      <c r="Y2122"/>
      <c r="Z2122" s="156"/>
      <c r="AA2122" s="227"/>
      <c r="AB2122" s="343"/>
      <c r="AC2122" s="343"/>
      <c r="AD2122" s="343"/>
      <c r="AE2122" s="343"/>
      <c r="AF2122">
        <f t="shared" si="484"/>
        <v>0</v>
      </c>
    </row>
    <row r="2123" spans="1:32" ht="15.75" hidden="1" thickTop="1" x14ac:dyDescent="0.25">
      <c r="A2123" s="331"/>
      <c r="C2123"/>
      <c r="D2123" s="150"/>
      <c r="E2123" s="145"/>
      <c r="F2123" s="145"/>
      <c r="G2123" s="154"/>
      <c r="H2123" s="145"/>
      <c r="I2123" s="145"/>
      <c r="J2123" s="165"/>
      <c r="K2123" s="165"/>
      <c r="L2123" s="396"/>
      <c r="M2123" s="396"/>
      <c r="N2123" s="163" t="s">
        <v>5511</v>
      </c>
      <c r="Q2123" s="242"/>
      <c r="R2123" s="141"/>
      <c r="S2123" s="141"/>
      <c r="T2123" s="140"/>
      <c r="U2123" s="212"/>
      <c r="V2123" s="193"/>
      <c r="W2123" s="193"/>
      <c r="X2123" s="212"/>
      <c r="Y2123"/>
      <c r="Z2123" s="149"/>
      <c r="AA2123" s="228"/>
      <c r="AB2123" s="344"/>
      <c r="AC2123" s="344"/>
      <c r="AD2123" s="344"/>
      <c r="AE2123" s="344"/>
      <c r="AF2123">
        <f t="shared" si="484"/>
        <v>0</v>
      </c>
    </row>
    <row r="2124" spans="1:32" ht="30" hidden="1" x14ac:dyDescent="0.25">
      <c r="A2124" s="332" t="s">
        <v>5579</v>
      </c>
      <c r="B2124" s="93" t="str">
        <f t="shared" si="448"/>
        <v>YES</v>
      </c>
      <c r="C2124" t="s">
        <v>5505</v>
      </c>
      <c r="D2124" s="95">
        <v>40589</v>
      </c>
      <c r="E2124" s="95">
        <v>40634</v>
      </c>
      <c r="F2124" s="2">
        <f t="shared" ref="F2124:F2137" si="501">DATE(YEAR(E2124)+10,MONTH(E2124),DAY(E2124))</f>
        <v>44287</v>
      </c>
      <c r="G2124" s="155">
        <v>80.239999999999995</v>
      </c>
      <c r="H2124" s="93" t="s">
        <v>5580</v>
      </c>
      <c r="I2124" s="93" t="s">
        <v>5285</v>
      </c>
      <c r="J2124" s="166"/>
      <c r="K2124" s="266">
        <f t="shared" ref="K2124:K2137" si="502">YEAR(F2124)</f>
        <v>2021</v>
      </c>
      <c r="L2124" s="393" t="s">
        <v>5581</v>
      </c>
      <c r="M2124" s="393" t="s">
        <v>5582</v>
      </c>
      <c r="N2124" s="163" t="s">
        <v>5583</v>
      </c>
      <c r="Q2124" s="243"/>
      <c r="R2124" s="92">
        <v>428.5</v>
      </c>
      <c r="S2124" s="92">
        <v>129438</v>
      </c>
      <c r="T2124" s="92">
        <v>129866.5</v>
      </c>
      <c r="U2124" s="201">
        <v>162</v>
      </c>
      <c r="V2124" s="287">
        <f t="shared" ref="V2124:V2137" ca="1" si="503">IF(YEAR($W$3)-YEAR(E2124)&gt;9,10,IF(MONTH($W$3)&lt;MONTH(E2124),YEAR($W$3)-YEAR(E2124),YEAR($W$3)-YEAR(E2124)+1))</f>
        <v>9</v>
      </c>
      <c r="W2124" s="75">
        <f t="shared" ref="W2124:W2137" ca="1" si="504">IF(V2124&lt;6, ROUNDUP(G2124,0)*$W$6*V2124, ROUNDUP(G2124,0)*($W$6*5 + (V2124-5)*$W$7))</f>
        <v>1255.5</v>
      </c>
      <c r="X2124" s="200">
        <f t="shared" ref="X2124:X2137" ca="1" si="505">IF(V2124=0,T2124,((T2124-ROUNDUP(G2124,0)*1.5)+W2124))</f>
        <v>131000.5</v>
      </c>
      <c r="Y2124"/>
      <c r="Z2124" s="156">
        <v>0.1</v>
      </c>
      <c r="AA2124" s="227">
        <v>0.09</v>
      </c>
      <c r="AB2124" s="312" t="s">
        <v>8010</v>
      </c>
      <c r="AF2124">
        <f t="shared" si="484"/>
        <v>0</v>
      </c>
    </row>
    <row r="2125" spans="1:32" ht="30" hidden="1" x14ac:dyDescent="0.25">
      <c r="A2125" s="332" t="s">
        <v>5584</v>
      </c>
      <c r="B2125" s="93" t="str">
        <f t="shared" si="448"/>
        <v>YES</v>
      </c>
      <c r="C2125" t="s">
        <v>5505</v>
      </c>
      <c r="D2125" s="95">
        <v>40589</v>
      </c>
      <c r="E2125" s="95">
        <v>40634</v>
      </c>
      <c r="F2125" s="2">
        <f t="shared" si="501"/>
        <v>44287</v>
      </c>
      <c r="G2125" s="155">
        <v>757.44</v>
      </c>
      <c r="H2125" s="93" t="s">
        <v>5585</v>
      </c>
      <c r="I2125" s="93" t="s">
        <v>5285</v>
      </c>
      <c r="J2125" s="166"/>
      <c r="K2125" s="266">
        <f t="shared" si="502"/>
        <v>2021</v>
      </c>
      <c r="L2125" s="393" t="s">
        <v>5586</v>
      </c>
      <c r="M2125" s="393" t="s">
        <v>5587</v>
      </c>
      <c r="N2125" s="163" t="s">
        <v>5588</v>
      </c>
      <c r="Q2125" s="243"/>
      <c r="R2125" s="92">
        <v>2798</v>
      </c>
      <c r="S2125" s="92">
        <v>74284</v>
      </c>
      <c r="T2125" s="92">
        <v>77082</v>
      </c>
      <c r="U2125" s="201">
        <v>1516</v>
      </c>
      <c r="V2125" s="287">
        <f t="shared" ca="1" si="503"/>
        <v>9</v>
      </c>
      <c r="W2125" s="75">
        <f t="shared" ca="1" si="504"/>
        <v>11749</v>
      </c>
      <c r="X2125" s="200">
        <f t="shared" ca="1" si="505"/>
        <v>87694</v>
      </c>
      <c r="Y2125"/>
      <c r="Z2125" s="156">
        <v>0.1</v>
      </c>
      <c r="AA2125" s="227">
        <v>0.09</v>
      </c>
      <c r="AB2125" s="312" t="s">
        <v>8097</v>
      </c>
      <c r="AF2125">
        <f t="shared" si="484"/>
        <v>0</v>
      </c>
    </row>
    <row r="2126" spans="1:32" ht="30" hidden="1" x14ac:dyDescent="0.25">
      <c r="A2126" s="332" t="s">
        <v>5589</v>
      </c>
      <c r="B2126" s="93" t="str">
        <f t="shared" si="448"/>
        <v>YES</v>
      </c>
      <c r="C2126" t="s">
        <v>5505</v>
      </c>
      <c r="D2126" s="95">
        <v>40589</v>
      </c>
      <c r="E2126" s="95">
        <v>40634</v>
      </c>
      <c r="F2126" s="2">
        <f t="shared" si="501"/>
        <v>44287</v>
      </c>
      <c r="G2126" s="155">
        <v>58.6</v>
      </c>
      <c r="H2126" s="93" t="s">
        <v>5585</v>
      </c>
      <c r="I2126" s="93" t="s">
        <v>5285</v>
      </c>
      <c r="J2126" s="166"/>
      <c r="K2126" s="266">
        <f t="shared" si="502"/>
        <v>2021</v>
      </c>
      <c r="L2126" s="393" t="s">
        <v>5586</v>
      </c>
      <c r="M2126" s="393" t="s">
        <v>5587</v>
      </c>
      <c r="N2126" s="163" t="s">
        <v>5590</v>
      </c>
      <c r="Q2126" s="243"/>
      <c r="R2126" s="92">
        <v>351.5</v>
      </c>
      <c r="S2126" s="92">
        <v>21712</v>
      </c>
      <c r="T2126" s="92">
        <v>22063.5</v>
      </c>
      <c r="U2126" s="201">
        <v>118</v>
      </c>
      <c r="V2126" s="287">
        <f t="shared" ca="1" si="503"/>
        <v>9</v>
      </c>
      <c r="W2126" s="75">
        <f t="shared" ca="1" si="504"/>
        <v>914.5</v>
      </c>
      <c r="X2126" s="200">
        <f t="shared" ca="1" si="505"/>
        <v>22889.5</v>
      </c>
      <c r="Y2126"/>
      <c r="Z2126" s="156">
        <v>0.1</v>
      </c>
      <c r="AA2126" s="227">
        <v>0.09</v>
      </c>
      <c r="AB2126" s="312" t="s">
        <v>8097</v>
      </c>
      <c r="AF2126">
        <f t="shared" si="484"/>
        <v>0</v>
      </c>
    </row>
    <row r="2127" spans="1:32" ht="45" hidden="1" x14ac:dyDescent="0.25">
      <c r="A2127" s="332" t="s">
        <v>5591</v>
      </c>
      <c r="B2127" s="93" t="str">
        <f t="shared" si="448"/>
        <v>YES</v>
      </c>
      <c r="C2127" t="s">
        <v>5505</v>
      </c>
      <c r="D2127" s="95">
        <v>40589</v>
      </c>
      <c r="E2127" s="95">
        <v>40634</v>
      </c>
      <c r="F2127" s="2">
        <f t="shared" si="501"/>
        <v>44287</v>
      </c>
      <c r="G2127" s="155">
        <v>26.26</v>
      </c>
      <c r="H2127" s="93" t="s">
        <v>5585</v>
      </c>
      <c r="I2127" s="93" t="s">
        <v>5285</v>
      </c>
      <c r="J2127" s="166"/>
      <c r="K2127" s="266">
        <f t="shared" si="502"/>
        <v>2021</v>
      </c>
      <c r="L2127" s="393" t="s">
        <v>5586</v>
      </c>
      <c r="M2127" s="393" t="s">
        <v>5587</v>
      </c>
      <c r="N2127" s="163" t="s">
        <v>5592</v>
      </c>
      <c r="Q2127" s="243"/>
      <c r="R2127" s="92">
        <v>239.5</v>
      </c>
      <c r="S2127" s="92">
        <v>13986</v>
      </c>
      <c r="T2127" s="92">
        <v>14225.5</v>
      </c>
      <c r="U2127" s="201">
        <v>54</v>
      </c>
      <c r="V2127" s="287">
        <f t="shared" ca="1" si="503"/>
        <v>9</v>
      </c>
      <c r="W2127" s="75">
        <f t="shared" ca="1" si="504"/>
        <v>418.5</v>
      </c>
      <c r="X2127" s="200">
        <f t="shared" ca="1" si="505"/>
        <v>14603.5</v>
      </c>
      <c r="Y2127"/>
      <c r="Z2127" s="156">
        <v>0.1</v>
      </c>
      <c r="AA2127" s="227">
        <v>0.09</v>
      </c>
      <c r="AB2127" s="312" t="s">
        <v>8097</v>
      </c>
      <c r="AF2127">
        <f t="shared" si="484"/>
        <v>0</v>
      </c>
    </row>
    <row r="2128" spans="1:32" ht="105" hidden="1" x14ac:dyDescent="0.25">
      <c r="A2128" s="332" t="s">
        <v>5593</v>
      </c>
      <c r="B2128" s="93" t="str">
        <f t="shared" si="448"/>
        <v>YES</v>
      </c>
      <c r="C2128" t="s">
        <v>5505</v>
      </c>
      <c r="D2128" s="95">
        <v>40589</v>
      </c>
      <c r="E2128" s="95">
        <v>40634</v>
      </c>
      <c r="F2128" s="2">
        <f t="shared" si="501"/>
        <v>44287</v>
      </c>
      <c r="G2128" s="155">
        <v>776.4</v>
      </c>
      <c r="H2128" s="93" t="s">
        <v>5585</v>
      </c>
      <c r="I2128" s="93" t="s">
        <v>5285</v>
      </c>
      <c r="J2128" s="166"/>
      <c r="K2128" s="266">
        <f t="shared" si="502"/>
        <v>2021</v>
      </c>
      <c r="L2128" s="393" t="s">
        <v>5586</v>
      </c>
      <c r="M2128" s="393" t="s">
        <v>5587</v>
      </c>
      <c r="N2128" s="163" t="s">
        <v>5594</v>
      </c>
      <c r="Q2128" s="243"/>
      <c r="R2128" s="92">
        <v>2864.5</v>
      </c>
      <c r="S2128" s="92">
        <v>76146</v>
      </c>
      <c r="T2128" s="92">
        <v>79010.5</v>
      </c>
      <c r="U2128" s="201">
        <v>1554</v>
      </c>
      <c r="V2128" s="287">
        <f t="shared" ca="1" si="503"/>
        <v>9</v>
      </c>
      <c r="W2128" s="75">
        <f t="shared" ca="1" si="504"/>
        <v>12043.5</v>
      </c>
      <c r="X2128" s="200">
        <f t="shared" ca="1" si="505"/>
        <v>89888.5</v>
      </c>
      <c r="Y2128"/>
      <c r="Z2128" s="156">
        <v>0.1</v>
      </c>
      <c r="AA2128" s="227">
        <v>0.09</v>
      </c>
      <c r="AB2128" s="312" t="s">
        <v>8097</v>
      </c>
      <c r="AF2128">
        <f t="shared" si="484"/>
        <v>0</v>
      </c>
    </row>
    <row r="2129" spans="1:32" ht="30" hidden="1" x14ac:dyDescent="0.25">
      <c r="A2129" s="332" t="s">
        <v>5595</v>
      </c>
      <c r="B2129" s="93" t="str">
        <f t="shared" si="448"/>
        <v>YES</v>
      </c>
      <c r="C2129" t="s">
        <v>5505</v>
      </c>
      <c r="D2129" s="95">
        <v>40589</v>
      </c>
      <c r="E2129" s="95">
        <v>40634</v>
      </c>
      <c r="F2129" s="2">
        <f t="shared" si="501"/>
        <v>44287</v>
      </c>
      <c r="G2129" s="155">
        <v>640</v>
      </c>
      <c r="H2129" s="93" t="s">
        <v>5585</v>
      </c>
      <c r="I2129" s="93" t="s">
        <v>5285</v>
      </c>
      <c r="J2129" s="166"/>
      <c r="K2129" s="266">
        <f t="shared" si="502"/>
        <v>2021</v>
      </c>
      <c r="L2129" s="393" t="s">
        <v>5586</v>
      </c>
      <c r="M2129" s="393" t="s">
        <v>5587</v>
      </c>
      <c r="N2129" s="163" t="s">
        <v>5596</v>
      </c>
      <c r="Q2129" s="243"/>
      <c r="R2129" s="92">
        <v>2385</v>
      </c>
      <c r="S2129" s="92">
        <v>120320</v>
      </c>
      <c r="T2129" s="92">
        <v>122705</v>
      </c>
      <c r="U2129" s="201">
        <v>1280</v>
      </c>
      <c r="V2129" s="287">
        <f t="shared" ca="1" si="503"/>
        <v>9</v>
      </c>
      <c r="W2129" s="75">
        <f t="shared" ca="1" si="504"/>
        <v>9920</v>
      </c>
      <c r="X2129" s="200">
        <f t="shared" ca="1" si="505"/>
        <v>131665</v>
      </c>
      <c r="Y2129"/>
      <c r="Z2129" s="156">
        <v>0.1</v>
      </c>
      <c r="AA2129" s="227">
        <v>0.09</v>
      </c>
      <c r="AB2129" s="312" t="s">
        <v>8097</v>
      </c>
      <c r="AF2129">
        <f t="shared" si="484"/>
        <v>0</v>
      </c>
    </row>
    <row r="2130" spans="1:32" ht="60" hidden="1" x14ac:dyDescent="0.25">
      <c r="A2130" s="332" t="s">
        <v>5597</v>
      </c>
      <c r="B2130" s="93" t="str">
        <f t="shared" si="448"/>
        <v>YES</v>
      </c>
      <c r="C2130" t="s">
        <v>5505</v>
      </c>
      <c r="D2130" s="95">
        <v>40589</v>
      </c>
      <c r="E2130" s="167">
        <v>40664</v>
      </c>
      <c r="F2130" s="2">
        <f t="shared" si="501"/>
        <v>44317</v>
      </c>
      <c r="G2130" s="155">
        <v>1090</v>
      </c>
      <c r="H2130" s="93" t="s">
        <v>5585</v>
      </c>
      <c r="I2130" s="93" t="s">
        <v>5285</v>
      </c>
      <c r="J2130" s="166"/>
      <c r="K2130" s="266">
        <f t="shared" si="502"/>
        <v>2021</v>
      </c>
      <c r="L2130" s="393" t="s">
        <v>5586</v>
      </c>
      <c r="M2130" s="393" t="s">
        <v>5587</v>
      </c>
      <c r="N2130" s="163" t="s">
        <v>5598</v>
      </c>
      <c r="Q2130" s="244"/>
      <c r="R2130" s="92">
        <v>3960</v>
      </c>
      <c r="S2130" s="92">
        <v>95920</v>
      </c>
      <c r="T2130" s="92">
        <v>99880</v>
      </c>
      <c r="U2130" s="201">
        <v>1635</v>
      </c>
      <c r="V2130" s="287">
        <f t="shared" ca="1" si="503"/>
        <v>9</v>
      </c>
      <c r="W2130" s="75">
        <f t="shared" ca="1" si="504"/>
        <v>16895</v>
      </c>
      <c r="X2130" s="200">
        <f t="shared" ca="1" si="505"/>
        <v>115140</v>
      </c>
      <c r="Y2130"/>
      <c r="Z2130" s="156">
        <v>0.1</v>
      </c>
      <c r="AA2130" s="227">
        <v>0.09</v>
      </c>
      <c r="AB2130" s="312" t="s">
        <v>8097</v>
      </c>
      <c r="AF2130">
        <f t="shared" si="484"/>
        <v>0</v>
      </c>
    </row>
    <row r="2131" spans="1:32" ht="45" hidden="1" x14ac:dyDescent="0.25">
      <c r="A2131" s="332" t="s">
        <v>5599</v>
      </c>
      <c r="B2131" s="93" t="str">
        <f t="shared" si="448"/>
        <v>YES</v>
      </c>
      <c r="C2131" t="s">
        <v>5505</v>
      </c>
      <c r="D2131" s="95">
        <v>40589</v>
      </c>
      <c r="E2131" s="95">
        <v>40634</v>
      </c>
      <c r="F2131" s="2">
        <f t="shared" si="501"/>
        <v>44287</v>
      </c>
      <c r="G2131" s="155">
        <v>1760</v>
      </c>
      <c r="H2131" s="93" t="s">
        <v>5585</v>
      </c>
      <c r="I2131" s="93" t="s">
        <v>5285</v>
      </c>
      <c r="J2131" s="166"/>
      <c r="K2131" s="266">
        <f t="shared" si="502"/>
        <v>2021</v>
      </c>
      <c r="L2131" s="393" t="s">
        <v>5586</v>
      </c>
      <c r="M2131" s="393" t="s">
        <v>5587</v>
      </c>
      <c r="N2131" s="163" t="s">
        <v>5600</v>
      </c>
      <c r="Q2131" s="243"/>
      <c r="R2131" s="92">
        <v>6305</v>
      </c>
      <c r="S2131" s="92">
        <v>146080</v>
      </c>
      <c r="T2131" s="92">
        <v>152385</v>
      </c>
      <c r="U2131" s="201">
        <v>3520</v>
      </c>
      <c r="V2131" s="287">
        <f t="shared" ca="1" si="503"/>
        <v>9</v>
      </c>
      <c r="W2131" s="75">
        <f t="shared" ca="1" si="504"/>
        <v>27280</v>
      </c>
      <c r="X2131" s="200">
        <f t="shared" ca="1" si="505"/>
        <v>177025</v>
      </c>
      <c r="Y2131"/>
      <c r="Z2131" s="156">
        <v>0.1</v>
      </c>
      <c r="AA2131" s="227">
        <v>0.09</v>
      </c>
      <c r="AB2131" s="312" t="s">
        <v>8097</v>
      </c>
      <c r="AF2131">
        <f t="shared" si="484"/>
        <v>0</v>
      </c>
    </row>
    <row r="2132" spans="1:32" ht="45" hidden="1" x14ac:dyDescent="0.25">
      <c r="A2132" s="332" t="s">
        <v>5601</v>
      </c>
      <c r="B2132" s="93" t="str">
        <f t="shared" si="448"/>
        <v>YES</v>
      </c>
      <c r="C2132" t="s">
        <v>5505</v>
      </c>
      <c r="D2132" s="95">
        <v>40589</v>
      </c>
      <c r="E2132" s="95">
        <v>40634</v>
      </c>
      <c r="F2132" s="2">
        <f t="shared" si="501"/>
        <v>44287</v>
      </c>
      <c r="G2132" s="155">
        <v>10.01</v>
      </c>
      <c r="H2132" s="93" t="s">
        <v>5580</v>
      </c>
      <c r="I2132" s="93" t="s">
        <v>5285</v>
      </c>
      <c r="J2132" s="166"/>
      <c r="K2132" s="266">
        <f t="shared" si="502"/>
        <v>2021</v>
      </c>
      <c r="L2132" s="393" t="s">
        <v>5602</v>
      </c>
      <c r="M2132" s="393" t="s">
        <v>5587</v>
      </c>
      <c r="N2132" s="163" t="s">
        <v>5603</v>
      </c>
      <c r="Q2132" s="243"/>
      <c r="R2132" s="92">
        <v>183.5</v>
      </c>
      <c r="S2132" s="92">
        <v>17578</v>
      </c>
      <c r="T2132" s="92">
        <v>17761.5</v>
      </c>
      <c r="U2132" s="201">
        <v>22</v>
      </c>
      <c r="V2132" s="287">
        <f t="shared" ca="1" si="503"/>
        <v>9</v>
      </c>
      <c r="W2132" s="75">
        <f t="shared" ca="1" si="504"/>
        <v>170.5</v>
      </c>
      <c r="X2132" s="200">
        <f t="shared" ca="1" si="505"/>
        <v>17915.5</v>
      </c>
      <c r="Y2132"/>
      <c r="Z2132" s="156">
        <v>0.1</v>
      </c>
      <c r="AA2132" s="227">
        <v>0.09</v>
      </c>
      <c r="AB2132" s="312" t="s">
        <v>8010</v>
      </c>
      <c r="AF2132">
        <f t="shared" si="484"/>
        <v>0</v>
      </c>
    </row>
    <row r="2133" spans="1:32" ht="45" hidden="1" x14ac:dyDescent="0.25">
      <c r="A2133" s="332" t="s">
        <v>5604</v>
      </c>
      <c r="B2133" s="93" t="str">
        <f t="shared" si="448"/>
        <v>YES</v>
      </c>
      <c r="C2133" t="s">
        <v>5505</v>
      </c>
      <c r="D2133" s="95">
        <v>40589</v>
      </c>
      <c r="E2133" s="95">
        <v>40634</v>
      </c>
      <c r="F2133" s="2">
        <f t="shared" si="501"/>
        <v>44287</v>
      </c>
      <c r="G2133" s="155">
        <v>1440</v>
      </c>
      <c r="H2133" s="93" t="s">
        <v>5585</v>
      </c>
      <c r="I2133" s="93" t="s">
        <v>5285</v>
      </c>
      <c r="J2133" s="166"/>
      <c r="K2133" s="266">
        <f t="shared" si="502"/>
        <v>2021</v>
      </c>
      <c r="L2133" s="393" t="s">
        <v>5605</v>
      </c>
      <c r="M2133" s="393" t="s">
        <v>5606</v>
      </c>
      <c r="N2133" s="163" t="s">
        <v>5607</v>
      </c>
      <c r="Q2133" s="243"/>
      <c r="R2133" s="92">
        <v>5185</v>
      </c>
      <c r="S2133" s="92">
        <v>76320</v>
      </c>
      <c r="T2133" s="92">
        <v>81505</v>
      </c>
      <c r="U2133" s="201">
        <v>2880</v>
      </c>
      <c r="V2133" s="287">
        <f t="shared" ca="1" si="503"/>
        <v>9</v>
      </c>
      <c r="W2133" s="75">
        <f t="shared" ca="1" si="504"/>
        <v>22320</v>
      </c>
      <c r="X2133" s="200">
        <f t="shared" ca="1" si="505"/>
        <v>101665</v>
      </c>
      <c r="Y2133"/>
      <c r="Z2133" s="156">
        <v>0.1</v>
      </c>
      <c r="AA2133" s="227">
        <v>0.09</v>
      </c>
      <c r="AB2133" s="312" t="s">
        <v>8097</v>
      </c>
      <c r="AF2133">
        <f t="shared" si="484"/>
        <v>0</v>
      </c>
    </row>
    <row r="2134" spans="1:32" ht="90" hidden="1" x14ac:dyDescent="0.25">
      <c r="A2134" s="332" t="s">
        <v>5608</v>
      </c>
      <c r="B2134" s="93" t="str">
        <f t="shared" si="448"/>
        <v>YES</v>
      </c>
      <c r="C2134" t="s">
        <v>5505</v>
      </c>
      <c r="D2134" s="95">
        <v>40589</v>
      </c>
      <c r="E2134" s="167">
        <v>40664</v>
      </c>
      <c r="F2134" s="2">
        <f t="shared" si="501"/>
        <v>44317</v>
      </c>
      <c r="G2134" s="155">
        <v>1739.72</v>
      </c>
      <c r="H2134" s="93" t="s">
        <v>5585</v>
      </c>
      <c r="I2134" s="93" t="s">
        <v>5285</v>
      </c>
      <c r="J2134" s="166"/>
      <c r="K2134" s="266">
        <f t="shared" si="502"/>
        <v>2021</v>
      </c>
      <c r="L2134" s="393" t="s">
        <v>5586</v>
      </c>
      <c r="M2134" s="393" t="s">
        <v>5609</v>
      </c>
      <c r="N2134" s="163" t="s">
        <v>5610</v>
      </c>
      <c r="Q2134" s="244"/>
      <c r="R2134" s="92">
        <v>6235</v>
      </c>
      <c r="S2134" s="92">
        <v>109620</v>
      </c>
      <c r="T2134" s="92">
        <v>115855</v>
      </c>
      <c r="U2134" s="201">
        <v>2610</v>
      </c>
      <c r="V2134" s="287">
        <f t="shared" ca="1" si="503"/>
        <v>9</v>
      </c>
      <c r="W2134" s="75">
        <f t="shared" ca="1" si="504"/>
        <v>26970</v>
      </c>
      <c r="X2134" s="200">
        <f t="shared" ca="1" si="505"/>
        <v>140215</v>
      </c>
      <c r="Y2134"/>
      <c r="Z2134" s="156">
        <v>0.1</v>
      </c>
      <c r="AA2134" s="227">
        <v>0.09</v>
      </c>
      <c r="AB2134" s="312" t="s">
        <v>8097</v>
      </c>
      <c r="AF2134">
        <f t="shared" si="484"/>
        <v>0</v>
      </c>
    </row>
    <row r="2135" spans="1:32" ht="75" hidden="1" x14ac:dyDescent="0.25">
      <c r="A2135" s="332" t="s">
        <v>5611</v>
      </c>
      <c r="B2135" s="93" t="str">
        <f t="shared" si="448"/>
        <v>YES</v>
      </c>
      <c r="C2135" t="s">
        <v>5505</v>
      </c>
      <c r="D2135" s="95">
        <v>40589</v>
      </c>
      <c r="E2135" s="95">
        <v>40634</v>
      </c>
      <c r="F2135" s="2">
        <f t="shared" si="501"/>
        <v>44287</v>
      </c>
      <c r="G2135" s="155">
        <v>888.84</v>
      </c>
      <c r="H2135" s="93" t="s">
        <v>5585</v>
      </c>
      <c r="I2135" s="93" t="s">
        <v>5285</v>
      </c>
      <c r="J2135" s="166"/>
      <c r="K2135" s="266">
        <f t="shared" si="502"/>
        <v>2021</v>
      </c>
      <c r="L2135" s="393" t="s">
        <v>5586</v>
      </c>
      <c r="M2135" s="393" t="s">
        <v>5609</v>
      </c>
      <c r="N2135" s="163" t="s">
        <v>5612</v>
      </c>
      <c r="Q2135" s="243"/>
      <c r="R2135" s="92">
        <v>3256.5</v>
      </c>
      <c r="S2135" s="92">
        <v>64897</v>
      </c>
      <c r="T2135" s="92">
        <v>68153.5</v>
      </c>
      <c r="U2135" s="201">
        <v>1778</v>
      </c>
      <c r="V2135" s="287">
        <f t="shared" ca="1" si="503"/>
        <v>9</v>
      </c>
      <c r="W2135" s="75">
        <f t="shared" ca="1" si="504"/>
        <v>13779.5</v>
      </c>
      <c r="X2135" s="200">
        <f t="shared" ca="1" si="505"/>
        <v>80599.5</v>
      </c>
      <c r="Y2135"/>
      <c r="Z2135" s="156">
        <v>0.1</v>
      </c>
      <c r="AA2135" s="227">
        <v>0.09</v>
      </c>
      <c r="AB2135" s="312" t="s">
        <v>8097</v>
      </c>
      <c r="AF2135">
        <f t="shared" si="484"/>
        <v>0</v>
      </c>
    </row>
    <row r="2136" spans="1:32" ht="30" hidden="1" x14ac:dyDescent="0.25">
      <c r="A2136" s="332" t="s">
        <v>5613</v>
      </c>
      <c r="B2136" s="93" t="str">
        <f t="shared" si="448"/>
        <v>YES</v>
      </c>
      <c r="C2136" t="s">
        <v>5505</v>
      </c>
      <c r="D2136" s="95">
        <v>40589</v>
      </c>
      <c r="E2136" s="95">
        <v>40634</v>
      </c>
      <c r="F2136" s="2">
        <f t="shared" si="501"/>
        <v>44287</v>
      </c>
      <c r="G2136" s="155">
        <v>129.85</v>
      </c>
      <c r="H2136" s="93" t="s">
        <v>5585</v>
      </c>
      <c r="I2136" s="93" t="s">
        <v>5285</v>
      </c>
      <c r="J2136" s="166"/>
      <c r="K2136" s="266">
        <f t="shared" si="502"/>
        <v>2021</v>
      </c>
      <c r="L2136" s="393" t="s">
        <v>5586</v>
      </c>
      <c r="M2136" s="393" t="s">
        <v>5609</v>
      </c>
      <c r="N2136" s="163" t="s">
        <v>5614</v>
      </c>
      <c r="Q2136" s="243"/>
      <c r="R2136" s="92">
        <v>600</v>
      </c>
      <c r="S2136" s="92">
        <v>12090</v>
      </c>
      <c r="T2136" s="92">
        <v>12690</v>
      </c>
      <c r="U2136" s="201">
        <v>260</v>
      </c>
      <c r="V2136" s="287">
        <f t="shared" ca="1" si="503"/>
        <v>9</v>
      </c>
      <c r="W2136" s="75">
        <f t="shared" ca="1" si="504"/>
        <v>2015</v>
      </c>
      <c r="X2136" s="200">
        <f t="shared" ca="1" si="505"/>
        <v>14510</v>
      </c>
      <c r="Y2136"/>
      <c r="Z2136" s="156">
        <v>0.1</v>
      </c>
      <c r="AA2136" s="227">
        <v>0.09</v>
      </c>
      <c r="AB2136" s="312" t="s">
        <v>8097</v>
      </c>
      <c r="AF2136">
        <f t="shared" si="484"/>
        <v>0</v>
      </c>
    </row>
    <row r="2137" spans="1:32" ht="45" hidden="1" x14ac:dyDescent="0.25">
      <c r="A2137" s="332" t="s">
        <v>5615</v>
      </c>
      <c r="B2137" s="93" t="str">
        <f t="shared" si="448"/>
        <v>YES</v>
      </c>
      <c r="C2137" t="s">
        <v>5505</v>
      </c>
      <c r="D2137" s="95">
        <v>40589</v>
      </c>
      <c r="E2137" s="95">
        <v>40634</v>
      </c>
      <c r="F2137" s="2">
        <f t="shared" si="501"/>
        <v>44287</v>
      </c>
      <c r="G2137" s="155">
        <v>408.01</v>
      </c>
      <c r="H2137" s="93" t="s">
        <v>5585</v>
      </c>
      <c r="I2137" s="93" t="s">
        <v>5285</v>
      </c>
      <c r="J2137" s="166"/>
      <c r="K2137" s="266">
        <f t="shared" si="502"/>
        <v>2021</v>
      </c>
      <c r="L2137" s="393" t="s">
        <v>5616</v>
      </c>
      <c r="M2137" s="393" t="s">
        <v>5617</v>
      </c>
      <c r="N2137" s="163" t="s">
        <v>5618</v>
      </c>
      <c r="Q2137" s="243"/>
      <c r="R2137" s="92">
        <v>1576.5</v>
      </c>
      <c r="S2137" s="92">
        <v>48262</v>
      </c>
      <c r="T2137" s="92">
        <v>49838.5</v>
      </c>
      <c r="U2137" s="201">
        <v>818</v>
      </c>
      <c r="V2137" s="287">
        <f t="shared" ca="1" si="503"/>
        <v>9</v>
      </c>
      <c r="W2137" s="75">
        <f t="shared" ca="1" si="504"/>
        <v>6339.5</v>
      </c>
      <c r="X2137" s="200">
        <f t="shared" ca="1" si="505"/>
        <v>55564.5</v>
      </c>
      <c r="Y2137"/>
      <c r="Z2137" s="156">
        <v>0.1</v>
      </c>
      <c r="AA2137" s="227">
        <v>0.09</v>
      </c>
      <c r="AB2137" s="312" t="s">
        <v>8097</v>
      </c>
      <c r="AF2137">
        <f t="shared" si="484"/>
        <v>0</v>
      </c>
    </row>
    <row r="2138" spans="1:32" hidden="1" x14ac:dyDescent="0.25">
      <c r="A2138" s="333"/>
      <c r="C2138"/>
      <c r="E2138" s="93"/>
      <c r="F2138" s="93"/>
      <c r="G2138" s="155"/>
      <c r="I2138" s="93"/>
      <c r="J2138" s="166"/>
      <c r="K2138" s="166"/>
      <c r="L2138" s="393"/>
      <c r="M2138" s="393"/>
      <c r="N2138" s="163" t="s">
        <v>5511</v>
      </c>
      <c r="Q2138" s="245"/>
      <c r="Y2138"/>
      <c r="Z2138" s="168"/>
      <c r="AA2138" s="229"/>
      <c r="AF2138">
        <f t="shared" si="484"/>
        <v>0</v>
      </c>
    </row>
    <row r="2139" spans="1:32" hidden="1" x14ac:dyDescent="0.25">
      <c r="A2139" s="333"/>
      <c r="C2139"/>
      <c r="D2139" s="143" t="s">
        <v>5619</v>
      </c>
      <c r="E2139" s="93"/>
      <c r="F2139" s="93"/>
      <c r="G2139" s="155"/>
      <c r="I2139" s="93"/>
      <c r="J2139" s="166"/>
      <c r="K2139" s="166"/>
      <c r="L2139" s="393"/>
      <c r="M2139" s="393"/>
      <c r="N2139" s="163" t="s">
        <v>5511</v>
      </c>
      <c r="Q2139" s="245"/>
      <c r="R2139" s="158">
        <v>36368.5</v>
      </c>
      <c r="S2139" s="158">
        <v>1006653</v>
      </c>
      <c r="T2139" s="158">
        <v>1043021.5</v>
      </c>
      <c r="U2139" s="213"/>
      <c r="V2139" s="169"/>
      <c r="W2139" s="169"/>
      <c r="X2139" s="213"/>
      <c r="Y2139"/>
      <c r="Z2139" s="168"/>
      <c r="AA2139" s="229"/>
      <c r="AF2139">
        <f t="shared" si="484"/>
        <v>0</v>
      </c>
    </row>
    <row r="2140" spans="1:32" ht="15.75" hidden="1" thickTop="1" x14ac:dyDescent="0.25">
      <c r="A2140" s="333"/>
      <c r="C2140"/>
      <c r="D2140" s="143"/>
      <c r="E2140" s="93"/>
      <c r="F2140" s="93"/>
      <c r="G2140" s="155"/>
      <c r="I2140" s="93"/>
      <c r="J2140" s="166"/>
      <c r="K2140" s="166"/>
      <c r="L2140" s="393"/>
      <c r="M2140" s="393"/>
      <c r="N2140" s="163" t="s">
        <v>5511</v>
      </c>
      <c r="Q2140" s="245"/>
      <c r="R2140" s="159"/>
      <c r="S2140" s="159"/>
      <c r="T2140" s="159"/>
      <c r="U2140" s="213"/>
      <c r="V2140" s="169"/>
      <c r="W2140" s="169"/>
      <c r="X2140" s="213"/>
      <c r="Y2140"/>
      <c r="Z2140" s="168"/>
      <c r="AA2140" s="229"/>
      <c r="AF2140">
        <f t="shared" si="484"/>
        <v>0</v>
      </c>
    </row>
    <row r="2141" spans="1:32" ht="105" hidden="1" x14ac:dyDescent="0.25">
      <c r="A2141" s="332" t="s">
        <v>5620</v>
      </c>
      <c r="B2141" s="93" t="str">
        <f t="shared" si="448"/>
        <v>YES</v>
      </c>
      <c r="C2141" t="s">
        <v>5505</v>
      </c>
      <c r="D2141" s="95">
        <v>40673</v>
      </c>
      <c r="E2141" s="95">
        <v>40725</v>
      </c>
      <c r="F2141" s="2">
        <f t="shared" ref="F2141:F2155" si="506">DATE(YEAR(E2141)+10,MONTH(E2141),DAY(E2141))</f>
        <v>44378</v>
      </c>
      <c r="G2141" s="170">
        <v>10.32</v>
      </c>
      <c r="H2141" s="93" t="s">
        <v>5621</v>
      </c>
      <c r="I2141" s="93" t="s">
        <v>5622</v>
      </c>
      <c r="J2141" s="166"/>
      <c r="K2141" s="266">
        <f t="shared" ref="K2141:K2155" si="507">YEAR(F2141)</f>
        <v>2021</v>
      </c>
      <c r="L2141" s="393" t="s">
        <v>5623</v>
      </c>
      <c r="M2141" s="393" t="s">
        <v>5624</v>
      </c>
      <c r="N2141" s="163" t="s">
        <v>5625</v>
      </c>
      <c r="Q2141" s="243"/>
      <c r="R2141" s="92">
        <v>183.5</v>
      </c>
      <c r="S2141" s="92">
        <v>2838</v>
      </c>
      <c r="T2141" s="92">
        <v>3021.5</v>
      </c>
      <c r="U2141" s="201">
        <v>22</v>
      </c>
      <c r="V2141" s="287">
        <f t="shared" ref="V2141:V2155" ca="1" si="508">IF(YEAR($W$3)-YEAR(E2141)&gt;9,10,IF(MONTH($W$3)&lt;MONTH(E2141),YEAR($W$3)-YEAR(E2141),YEAR($W$3)-YEAR(E2141)+1))</f>
        <v>9</v>
      </c>
      <c r="W2141" s="75">
        <f t="shared" ref="W2141:W2155" ca="1" si="509">IF(V2141&lt;6, ROUNDUP(G2141,0)*$W$6*V2141, ROUNDUP(G2141,0)*($W$6*5 + (V2141-5)*$W$7))</f>
        <v>170.5</v>
      </c>
      <c r="X2141" s="200">
        <f t="shared" ref="X2141:X2155" ca="1" si="510">IF(V2141=0,T2141,((T2141-ROUNDUP(G2141,0)*1.5)+W2141))</f>
        <v>3175.5</v>
      </c>
      <c r="Y2141"/>
      <c r="Z2141" s="156">
        <v>0.1</v>
      </c>
      <c r="AA2141" s="227">
        <v>0.09</v>
      </c>
      <c r="AB2141" s="312" t="s">
        <v>8017</v>
      </c>
      <c r="AF2141">
        <f t="shared" si="484"/>
        <v>0</v>
      </c>
    </row>
    <row r="2142" spans="1:32" ht="45" hidden="1" x14ac:dyDescent="0.25">
      <c r="A2142" s="332" t="s">
        <v>5626</v>
      </c>
      <c r="B2142" s="93" t="str">
        <f t="shared" si="448"/>
        <v>YES</v>
      </c>
      <c r="C2142" t="s">
        <v>5505</v>
      </c>
      <c r="D2142" s="95">
        <v>40673</v>
      </c>
      <c r="E2142" s="95">
        <v>40725</v>
      </c>
      <c r="F2142" s="2">
        <f t="shared" si="506"/>
        <v>44378</v>
      </c>
      <c r="G2142" s="170">
        <v>5.88</v>
      </c>
      <c r="H2142" s="93" t="s">
        <v>5621</v>
      </c>
      <c r="I2142" s="93" t="s">
        <v>5622</v>
      </c>
      <c r="J2142" s="166"/>
      <c r="K2142" s="266">
        <f t="shared" si="507"/>
        <v>2021</v>
      </c>
      <c r="L2142" s="393" t="s">
        <v>5623</v>
      </c>
      <c r="M2142" s="393" t="s">
        <v>5627</v>
      </c>
      <c r="N2142" s="163" t="s">
        <v>5628</v>
      </c>
      <c r="Q2142" s="243"/>
      <c r="R2142" s="92">
        <v>166</v>
      </c>
      <c r="S2142" s="92">
        <v>1848</v>
      </c>
      <c r="T2142" s="92">
        <v>2014</v>
      </c>
      <c r="U2142" s="201">
        <v>12</v>
      </c>
      <c r="V2142" s="287">
        <f t="shared" ca="1" si="508"/>
        <v>9</v>
      </c>
      <c r="W2142" s="75">
        <f t="shared" ca="1" si="509"/>
        <v>93</v>
      </c>
      <c r="X2142" s="200">
        <f t="shared" ca="1" si="510"/>
        <v>2098</v>
      </c>
      <c r="Y2142"/>
      <c r="Z2142" s="156">
        <v>0.1</v>
      </c>
      <c r="AA2142" s="227">
        <v>0.09</v>
      </c>
      <c r="AB2142" s="312" t="s">
        <v>8017</v>
      </c>
      <c r="AF2142">
        <f t="shared" si="484"/>
        <v>0</v>
      </c>
    </row>
    <row r="2143" spans="1:32" ht="90" hidden="1" x14ac:dyDescent="0.25">
      <c r="A2143" s="332" t="s">
        <v>5629</v>
      </c>
      <c r="B2143" s="93" t="str">
        <f t="shared" ref="B2143:B2206" si="511">IF(COUNTIF(GIS,A2143),"YES","NO")</f>
        <v>YES</v>
      </c>
      <c r="C2143" t="s">
        <v>5505</v>
      </c>
      <c r="D2143" s="95">
        <v>40673</v>
      </c>
      <c r="E2143" s="95">
        <v>40725</v>
      </c>
      <c r="F2143" s="2">
        <f t="shared" si="506"/>
        <v>44378</v>
      </c>
      <c r="G2143" s="170">
        <v>161.43</v>
      </c>
      <c r="H2143" s="93" t="s">
        <v>5621</v>
      </c>
      <c r="I2143" s="93" t="s">
        <v>5622</v>
      </c>
      <c r="J2143" s="339" t="s">
        <v>5630</v>
      </c>
      <c r="K2143" s="266">
        <f t="shared" si="507"/>
        <v>2021</v>
      </c>
      <c r="L2143" s="393" t="s">
        <v>5631</v>
      </c>
      <c r="M2143" s="393" t="s">
        <v>5632</v>
      </c>
      <c r="N2143" s="163" t="s">
        <v>5633</v>
      </c>
      <c r="Q2143" s="243"/>
      <c r="R2143" s="92">
        <v>712</v>
      </c>
      <c r="S2143" s="92">
        <v>109026</v>
      </c>
      <c r="T2143" s="92">
        <v>109738</v>
      </c>
      <c r="U2143" s="201">
        <v>243</v>
      </c>
      <c r="V2143" s="287">
        <f t="shared" ca="1" si="508"/>
        <v>9</v>
      </c>
      <c r="W2143" s="75">
        <f t="shared" ca="1" si="509"/>
        <v>2511</v>
      </c>
      <c r="X2143" s="200">
        <f t="shared" ca="1" si="510"/>
        <v>112006</v>
      </c>
      <c r="Y2143"/>
      <c r="Z2143" s="156">
        <v>0.1</v>
      </c>
      <c r="AA2143" s="227">
        <v>0.09</v>
      </c>
      <c r="AB2143" s="312" t="s">
        <v>8017</v>
      </c>
      <c r="AF2143">
        <f t="shared" si="484"/>
        <v>0</v>
      </c>
    </row>
    <row r="2144" spans="1:32" ht="30" hidden="1" x14ac:dyDescent="0.25">
      <c r="A2144" s="332" t="s">
        <v>5634</v>
      </c>
      <c r="B2144" s="93" t="str">
        <f t="shared" si="511"/>
        <v>YES</v>
      </c>
      <c r="C2144" t="s">
        <v>5505</v>
      </c>
      <c r="D2144" s="95">
        <v>40673</v>
      </c>
      <c r="E2144" s="95">
        <v>40725</v>
      </c>
      <c r="F2144" s="2">
        <f t="shared" si="506"/>
        <v>44378</v>
      </c>
      <c r="G2144" s="170">
        <v>40</v>
      </c>
      <c r="H2144" s="93" t="s">
        <v>5621</v>
      </c>
      <c r="I2144" s="93" t="s">
        <v>5622</v>
      </c>
      <c r="J2144" s="166"/>
      <c r="K2144" s="266">
        <f t="shared" si="507"/>
        <v>2021</v>
      </c>
      <c r="L2144" s="393" t="s">
        <v>5623</v>
      </c>
      <c r="M2144" s="393" t="s">
        <v>5632</v>
      </c>
      <c r="N2144" s="163" t="s">
        <v>5635</v>
      </c>
      <c r="Q2144" s="243"/>
      <c r="R2144" s="92">
        <v>285</v>
      </c>
      <c r="S2144" s="92">
        <v>30920</v>
      </c>
      <c r="T2144" s="92">
        <v>31205</v>
      </c>
      <c r="U2144" s="201">
        <v>80</v>
      </c>
      <c r="V2144" s="287">
        <f t="shared" ca="1" si="508"/>
        <v>9</v>
      </c>
      <c r="W2144" s="75">
        <f t="shared" ca="1" si="509"/>
        <v>620</v>
      </c>
      <c r="X2144" s="200">
        <f t="shared" ca="1" si="510"/>
        <v>31765</v>
      </c>
      <c r="Y2144"/>
      <c r="Z2144" s="156">
        <v>0.1</v>
      </c>
      <c r="AA2144" s="227">
        <v>0.09</v>
      </c>
      <c r="AB2144" s="312" t="s">
        <v>8017</v>
      </c>
      <c r="AF2144">
        <f t="shared" si="484"/>
        <v>0</v>
      </c>
    </row>
    <row r="2145" spans="1:32" ht="90" hidden="1" x14ac:dyDescent="0.25">
      <c r="A2145" s="332" t="s">
        <v>5636</v>
      </c>
      <c r="B2145" s="93" t="str">
        <f t="shared" si="511"/>
        <v>YES</v>
      </c>
      <c r="C2145" t="s">
        <v>5505</v>
      </c>
      <c r="D2145" s="95">
        <v>40673</v>
      </c>
      <c r="E2145" s="95">
        <v>40725</v>
      </c>
      <c r="F2145" s="2">
        <f t="shared" si="506"/>
        <v>44378</v>
      </c>
      <c r="G2145" s="170">
        <v>1193.8</v>
      </c>
      <c r="H2145" s="93" t="s">
        <v>5637</v>
      </c>
      <c r="I2145" s="93" t="s">
        <v>5622</v>
      </c>
      <c r="J2145" s="166"/>
      <c r="K2145" s="266">
        <f t="shared" si="507"/>
        <v>2021</v>
      </c>
      <c r="L2145" s="393" t="s">
        <v>5638</v>
      </c>
      <c r="M2145" s="393" t="s">
        <v>5639</v>
      </c>
      <c r="N2145" s="163" t="s">
        <v>5640</v>
      </c>
      <c r="Q2145" s="243"/>
      <c r="R2145" s="92">
        <v>4324</v>
      </c>
      <c r="S2145" s="92">
        <v>63282</v>
      </c>
      <c r="T2145" s="92">
        <v>67606</v>
      </c>
      <c r="U2145" s="201">
        <v>2388</v>
      </c>
      <c r="V2145" s="287">
        <f t="shared" ca="1" si="508"/>
        <v>9</v>
      </c>
      <c r="W2145" s="75">
        <f t="shared" ca="1" si="509"/>
        <v>18507</v>
      </c>
      <c r="X2145" s="200">
        <f t="shared" ca="1" si="510"/>
        <v>84322</v>
      </c>
      <c r="Y2145"/>
      <c r="Z2145" s="156">
        <v>0.1</v>
      </c>
      <c r="AA2145" s="227">
        <v>0.09</v>
      </c>
      <c r="AB2145" s="312" t="s">
        <v>7488</v>
      </c>
      <c r="AF2145">
        <f t="shared" si="484"/>
        <v>0</v>
      </c>
    </row>
    <row r="2146" spans="1:32" ht="45" hidden="1" x14ac:dyDescent="0.25">
      <c r="A2146" s="332" t="s">
        <v>5641</v>
      </c>
      <c r="B2146" s="93" t="str">
        <f t="shared" si="511"/>
        <v>YES</v>
      </c>
      <c r="C2146" t="s">
        <v>5505</v>
      </c>
      <c r="D2146" s="95">
        <v>40673</v>
      </c>
      <c r="E2146" s="95">
        <v>40725</v>
      </c>
      <c r="F2146" s="2">
        <f t="shared" si="506"/>
        <v>44378</v>
      </c>
      <c r="G2146" s="170">
        <v>920</v>
      </c>
      <c r="H2146" s="93" t="s">
        <v>5637</v>
      </c>
      <c r="I2146" s="93" t="s">
        <v>5622</v>
      </c>
      <c r="J2146" s="166"/>
      <c r="K2146" s="266">
        <f t="shared" si="507"/>
        <v>2021</v>
      </c>
      <c r="L2146" s="393" t="s">
        <v>5638</v>
      </c>
      <c r="M2146" s="393" t="s">
        <v>5639</v>
      </c>
      <c r="N2146" s="163" t="s">
        <v>5642</v>
      </c>
      <c r="Q2146" s="243"/>
      <c r="R2146" s="92">
        <v>3365</v>
      </c>
      <c r="S2146" s="92">
        <v>53360</v>
      </c>
      <c r="T2146" s="92">
        <v>56725</v>
      </c>
      <c r="U2146" s="201">
        <v>1840</v>
      </c>
      <c r="V2146" s="287">
        <f t="shared" ca="1" si="508"/>
        <v>9</v>
      </c>
      <c r="W2146" s="75">
        <f t="shared" ca="1" si="509"/>
        <v>14260</v>
      </c>
      <c r="X2146" s="200">
        <f t="shared" ca="1" si="510"/>
        <v>69605</v>
      </c>
      <c r="Y2146"/>
      <c r="Z2146" s="156">
        <v>0.1</v>
      </c>
      <c r="AA2146" s="227">
        <v>0.09</v>
      </c>
      <c r="AB2146" s="312" t="s">
        <v>7489</v>
      </c>
      <c r="AF2146">
        <f t="shared" si="484"/>
        <v>0</v>
      </c>
    </row>
    <row r="2147" spans="1:32" ht="60" hidden="1" x14ac:dyDescent="0.25">
      <c r="A2147" s="332" t="s">
        <v>5643</v>
      </c>
      <c r="B2147" s="93" t="str">
        <f t="shared" si="511"/>
        <v>YES</v>
      </c>
      <c r="C2147" t="s">
        <v>5505</v>
      </c>
      <c r="D2147" s="95">
        <v>40673</v>
      </c>
      <c r="E2147" s="95">
        <v>40725</v>
      </c>
      <c r="F2147" s="2">
        <f t="shared" si="506"/>
        <v>44378</v>
      </c>
      <c r="G2147" s="170">
        <v>864.95</v>
      </c>
      <c r="H2147" s="93" t="s">
        <v>5637</v>
      </c>
      <c r="I2147" s="93" t="s">
        <v>5622</v>
      </c>
      <c r="J2147" s="166"/>
      <c r="K2147" s="266">
        <f t="shared" si="507"/>
        <v>2021</v>
      </c>
      <c r="L2147" s="393" t="s">
        <v>5638</v>
      </c>
      <c r="M2147" s="393" t="s">
        <v>5639</v>
      </c>
      <c r="N2147" s="163" t="s">
        <v>5644</v>
      </c>
      <c r="Q2147" s="243"/>
      <c r="R2147" s="92">
        <v>3172.5</v>
      </c>
      <c r="S2147" s="92">
        <v>48007.5</v>
      </c>
      <c r="T2147" s="92">
        <v>51180</v>
      </c>
      <c r="U2147" s="201">
        <v>1730</v>
      </c>
      <c r="V2147" s="287">
        <f t="shared" ca="1" si="508"/>
        <v>9</v>
      </c>
      <c r="W2147" s="75">
        <f t="shared" ca="1" si="509"/>
        <v>13407.5</v>
      </c>
      <c r="X2147" s="200">
        <f t="shared" ca="1" si="510"/>
        <v>63290</v>
      </c>
      <c r="Y2147"/>
      <c r="Z2147" s="156">
        <v>0.1</v>
      </c>
      <c r="AA2147" s="227">
        <v>0.09</v>
      </c>
      <c r="AB2147" s="312" t="s">
        <v>7490</v>
      </c>
      <c r="AF2147">
        <f t="shared" si="484"/>
        <v>0</v>
      </c>
    </row>
    <row r="2148" spans="1:32" ht="45" hidden="1" x14ac:dyDescent="0.25">
      <c r="A2148" s="332" t="s">
        <v>5645</v>
      </c>
      <c r="B2148" s="93" t="str">
        <f t="shared" si="511"/>
        <v>YES</v>
      </c>
      <c r="C2148" t="s">
        <v>5505</v>
      </c>
      <c r="D2148" s="95">
        <v>40673</v>
      </c>
      <c r="E2148" s="95">
        <v>40725</v>
      </c>
      <c r="F2148" s="2">
        <f t="shared" si="506"/>
        <v>44378</v>
      </c>
      <c r="G2148" s="170">
        <v>803.9</v>
      </c>
      <c r="H2148" s="93" t="s">
        <v>5637</v>
      </c>
      <c r="I2148" s="93" t="s">
        <v>5622</v>
      </c>
      <c r="J2148" s="166"/>
      <c r="K2148" s="266">
        <f t="shared" si="507"/>
        <v>2021</v>
      </c>
      <c r="L2148" s="393" t="s">
        <v>5638</v>
      </c>
      <c r="M2148" s="393" t="s">
        <v>5639</v>
      </c>
      <c r="N2148" s="163" t="s">
        <v>5646</v>
      </c>
      <c r="Q2148" s="243"/>
      <c r="R2148" s="92">
        <v>2959</v>
      </c>
      <c r="S2148" s="92">
        <v>52662</v>
      </c>
      <c r="T2148" s="92">
        <v>55621</v>
      </c>
      <c r="U2148" s="201">
        <v>1608</v>
      </c>
      <c r="V2148" s="287">
        <f t="shared" ca="1" si="508"/>
        <v>9</v>
      </c>
      <c r="W2148" s="75">
        <f t="shared" ca="1" si="509"/>
        <v>12462</v>
      </c>
      <c r="X2148" s="200">
        <f t="shared" ca="1" si="510"/>
        <v>66877</v>
      </c>
      <c r="Y2148"/>
      <c r="Z2148" s="156">
        <v>0.1</v>
      </c>
      <c r="AA2148" s="227">
        <v>0.09</v>
      </c>
      <c r="AB2148" s="312" t="s">
        <v>7491</v>
      </c>
      <c r="AF2148">
        <f t="shared" si="484"/>
        <v>0</v>
      </c>
    </row>
    <row r="2149" spans="1:32" ht="30" hidden="1" x14ac:dyDescent="0.25">
      <c r="A2149" s="332" t="s">
        <v>5647</v>
      </c>
      <c r="B2149" s="93" t="str">
        <f t="shared" si="511"/>
        <v>YES</v>
      </c>
      <c r="C2149" t="s">
        <v>5505</v>
      </c>
      <c r="D2149" s="95">
        <v>40673</v>
      </c>
      <c r="E2149" s="95">
        <v>40725</v>
      </c>
      <c r="F2149" s="2">
        <f t="shared" si="506"/>
        <v>44378</v>
      </c>
      <c r="G2149" s="170">
        <v>320</v>
      </c>
      <c r="H2149" s="93" t="s">
        <v>5637</v>
      </c>
      <c r="I2149" s="93" t="s">
        <v>5622</v>
      </c>
      <c r="J2149" s="166"/>
      <c r="K2149" s="266">
        <f t="shared" si="507"/>
        <v>2021</v>
      </c>
      <c r="L2149" s="393" t="s">
        <v>5648</v>
      </c>
      <c r="M2149" s="393" t="s">
        <v>5639</v>
      </c>
      <c r="N2149" s="163" t="s">
        <v>5649</v>
      </c>
      <c r="Q2149" s="243"/>
      <c r="R2149" s="92">
        <v>1265</v>
      </c>
      <c r="S2149" s="92">
        <v>66560</v>
      </c>
      <c r="T2149" s="92">
        <v>67825</v>
      </c>
      <c r="U2149" s="201">
        <v>640</v>
      </c>
      <c r="V2149" s="287">
        <f t="shared" ca="1" si="508"/>
        <v>9</v>
      </c>
      <c r="W2149" s="75">
        <f t="shared" ca="1" si="509"/>
        <v>4960</v>
      </c>
      <c r="X2149" s="200">
        <f t="shared" ca="1" si="510"/>
        <v>72305</v>
      </c>
      <c r="Y2149"/>
      <c r="Z2149" s="156">
        <v>0.1</v>
      </c>
      <c r="AA2149" s="227">
        <v>0.09</v>
      </c>
      <c r="AB2149" s="312" t="s">
        <v>7492</v>
      </c>
      <c r="AF2149">
        <f t="shared" si="484"/>
        <v>0</v>
      </c>
    </row>
    <row r="2150" spans="1:32" ht="30" hidden="1" x14ac:dyDescent="0.25">
      <c r="A2150" s="332" t="s">
        <v>5650</v>
      </c>
      <c r="B2150" s="93" t="str">
        <f t="shared" si="511"/>
        <v>YES</v>
      </c>
      <c r="C2150" t="s">
        <v>5505</v>
      </c>
      <c r="D2150" s="95">
        <v>40673</v>
      </c>
      <c r="E2150" s="95">
        <v>40725</v>
      </c>
      <c r="F2150" s="2">
        <f t="shared" si="506"/>
        <v>44378</v>
      </c>
      <c r="G2150" s="170">
        <v>318.07</v>
      </c>
      <c r="H2150" s="93" t="s">
        <v>5637</v>
      </c>
      <c r="I2150" s="93" t="s">
        <v>5622</v>
      </c>
      <c r="J2150" s="166"/>
      <c r="K2150" s="266">
        <f t="shared" si="507"/>
        <v>2021</v>
      </c>
      <c r="L2150" s="393" t="s">
        <v>5648</v>
      </c>
      <c r="M2150" s="393" t="s">
        <v>5639</v>
      </c>
      <c r="N2150" s="163" t="s">
        <v>5651</v>
      </c>
      <c r="Q2150" s="243"/>
      <c r="R2150" s="92">
        <v>1261.5</v>
      </c>
      <c r="S2150" s="92">
        <v>47212</v>
      </c>
      <c r="T2150" s="92">
        <v>48473.5</v>
      </c>
      <c r="U2150" s="201">
        <v>638</v>
      </c>
      <c r="V2150" s="287">
        <f t="shared" ca="1" si="508"/>
        <v>9</v>
      </c>
      <c r="W2150" s="75">
        <f t="shared" ca="1" si="509"/>
        <v>4944.5</v>
      </c>
      <c r="X2150" s="200">
        <f t="shared" ca="1" si="510"/>
        <v>52939.5</v>
      </c>
      <c r="Y2150"/>
      <c r="Z2150" s="156">
        <v>0.1</v>
      </c>
      <c r="AA2150" s="227">
        <v>0.09</v>
      </c>
      <c r="AB2150" s="312" t="s">
        <v>7493</v>
      </c>
      <c r="AF2150">
        <f t="shared" si="484"/>
        <v>0</v>
      </c>
    </row>
    <row r="2151" spans="1:32" ht="45" hidden="1" x14ac:dyDescent="0.25">
      <c r="A2151" s="332" t="s">
        <v>5652</v>
      </c>
      <c r="B2151" s="93" t="str">
        <f t="shared" si="511"/>
        <v>YES</v>
      </c>
      <c r="C2151" t="s">
        <v>5505</v>
      </c>
      <c r="D2151" s="95">
        <v>40673</v>
      </c>
      <c r="E2151" s="95">
        <v>40725</v>
      </c>
      <c r="F2151" s="2">
        <f t="shared" si="506"/>
        <v>44378</v>
      </c>
      <c r="G2151" s="170">
        <v>245.38</v>
      </c>
      <c r="H2151" s="93" t="s">
        <v>5621</v>
      </c>
      <c r="I2151" s="93" t="s">
        <v>5622</v>
      </c>
      <c r="J2151" s="166"/>
      <c r="K2151" s="266">
        <f t="shared" si="507"/>
        <v>2021</v>
      </c>
      <c r="L2151" s="393" t="s">
        <v>5631</v>
      </c>
      <c r="M2151" s="393" t="s">
        <v>5639</v>
      </c>
      <c r="N2151" s="163" t="s">
        <v>5653</v>
      </c>
      <c r="Q2151" s="243"/>
      <c r="R2151" s="92">
        <v>1006</v>
      </c>
      <c r="S2151" s="92">
        <v>220908</v>
      </c>
      <c r="T2151" s="92">
        <v>221914</v>
      </c>
      <c r="U2151" s="201">
        <v>492</v>
      </c>
      <c r="V2151" s="287">
        <f t="shared" ca="1" si="508"/>
        <v>9</v>
      </c>
      <c r="W2151" s="75">
        <f t="shared" ca="1" si="509"/>
        <v>3813</v>
      </c>
      <c r="X2151" s="200">
        <f t="shared" ca="1" si="510"/>
        <v>225358</v>
      </c>
      <c r="Y2151"/>
      <c r="Z2151" s="156">
        <v>0.1</v>
      </c>
      <c r="AA2151" s="227">
        <v>0.09</v>
      </c>
      <c r="AB2151" s="312" t="s">
        <v>8017</v>
      </c>
      <c r="AF2151">
        <f t="shared" si="484"/>
        <v>0</v>
      </c>
    </row>
    <row r="2152" spans="1:32" ht="60" hidden="1" x14ac:dyDescent="0.25">
      <c r="A2152" s="332" t="s">
        <v>5654</v>
      </c>
      <c r="B2152" s="93" t="str">
        <f t="shared" si="511"/>
        <v>YES</v>
      </c>
      <c r="C2152" t="s">
        <v>5505</v>
      </c>
      <c r="D2152" s="95">
        <v>40673</v>
      </c>
      <c r="E2152" s="95">
        <v>40725</v>
      </c>
      <c r="F2152" s="2">
        <f t="shared" si="506"/>
        <v>44378</v>
      </c>
      <c r="G2152" s="170">
        <v>1600</v>
      </c>
      <c r="H2152" s="93" t="s">
        <v>5637</v>
      </c>
      <c r="I2152" s="93" t="s">
        <v>5622</v>
      </c>
      <c r="J2152" s="166"/>
      <c r="K2152" s="266">
        <f t="shared" si="507"/>
        <v>2021</v>
      </c>
      <c r="L2152" s="393" t="s">
        <v>5638</v>
      </c>
      <c r="M2152" s="393" t="s">
        <v>5655</v>
      </c>
      <c r="N2152" s="163" t="s">
        <v>5656</v>
      </c>
      <c r="Q2152" s="243"/>
      <c r="R2152" s="92">
        <v>5745</v>
      </c>
      <c r="S2152" s="92">
        <v>124800</v>
      </c>
      <c r="T2152" s="92">
        <v>130545</v>
      </c>
      <c r="U2152" s="201">
        <v>3200</v>
      </c>
      <c r="V2152" s="287">
        <f t="shared" ca="1" si="508"/>
        <v>9</v>
      </c>
      <c r="W2152" s="75">
        <f t="shared" ca="1" si="509"/>
        <v>24800</v>
      </c>
      <c r="X2152" s="200">
        <f t="shared" ca="1" si="510"/>
        <v>152945</v>
      </c>
      <c r="Y2152"/>
      <c r="Z2152" s="156">
        <v>0.1</v>
      </c>
      <c r="AA2152" s="227">
        <v>0.09</v>
      </c>
      <c r="AB2152" s="312" t="s">
        <v>7494</v>
      </c>
      <c r="AF2152">
        <f t="shared" si="484"/>
        <v>0</v>
      </c>
    </row>
    <row r="2153" spans="1:32" ht="30" hidden="1" x14ac:dyDescent="0.25">
      <c r="A2153" s="332" t="s">
        <v>5657</v>
      </c>
      <c r="B2153" s="93" t="str">
        <f t="shared" si="511"/>
        <v>YES</v>
      </c>
      <c r="C2153" t="s">
        <v>5505</v>
      </c>
      <c r="D2153" s="95">
        <v>40673</v>
      </c>
      <c r="E2153" s="95">
        <v>40725</v>
      </c>
      <c r="F2153" s="2">
        <f t="shared" si="506"/>
        <v>44378</v>
      </c>
      <c r="G2153" s="170">
        <v>960</v>
      </c>
      <c r="H2153" s="93" t="s">
        <v>5658</v>
      </c>
      <c r="I2153" s="93" t="s">
        <v>5622</v>
      </c>
      <c r="J2153" s="166"/>
      <c r="K2153" s="266">
        <f t="shared" si="507"/>
        <v>2021</v>
      </c>
      <c r="L2153" s="393" t="s">
        <v>5659</v>
      </c>
      <c r="M2153" s="393" t="s">
        <v>5627</v>
      </c>
      <c r="N2153" s="163" t="s">
        <v>5660</v>
      </c>
      <c r="Q2153" s="243"/>
      <c r="R2153" s="92">
        <v>3505</v>
      </c>
      <c r="S2153" s="92">
        <v>70080</v>
      </c>
      <c r="T2153" s="92">
        <v>73585</v>
      </c>
      <c r="U2153" s="201">
        <v>1920</v>
      </c>
      <c r="V2153" s="287">
        <f t="shared" ca="1" si="508"/>
        <v>9</v>
      </c>
      <c r="W2153" s="75">
        <f t="shared" ca="1" si="509"/>
        <v>14880</v>
      </c>
      <c r="X2153" s="200">
        <f t="shared" ca="1" si="510"/>
        <v>87025</v>
      </c>
      <c r="Y2153"/>
      <c r="Z2153" s="156">
        <v>0.1</v>
      </c>
      <c r="AA2153" s="227">
        <v>0.09</v>
      </c>
      <c r="AB2153" s="312" t="s">
        <v>8016</v>
      </c>
      <c r="AF2153">
        <f t="shared" si="484"/>
        <v>0</v>
      </c>
    </row>
    <row r="2154" spans="1:32" ht="60" hidden="1" x14ac:dyDescent="0.25">
      <c r="A2154" s="332" t="s">
        <v>5661</v>
      </c>
      <c r="B2154" s="93" t="str">
        <f t="shared" si="511"/>
        <v>YES</v>
      </c>
      <c r="C2154" t="s">
        <v>5505</v>
      </c>
      <c r="D2154" s="95">
        <v>40673</v>
      </c>
      <c r="E2154" s="95">
        <v>40725</v>
      </c>
      <c r="F2154" s="2">
        <f t="shared" si="506"/>
        <v>44378</v>
      </c>
      <c r="G2154" s="170">
        <v>1049.5999999999999</v>
      </c>
      <c r="H2154" s="93" t="s">
        <v>5658</v>
      </c>
      <c r="I2154" s="93" t="s">
        <v>5622</v>
      </c>
      <c r="J2154" s="166"/>
      <c r="K2154" s="266">
        <f t="shared" si="507"/>
        <v>2021</v>
      </c>
      <c r="L2154" s="393" t="s">
        <v>5659</v>
      </c>
      <c r="M2154" s="393" t="s">
        <v>5662</v>
      </c>
      <c r="N2154" s="163" t="s">
        <v>5663</v>
      </c>
      <c r="Q2154" s="243"/>
      <c r="R2154" s="92">
        <v>3820</v>
      </c>
      <c r="S2154" s="92">
        <v>123900</v>
      </c>
      <c r="T2154" s="92">
        <v>127720</v>
      </c>
      <c r="U2154" s="201">
        <v>2100</v>
      </c>
      <c r="V2154" s="287">
        <f t="shared" ca="1" si="508"/>
        <v>9</v>
      </c>
      <c r="W2154" s="75">
        <f t="shared" ca="1" si="509"/>
        <v>16275</v>
      </c>
      <c r="X2154" s="200">
        <f t="shared" ca="1" si="510"/>
        <v>142420</v>
      </c>
      <c r="Y2154"/>
      <c r="Z2154" s="156">
        <v>0.1</v>
      </c>
      <c r="AA2154" s="227">
        <v>0.09</v>
      </c>
      <c r="AB2154" s="312" t="s">
        <v>8016</v>
      </c>
      <c r="AF2154">
        <f t="shared" si="484"/>
        <v>0</v>
      </c>
    </row>
    <row r="2155" spans="1:32" ht="45" hidden="1" x14ac:dyDescent="0.25">
      <c r="A2155" s="332" t="s">
        <v>5664</v>
      </c>
      <c r="B2155" s="93" t="str">
        <f t="shared" si="511"/>
        <v>YES</v>
      </c>
      <c r="C2155" t="s">
        <v>5505</v>
      </c>
      <c r="D2155" s="95">
        <v>40673</v>
      </c>
      <c r="E2155" s="167">
        <v>40756</v>
      </c>
      <c r="F2155" s="2">
        <f t="shared" si="506"/>
        <v>44409</v>
      </c>
      <c r="G2155" s="170">
        <v>120.69</v>
      </c>
      <c r="H2155" s="93" t="s">
        <v>5665</v>
      </c>
      <c r="I2155" s="93" t="s">
        <v>5285</v>
      </c>
      <c r="J2155" s="166"/>
      <c r="K2155" s="266">
        <f t="shared" si="507"/>
        <v>2021</v>
      </c>
      <c r="L2155" s="393" t="s">
        <v>5666</v>
      </c>
      <c r="M2155" s="393" t="s">
        <v>5587</v>
      </c>
      <c r="N2155" s="163" t="s">
        <v>5667</v>
      </c>
      <c r="Q2155" s="244"/>
      <c r="R2155" s="92">
        <v>568.5</v>
      </c>
      <c r="S2155" s="92">
        <v>205458</v>
      </c>
      <c r="T2155" s="92">
        <v>206026.5</v>
      </c>
      <c r="U2155" s="201">
        <v>181.5</v>
      </c>
      <c r="V2155" s="287">
        <f t="shared" ca="1" si="508"/>
        <v>9</v>
      </c>
      <c r="W2155" s="75">
        <f t="shared" ca="1" si="509"/>
        <v>1875.5</v>
      </c>
      <c r="X2155" s="200">
        <f t="shared" ca="1" si="510"/>
        <v>207720.5</v>
      </c>
      <c r="Y2155"/>
      <c r="Z2155" s="156">
        <v>0.1</v>
      </c>
      <c r="AA2155" s="227">
        <v>0.09</v>
      </c>
      <c r="AB2155" s="312" t="s">
        <v>8009</v>
      </c>
      <c r="AF2155">
        <f t="shared" ref="AF2155:AF2218" si="512">COUNTIF(FilterList,A2155)</f>
        <v>0</v>
      </c>
    </row>
    <row r="2156" spans="1:32" hidden="1" x14ac:dyDescent="0.25">
      <c r="A2156" s="333"/>
      <c r="C2156"/>
      <c r="D2156" s="143"/>
      <c r="E2156" s="93"/>
      <c r="F2156" s="93"/>
      <c r="G2156" s="155"/>
      <c r="I2156" s="93"/>
      <c r="J2156" s="166"/>
      <c r="K2156" s="166"/>
      <c r="L2156" s="393"/>
      <c r="M2156" s="393"/>
      <c r="N2156" s="163" t="s">
        <v>5511</v>
      </c>
      <c r="Q2156" s="245"/>
      <c r="R2156" s="169"/>
      <c r="S2156" s="169"/>
      <c r="T2156" s="169"/>
      <c r="U2156" s="213"/>
      <c r="V2156" s="169"/>
      <c r="W2156" s="169"/>
      <c r="X2156" s="213"/>
      <c r="Y2156"/>
      <c r="Z2156" s="168"/>
      <c r="AA2156" s="229"/>
      <c r="AF2156">
        <f t="shared" si="512"/>
        <v>0</v>
      </c>
    </row>
    <row r="2157" spans="1:32" hidden="1" x14ac:dyDescent="0.25">
      <c r="A2157" s="333"/>
      <c r="C2157"/>
      <c r="D2157" s="143" t="s">
        <v>5619</v>
      </c>
      <c r="E2157" s="93"/>
      <c r="F2157" s="93"/>
      <c r="G2157" s="155"/>
      <c r="I2157" s="93"/>
      <c r="J2157" s="166"/>
      <c r="K2157" s="166"/>
      <c r="L2157" s="393"/>
      <c r="M2157" s="393"/>
      <c r="N2157" s="163" t="s">
        <v>5511</v>
      </c>
      <c r="Q2157" s="245"/>
      <c r="R2157" s="158">
        <v>32338</v>
      </c>
      <c r="S2157" s="158">
        <v>1220861.5</v>
      </c>
      <c r="T2157" s="158">
        <v>1253199.5</v>
      </c>
      <c r="U2157" s="213"/>
      <c r="V2157" s="169"/>
      <c r="W2157" s="169"/>
      <c r="X2157" s="213"/>
      <c r="Y2157"/>
      <c r="Z2157" s="168"/>
      <c r="AA2157" s="229"/>
      <c r="AF2157">
        <f t="shared" si="512"/>
        <v>0</v>
      </c>
    </row>
    <row r="2158" spans="1:32" ht="15.75" hidden="1" thickTop="1" x14ac:dyDescent="0.25">
      <c r="A2158" s="333"/>
      <c r="C2158"/>
      <c r="D2158" s="143"/>
      <c r="E2158" s="93"/>
      <c r="F2158" s="93"/>
      <c r="G2158" s="155"/>
      <c r="I2158" s="93"/>
      <c r="J2158" s="166"/>
      <c r="K2158" s="166"/>
      <c r="L2158" s="393"/>
      <c r="M2158" s="393"/>
      <c r="N2158" s="163" t="s">
        <v>5511</v>
      </c>
      <c r="Q2158" s="245"/>
      <c r="R2158" s="159"/>
      <c r="S2158" s="159"/>
      <c r="T2158" s="159"/>
      <c r="U2158" s="213"/>
      <c r="V2158" s="169"/>
      <c r="W2158" s="169"/>
      <c r="X2158" s="213"/>
      <c r="Y2158"/>
      <c r="Z2158" s="168"/>
      <c r="AA2158" s="229"/>
      <c r="AF2158">
        <f t="shared" si="512"/>
        <v>0</v>
      </c>
    </row>
    <row r="2159" spans="1:32" hidden="1" x14ac:dyDescent="0.25">
      <c r="A2159" s="333"/>
      <c r="C2159"/>
      <c r="E2159" s="93"/>
      <c r="F2159" s="93"/>
      <c r="G2159" s="155"/>
      <c r="I2159" s="93"/>
      <c r="J2159" s="166"/>
      <c r="K2159" s="166"/>
      <c r="L2159" s="393"/>
      <c r="M2159" s="393"/>
      <c r="N2159" s="163" t="s">
        <v>5511</v>
      </c>
      <c r="Q2159" s="245"/>
      <c r="R2159" s="138"/>
      <c r="S2159" s="138"/>
      <c r="T2159" s="138"/>
      <c r="Y2159"/>
      <c r="Z2159" s="168"/>
      <c r="AA2159" s="229"/>
      <c r="AF2159">
        <f t="shared" si="512"/>
        <v>0</v>
      </c>
    </row>
    <row r="2160" spans="1:32" ht="45" hidden="1" x14ac:dyDescent="0.25">
      <c r="A2160" s="332" t="s">
        <v>5668</v>
      </c>
      <c r="B2160" s="93" t="str">
        <f t="shared" si="511"/>
        <v>YES</v>
      </c>
      <c r="C2160" t="s">
        <v>5505</v>
      </c>
      <c r="D2160" s="95">
        <v>40736</v>
      </c>
      <c r="E2160" s="171">
        <v>40787</v>
      </c>
      <c r="F2160" s="2">
        <f t="shared" ref="F2160:F2171" si="513">DATE(YEAR(E2160)+10,MONTH(E2160),DAY(E2160))</f>
        <v>44440</v>
      </c>
      <c r="G2160" s="155">
        <v>560</v>
      </c>
      <c r="H2160" s="93" t="s">
        <v>5669</v>
      </c>
      <c r="I2160" s="93" t="s">
        <v>5285</v>
      </c>
      <c r="J2160" s="166"/>
      <c r="K2160" s="266">
        <f t="shared" ref="K2160:K2171" si="514">YEAR(F2160)</f>
        <v>2021</v>
      </c>
      <c r="L2160" s="393" t="s">
        <v>5670</v>
      </c>
      <c r="M2160" s="393" t="s">
        <v>5671</v>
      </c>
      <c r="N2160" s="163" t="s">
        <v>5672</v>
      </c>
      <c r="Q2160" s="246"/>
      <c r="R2160" s="144">
        <v>2105</v>
      </c>
      <c r="S2160" s="144">
        <v>82880</v>
      </c>
      <c r="T2160" s="144">
        <v>84985</v>
      </c>
      <c r="U2160" s="201">
        <v>840</v>
      </c>
      <c r="V2160" s="287">
        <f t="shared" ref="V2160:V2171" ca="1" si="515">IF(YEAR($W$3)-YEAR(E2160)&gt;9,10,IF(MONTH($W$3)&lt;MONTH(E2160),YEAR($W$3)-YEAR(E2160),YEAR($W$3)-YEAR(E2160)+1))</f>
        <v>9</v>
      </c>
      <c r="W2160" s="75">
        <f t="shared" ref="W2160:W2171" ca="1" si="516">IF(V2160&lt;6, ROUNDUP(G2160,0)*$W$6*V2160, ROUNDUP(G2160,0)*($W$6*5 + (V2160-5)*$W$7))</f>
        <v>8680</v>
      </c>
      <c r="X2160" s="200">
        <f t="shared" ref="X2160:X2171" ca="1" si="517">IF(V2160=0,T2160,((T2160-ROUNDUP(G2160,0)*1.5)+W2160))</f>
        <v>92825</v>
      </c>
      <c r="Y2160"/>
      <c r="Z2160" s="156">
        <v>0.1</v>
      </c>
      <c r="AA2160" s="227">
        <v>0.09</v>
      </c>
      <c r="AB2160" s="312" t="s">
        <v>7846</v>
      </c>
      <c r="AF2160">
        <f t="shared" si="512"/>
        <v>0</v>
      </c>
    </row>
    <row r="2161" spans="1:32" ht="45" hidden="1" x14ac:dyDescent="0.25">
      <c r="A2161" s="332" t="s">
        <v>5673</v>
      </c>
      <c r="B2161" s="93" t="str">
        <f t="shared" si="511"/>
        <v>YES</v>
      </c>
      <c r="C2161" t="s">
        <v>5505</v>
      </c>
      <c r="D2161" s="95">
        <v>40736</v>
      </c>
      <c r="E2161" s="171">
        <v>40787</v>
      </c>
      <c r="F2161" s="2">
        <f t="shared" si="513"/>
        <v>44440</v>
      </c>
      <c r="G2161" s="155">
        <v>320</v>
      </c>
      <c r="H2161" s="93" t="s">
        <v>5669</v>
      </c>
      <c r="I2161" s="93" t="s">
        <v>5285</v>
      </c>
      <c r="J2161" s="166"/>
      <c r="K2161" s="266">
        <f t="shared" si="514"/>
        <v>2021</v>
      </c>
      <c r="L2161" s="393" t="s">
        <v>5674</v>
      </c>
      <c r="M2161" s="393" t="s">
        <v>5671</v>
      </c>
      <c r="N2161" s="163" t="s">
        <v>5675</v>
      </c>
      <c r="Q2161" s="246"/>
      <c r="R2161" s="144">
        <v>1265</v>
      </c>
      <c r="S2161" s="144">
        <v>47360</v>
      </c>
      <c r="T2161" s="144">
        <v>48625</v>
      </c>
      <c r="U2161" s="201">
        <v>480</v>
      </c>
      <c r="V2161" s="287">
        <f t="shared" ca="1" si="515"/>
        <v>9</v>
      </c>
      <c r="W2161" s="75">
        <f t="shared" ca="1" si="516"/>
        <v>4960</v>
      </c>
      <c r="X2161" s="200">
        <f t="shared" ca="1" si="517"/>
        <v>53105</v>
      </c>
      <c r="Y2161"/>
      <c r="Z2161" s="156">
        <v>0.1</v>
      </c>
      <c r="AA2161" s="227">
        <v>0.09</v>
      </c>
      <c r="AB2161" s="312" t="s">
        <v>7846</v>
      </c>
      <c r="AF2161">
        <f t="shared" si="512"/>
        <v>0</v>
      </c>
    </row>
    <row r="2162" spans="1:32" ht="45" hidden="1" x14ac:dyDescent="0.25">
      <c r="A2162" s="332" t="s">
        <v>5676</v>
      </c>
      <c r="B2162" s="93" t="str">
        <f t="shared" si="511"/>
        <v>YES</v>
      </c>
      <c r="C2162" t="s">
        <v>5505</v>
      </c>
      <c r="D2162" s="95">
        <v>40736</v>
      </c>
      <c r="E2162" s="171">
        <v>40787</v>
      </c>
      <c r="F2162" s="2">
        <f t="shared" si="513"/>
        <v>44440</v>
      </c>
      <c r="G2162" s="155">
        <v>320</v>
      </c>
      <c r="H2162" s="93" t="s">
        <v>5677</v>
      </c>
      <c r="I2162" s="93" t="s">
        <v>5285</v>
      </c>
      <c r="J2162" s="166"/>
      <c r="K2162" s="266">
        <f t="shared" si="514"/>
        <v>2021</v>
      </c>
      <c r="L2162" s="393" t="s">
        <v>5678</v>
      </c>
      <c r="M2162" s="393" t="s">
        <v>5671</v>
      </c>
      <c r="N2162" s="163" t="s">
        <v>5679</v>
      </c>
      <c r="Q2162" s="246"/>
      <c r="R2162" s="144">
        <v>1265</v>
      </c>
      <c r="S2162" s="144">
        <v>28160</v>
      </c>
      <c r="T2162" s="144">
        <v>29425</v>
      </c>
      <c r="U2162" s="201">
        <v>480</v>
      </c>
      <c r="V2162" s="287">
        <f t="shared" ca="1" si="515"/>
        <v>9</v>
      </c>
      <c r="W2162" s="75">
        <f t="shared" ca="1" si="516"/>
        <v>4960</v>
      </c>
      <c r="X2162" s="200">
        <f t="shared" ca="1" si="517"/>
        <v>33905</v>
      </c>
      <c r="Y2162"/>
      <c r="Z2162" s="156">
        <v>0.1</v>
      </c>
      <c r="AA2162" s="227">
        <v>0.09</v>
      </c>
      <c r="AB2162" s="312" t="s">
        <v>7842</v>
      </c>
      <c r="AF2162">
        <f t="shared" si="512"/>
        <v>0</v>
      </c>
    </row>
    <row r="2163" spans="1:32" ht="30" hidden="1" x14ac:dyDescent="0.25">
      <c r="A2163" s="332" t="s">
        <v>5680</v>
      </c>
      <c r="B2163" s="93" t="str">
        <f t="shared" si="511"/>
        <v>YES</v>
      </c>
      <c r="C2163" t="s">
        <v>5505</v>
      </c>
      <c r="D2163" s="95">
        <v>40736</v>
      </c>
      <c r="E2163" s="171">
        <v>40787</v>
      </c>
      <c r="F2163" s="2">
        <f t="shared" si="513"/>
        <v>44440</v>
      </c>
      <c r="G2163" s="155">
        <v>480</v>
      </c>
      <c r="H2163" s="93" t="s">
        <v>5677</v>
      </c>
      <c r="I2163" s="93" t="s">
        <v>5285</v>
      </c>
      <c r="J2163" s="166"/>
      <c r="K2163" s="266">
        <f t="shared" si="514"/>
        <v>2021</v>
      </c>
      <c r="L2163" s="393" t="s">
        <v>5666</v>
      </c>
      <c r="M2163" s="393" t="s">
        <v>5671</v>
      </c>
      <c r="N2163" s="163" t="s">
        <v>5681</v>
      </c>
      <c r="Q2163" s="246"/>
      <c r="R2163" s="144">
        <v>1825</v>
      </c>
      <c r="S2163" s="144">
        <v>27840</v>
      </c>
      <c r="T2163" s="144">
        <v>29665</v>
      </c>
      <c r="U2163" s="201">
        <v>720</v>
      </c>
      <c r="V2163" s="287">
        <f t="shared" ca="1" si="515"/>
        <v>9</v>
      </c>
      <c r="W2163" s="75">
        <f t="shared" ca="1" si="516"/>
        <v>7440</v>
      </c>
      <c r="X2163" s="200">
        <f t="shared" ca="1" si="517"/>
        <v>36385</v>
      </c>
      <c r="Y2163"/>
      <c r="Z2163" s="156">
        <v>0.1</v>
      </c>
      <c r="AA2163" s="227">
        <v>0.09</v>
      </c>
      <c r="AB2163" s="312" t="s">
        <v>7842</v>
      </c>
      <c r="AF2163">
        <f t="shared" si="512"/>
        <v>0</v>
      </c>
    </row>
    <row r="2164" spans="1:32" ht="45" hidden="1" x14ac:dyDescent="0.25">
      <c r="A2164" s="332" t="s">
        <v>5682</v>
      </c>
      <c r="B2164" s="93" t="str">
        <f t="shared" si="511"/>
        <v>YES</v>
      </c>
      <c r="C2164" t="s">
        <v>5505</v>
      </c>
      <c r="D2164" s="95">
        <v>40736</v>
      </c>
      <c r="E2164" s="171">
        <v>40787</v>
      </c>
      <c r="F2164" s="2">
        <f t="shared" si="513"/>
        <v>44440</v>
      </c>
      <c r="G2164" s="155">
        <v>1309</v>
      </c>
      <c r="H2164" s="93" t="s">
        <v>1329</v>
      </c>
      <c r="I2164" s="93" t="s">
        <v>5306</v>
      </c>
      <c r="J2164" s="166"/>
      <c r="K2164" s="266">
        <f t="shared" si="514"/>
        <v>2021</v>
      </c>
      <c r="L2164" s="393" t="s">
        <v>5555</v>
      </c>
      <c r="M2164" s="393" t="s">
        <v>5683</v>
      </c>
      <c r="N2164" s="163" t="s">
        <v>5684</v>
      </c>
      <c r="Q2164" s="246"/>
      <c r="R2164" s="144">
        <v>4726.5</v>
      </c>
      <c r="S2164" s="144">
        <v>27489</v>
      </c>
      <c r="T2164" s="144">
        <v>32215.5</v>
      </c>
      <c r="U2164" s="201">
        <v>1963.5</v>
      </c>
      <c r="V2164" s="287">
        <f t="shared" ca="1" si="515"/>
        <v>9</v>
      </c>
      <c r="W2164" s="75">
        <f t="shared" ca="1" si="516"/>
        <v>20289.5</v>
      </c>
      <c r="X2164" s="200">
        <f t="shared" ca="1" si="517"/>
        <v>50541.5</v>
      </c>
      <c r="Y2164"/>
      <c r="Z2164" s="156">
        <v>0.1</v>
      </c>
      <c r="AA2164" s="227">
        <v>0.09</v>
      </c>
      <c r="AB2164" s="312" t="s">
        <v>8117</v>
      </c>
      <c r="AF2164">
        <f t="shared" si="512"/>
        <v>0</v>
      </c>
    </row>
    <row r="2165" spans="1:32" ht="30" hidden="1" x14ac:dyDescent="0.25">
      <c r="A2165" s="332" t="s">
        <v>5685</v>
      </c>
      <c r="B2165" s="93" t="str">
        <f t="shared" si="511"/>
        <v>YES</v>
      </c>
      <c r="C2165" t="s">
        <v>5505</v>
      </c>
      <c r="D2165" s="95">
        <v>40736</v>
      </c>
      <c r="E2165" s="171">
        <v>40787</v>
      </c>
      <c r="F2165" s="2">
        <f t="shared" si="513"/>
        <v>44440</v>
      </c>
      <c r="G2165" s="155">
        <v>959</v>
      </c>
      <c r="H2165" s="93" t="s">
        <v>1329</v>
      </c>
      <c r="I2165" s="93" t="s">
        <v>5306</v>
      </c>
      <c r="J2165" s="166"/>
      <c r="K2165" s="266">
        <f t="shared" si="514"/>
        <v>2021</v>
      </c>
      <c r="L2165" s="393" t="s">
        <v>5555</v>
      </c>
      <c r="M2165" s="393" t="s">
        <v>5683</v>
      </c>
      <c r="N2165" s="163" t="s">
        <v>5686</v>
      </c>
      <c r="Q2165" s="246"/>
      <c r="R2165" s="144">
        <v>3501.5</v>
      </c>
      <c r="S2165" s="144">
        <v>22057</v>
      </c>
      <c r="T2165" s="144">
        <v>25558.5</v>
      </c>
      <c r="U2165" s="201">
        <v>1438.5</v>
      </c>
      <c r="V2165" s="287">
        <f t="shared" ca="1" si="515"/>
        <v>9</v>
      </c>
      <c r="W2165" s="75">
        <f t="shared" ca="1" si="516"/>
        <v>14864.5</v>
      </c>
      <c r="X2165" s="200">
        <f t="shared" ca="1" si="517"/>
        <v>38984.5</v>
      </c>
      <c r="Y2165"/>
      <c r="Z2165" s="156">
        <v>0.1</v>
      </c>
      <c r="AA2165" s="227">
        <v>0.09</v>
      </c>
      <c r="AB2165" s="312" t="s">
        <v>8117</v>
      </c>
      <c r="AF2165">
        <f t="shared" si="512"/>
        <v>0</v>
      </c>
    </row>
    <row r="2166" spans="1:32" ht="30" hidden="1" x14ac:dyDescent="0.25">
      <c r="A2166" s="332" t="s">
        <v>5687</v>
      </c>
      <c r="B2166" s="93" t="str">
        <f t="shared" si="511"/>
        <v>YES</v>
      </c>
      <c r="C2166" t="s">
        <v>5505</v>
      </c>
      <c r="D2166" s="95">
        <v>40736</v>
      </c>
      <c r="E2166" s="171">
        <v>40787</v>
      </c>
      <c r="F2166" s="2">
        <f t="shared" si="513"/>
        <v>44440</v>
      </c>
      <c r="G2166" s="155">
        <v>720</v>
      </c>
      <c r="H2166" s="93" t="s">
        <v>1329</v>
      </c>
      <c r="I2166" s="93" t="s">
        <v>5306</v>
      </c>
      <c r="J2166" s="166"/>
      <c r="K2166" s="266">
        <f t="shared" si="514"/>
        <v>2021</v>
      </c>
      <c r="L2166" s="393" t="s">
        <v>5555</v>
      </c>
      <c r="M2166" s="393" t="s">
        <v>5683</v>
      </c>
      <c r="N2166" s="163" t="s">
        <v>5688</v>
      </c>
      <c r="Q2166" s="246"/>
      <c r="R2166" s="144">
        <v>2665</v>
      </c>
      <c r="S2166" s="144">
        <v>15120</v>
      </c>
      <c r="T2166" s="144">
        <v>17785</v>
      </c>
      <c r="U2166" s="201">
        <v>1080</v>
      </c>
      <c r="V2166" s="287">
        <f t="shared" ca="1" si="515"/>
        <v>9</v>
      </c>
      <c r="W2166" s="75">
        <f t="shared" ca="1" si="516"/>
        <v>11160</v>
      </c>
      <c r="X2166" s="200">
        <f t="shared" ca="1" si="517"/>
        <v>27865</v>
      </c>
      <c r="Y2166"/>
      <c r="Z2166" s="156">
        <v>0.1</v>
      </c>
      <c r="AA2166" s="227">
        <v>0.09</v>
      </c>
      <c r="AB2166" s="312" t="s">
        <v>8117</v>
      </c>
      <c r="AF2166">
        <f t="shared" si="512"/>
        <v>0</v>
      </c>
    </row>
    <row r="2167" spans="1:32" ht="30" hidden="1" x14ac:dyDescent="0.25">
      <c r="A2167" s="332" t="s">
        <v>5689</v>
      </c>
      <c r="B2167" s="93" t="str">
        <f t="shared" si="511"/>
        <v>YES</v>
      </c>
      <c r="C2167" t="s">
        <v>5505</v>
      </c>
      <c r="D2167" s="95">
        <v>40736</v>
      </c>
      <c r="E2167" s="171">
        <v>40787</v>
      </c>
      <c r="F2167" s="2">
        <f t="shared" si="513"/>
        <v>44440</v>
      </c>
      <c r="G2167" s="155">
        <v>160</v>
      </c>
      <c r="H2167" s="93" t="s">
        <v>5677</v>
      </c>
      <c r="I2167" s="93" t="s">
        <v>5285</v>
      </c>
      <c r="J2167" s="166"/>
      <c r="K2167" s="266">
        <f t="shared" si="514"/>
        <v>2021</v>
      </c>
      <c r="L2167" s="393" t="s">
        <v>5678</v>
      </c>
      <c r="M2167" s="393" t="s">
        <v>5690</v>
      </c>
      <c r="N2167" s="163" t="s">
        <v>5691</v>
      </c>
      <c r="Q2167" s="246"/>
      <c r="R2167" s="144">
        <v>705</v>
      </c>
      <c r="S2167" s="144">
        <v>14080</v>
      </c>
      <c r="T2167" s="144">
        <v>14785</v>
      </c>
      <c r="U2167" s="201">
        <v>240</v>
      </c>
      <c r="V2167" s="287">
        <f t="shared" ca="1" si="515"/>
        <v>9</v>
      </c>
      <c r="W2167" s="75">
        <f t="shared" ca="1" si="516"/>
        <v>2480</v>
      </c>
      <c r="X2167" s="200">
        <f t="shared" ca="1" si="517"/>
        <v>17025</v>
      </c>
      <c r="Y2167"/>
      <c r="Z2167" s="156">
        <v>0.1</v>
      </c>
      <c r="AA2167" s="227">
        <v>0.09</v>
      </c>
      <c r="AB2167" s="312" t="s">
        <v>7842</v>
      </c>
      <c r="AF2167">
        <f t="shared" si="512"/>
        <v>0</v>
      </c>
    </row>
    <row r="2168" spans="1:32" ht="30" hidden="1" x14ac:dyDescent="0.25">
      <c r="A2168" s="332" t="s">
        <v>5692</v>
      </c>
      <c r="B2168" s="93" t="str">
        <f t="shared" si="511"/>
        <v>YES</v>
      </c>
      <c r="C2168" t="s">
        <v>5505</v>
      </c>
      <c r="D2168" s="95">
        <v>40736</v>
      </c>
      <c r="E2168" s="171">
        <v>40787</v>
      </c>
      <c r="F2168" s="2">
        <f t="shared" si="513"/>
        <v>44440</v>
      </c>
      <c r="G2168" s="155">
        <v>40</v>
      </c>
      <c r="H2168" s="93" t="s">
        <v>5669</v>
      </c>
      <c r="I2168" s="93" t="s">
        <v>5285</v>
      </c>
      <c r="J2168" s="339" t="s">
        <v>5693</v>
      </c>
      <c r="K2168" s="266">
        <f t="shared" si="514"/>
        <v>2021</v>
      </c>
      <c r="L2168" s="393" t="s">
        <v>5674</v>
      </c>
      <c r="M2168" s="393" t="s">
        <v>5690</v>
      </c>
      <c r="N2168" s="163" t="s">
        <v>5694</v>
      </c>
      <c r="Q2168" s="246"/>
      <c r="R2168" s="144">
        <v>285</v>
      </c>
      <c r="S2168" s="144">
        <v>12920</v>
      </c>
      <c r="T2168" s="144">
        <v>13205</v>
      </c>
      <c r="U2168" s="201">
        <v>60</v>
      </c>
      <c r="V2168" s="287">
        <f t="shared" ca="1" si="515"/>
        <v>9</v>
      </c>
      <c r="W2168" s="75">
        <f t="shared" ca="1" si="516"/>
        <v>620</v>
      </c>
      <c r="X2168" s="200">
        <f t="shared" ca="1" si="517"/>
        <v>13765</v>
      </c>
      <c r="Y2168"/>
      <c r="Z2168" s="156">
        <v>0.1</v>
      </c>
      <c r="AA2168" s="227">
        <v>0.09</v>
      </c>
      <c r="AB2168" s="312" t="s">
        <v>7846</v>
      </c>
      <c r="AF2168">
        <f t="shared" si="512"/>
        <v>0</v>
      </c>
    </row>
    <row r="2169" spans="1:32" ht="30" hidden="1" x14ac:dyDescent="0.25">
      <c r="A2169" s="332" t="s">
        <v>5695</v>
      </c>
      <c r="B2169" s="93" t="str">
        <f t="shared" si="511"/>
        <v>YES</v>
      </c>
      <c r="C2169" t="s">
        <v>5505</v>
      </c>
      <c r="D2169" s="95">
        <v>40736</v>
      </c>
      <c r="E2169" s="171">
        <v>40787</v>
      </c>
      <c r="F2169" s="2">
        <f t="shared" si="513"/>
        <v>44440</v>
      </c>
      <c r="G2169" s="155">
        <v>501.2</v>
      </c>
      <c r="H2169" s="93" t="s">
        <v>1329</v>
      </c>
      <c r="I2169" s="93" t="s">
        <v>5306</v>
      </c>
      <c r="J2169" s="166"/>
      <c r="K2169" s="266">
        <f t="shared" si="514"/>
        <v>2021</v>
      </c>
      <c r="L2169" s="393" t="s">
        <v>5555</v>
      </c>
      <c r="M2169" s="393" t="s">
        <v>5683</v>
      </c>
      <c r="N2169" s="163" t="s">
        <v>5696</v>
      </c>
      <c r="Q2169" s="246"/>
      <c r="R2169" s="144">
        <v>1902</v>
      </c>
      <c r="S2169" s="144">
        <v>9036</v>
      </c>
      <c r="T2169" s="144">
        <v>10938</v>
      </c>
      <c r="U2169" s="201">
        <v>753</v>
      </c>
      <c r="V2169" s="287">
        <f t="shared" ca="1" si="515"/>
        <v>9</v>
      </c>
      <c r="W2169" s="75">
        <f t="shared" ca="1" si="516"/>
        <v>7781</v>
      </c>
      <c r="X2169" s="200">
        <f t="shared" ca="1" si="517"/>
        <v>17966</v>
      </c>
      <c r="Y2169"/>
      <c r="Z2169" s="156">
        <v>0.1</v>
      </c>
      <c r="AA2169" s="227">
        <v>0.09</v>
      </c>
      <c r="AB2169" s="312" t="s">
        <v>8117</v>
      </c>
      <c r="AF2169">
        <f t="shared" si="512"/>
        <v>0</v>
      </c>
    </row>
    <row r="2170" spans="1:32" hidden="1" x14ac:dyDescent="0.25">
      <c r="A2170" s="332" t="s">
        <v>5697</v>
      </c>
      <c r="B2170" s="93" t="str">
        <f t="shared" si="511"/>
        <v>YES</v>
      </c>
      <c r="C2170" t="s">
        <v>5505</v>
      </c>
      <c r="D2170" s="95">
        <v>40736</v>
      </c>
      <c r="E2170" s="171">
        <v>40787</v>
      </c>
      <c r="F2170" s="2">
        <f t="shared" si="513"/>
        <v>44440</v>
      </c>
      <c r="G2170" s="155">
        <v>160</v>
      </c>
      <c r="H2170" s="93" t="s">
        <v>1329</v>
      </c>
      <c r="I2170" s="93" t="s">
        <v>5306</v>
      </c>
      <c r="J2170" s="166"/>
      <c r="K2170" s="266">
        <f t="shared" si="514"/>
        <v>2021</v>
      </c>
      <c r="L2170" s="393" t="s">
        <v>5698</v>
      </c>
      <c r="M2170" s="393" t="s">
        <v>5556</v>
      </c>
      <c r="N2170" s="163" t="s">
        <v>5699</v>
      </c>
      <c r="Q2170" s="246"/>
      <c r="R2170" s="144">
        <v>705</v>
      </c>
      <c r="S2170" s="144">
        <v>3040</v>
      </c>
      <c r="T2170" s="144">
        <v>3745</v>
      </c>
      <c r="U2170" s="201">
        <v>240</v>
      </c>
      <c r="V2170" s="287">
        <f t="shared" ca="1" si="515"/>
        <v>9</v>
      </c>
      <c r="W2170" s="75">
        <f t="shared" ca="1" si="516"/>
        <v>2480</v>
      </c>
      <c r="X2170" s="200">
        <f t="shared" ca="1" si="517"/>
        <v>5985</v>
      </c>
      <c r="Y2170"/>
      <c r="Z2170" s="156">
        <v>0.1</v>
      </c>
      <c r="AA2170" s="227">
        <v>0.09</v>
      </c>
      <c r="AB2170" s="312" t="s">
        <v>8117</v>
      </c>
      <c r="AF2170">
        <f t="shared" si="512"/>
        <v>0</v>
      </c>
    </row>
    <row r="2171" spans="1:32" ht="30" hidden="1" x14ac:dyDescent="0.25">
      <c r="A2171" s="332" t="s">
        <v>5700</v>
      </c>
      <c r="B2171" s="93" t="str">
        <f t="shared" si="511"/>
        <v>YES</v>
      </c>
      <c r="C2171" t="s">
        <v>5505</v>
      </c>
      <c r="D2171" s="95">
        <v>40736</v>
      </c>
      <c r="E2171" s="171">
        <v>40787</v>
      </c>
      <c r="F2171" s="2">
        <f t="shared" si="513"/>
        <v>44440</v>
      </c>
      <c r="G2171" s="155">
        <v>160</v>
      </c>
      <c r="H2171" s="93" t="s">
        <v>5701</v>
      </c>
      <c r="I2171" s="93" t="s">
        <v>5285</v>
      </c>
      <c r="J2171" s="166"/>
      <c r="K2171" s="266">
        <f t="shared" si="514"/>
        <v>2021</v>
      </c>
      <c r="L2171" s="393" t="s">
        <v>5702</v>
      </c>
      <c r="M2171" s="393" t="s">
        <v>5703</v>
      </c>
      <c r="N2171" s="163" t="s">
        <v>5704</v>
      </c>
      <c r="Q2171" s="246"/>
      <c r="R2171" s="144">
        <v>705</v>
      </c>
      <c r="S2171" s="144">
        <v>640</v>
      </c>
      <c r="T2171" s="144">
        <v>1345</v>
      </c>
      <c r="U2171" s="201">
        <v>240</v>
      </c>
      <c r="V2171" s="287">
        <f t="shared" ca="1" si="515"/>
        <v>9</v>
      </c>
      <c r="W2171" s="75">
        <f t="shared" ca="1" si="516"/>
        <v>2480</v>
      </c>
      <c r="X2171" s="200">
        <f t="shared" ca="1" si="517"/>
        <v>3585</v>
      </c>
      <c r="Y2171"/>
      <c r="Z2171" s="156">
        <v>0.1</v>
      </c>
      <c r="AA2171" s="227">
        <v>0.09</v>
      </c>
      <c r="AB2171" s="312" t="s">
        <v>8012</v>
      </c>
      <c r="AF2171">
        <f t="shared" si="512"/>
        <v>0</v>
      </c>
    </row>
    <row r="2172" spans="1:32" hidden="1" x14ac:dyDescent="0.25">
      <c r="A2172" s="333"/>
      <c r="C2172"/>
      <c r="E2172" s="93"/>
      <c r="F2172" s="93"/>
      <c r="G2172" s="155"/>
      <c r="I2172" s="93"/>
      <c r="J2172" s="166"/>
      <c r="K2172" s="166"/>
      <c r="L2172" s="393"/>
      <c r="M2172" s="393"/>
      <c r="N2172" s="163" t="s">
        <v>5511</v>
      </c>
      <c r="Q2172" s="245"/>
      <c r="Y2172"/>
      <c r="Z2172" s="168"/>
      <c r="AA2172" s="229"/>
      <c r="AF2172">
        <f t="shared" si="512"/>
        <v>0</v>
      </c>
    </row>
    <row r="2173" spans="1:32" hidden="1" x14ac:dyDescent="0.25">
      <c r="A2173" s="333"/>
      <c r="C2173"/>
      <c r="D2173" s="143" t="s">
        <v>5619</v>
      </c>
      <c r="E2173" s="93"/>
      <c r="F2173" s="93"/>
      <c r="G2173" s="155"/>
      <c r="I2173" s="93"/>
      <c r="J2173" s="166"/>
      <c r="K2173" s="166"/>
      <c r="L2173" s="393"/>
      <c r="M2173" s="393"/>
      <c r="N2173" s="163" t="s">
        <v>5511</v>
      </c>
      <c r="Q2173" s="245"/>
      <c r="R2173" s="158">
        <v>21655</v>
      </c>
      <c r="S2173" s="158">
        <v>290622</v>
      </c>
      <c r="T2173" s="158">
        <v>312277</v>
      </c>
      <c r="U2173" s="213"/>
      <c r="V2173" s="169"/>
      <c r="W2173" s="169"/>
      <c r="X2173" s="213"/>
      <c r="Y2173"/>
      <c r="Z2173" s="168"/>
      <c r="AA2173" s="229"/>
      <c r="AF2173">
        <f t="shared" si="512"/>
        <v>0</v>
      </c>
    </row>
    <row r="2174" spans="1:32" ht="15.75" hidden="1" thickTop="1" x14ac:dyDescent="0.25">
      <c r="A2174" s="333"/>
      <c r="C2174"/>
      <c r="E2174" s="93"/>
      <c r="F2174" s="93"/>
      <c r="G2174" s="155"/>
      <c r="I2174" s="93"/>
      <c r="J2174" s="166"/>
      <c r="K2174" s="166"/>
      <c r="L2174" s="393"/>
      <c r="M2174" s="393"/>
      <c r="N2174" s="163" t="s">
        <v>5511</v>
      </c>
      <c r="Q2174" s="245"/>
      <c r="R2174" s="160"/>
      <c r="S2174" s="160"/>
      <c r="T2174" s="160"/>
      <c r="Y2174"/>
      <c r="Z2174" s="168"/>
      <c r="AA2174" s="229"/>
      <c r="AF2174">
        <f t="shared" si="512"/>
        <v>0</v>
      </c>
    </row>
    <row r="2175" spans="1:32" ht="30" hidden="1" x14ac:dyDescent="0.25">
      <c r="A2175" s="332" t="s">
        <v>5705</v>
      </c>
      <c r="B2175" s="93" t="str">
        <f t="shared" si="511"/>
        <v>YES</v>
      </c>
      <c r="C2175" t="s">
        <v>5505</v>
      </c>
      <c r="D2175" s="95">
        <v>40834</v>
      </c>
      <c r="E2175" s="95">
        <v>40878</v>
      </c>
      <c r="F2175" s="2">
        <f t="shared" ref="F2175:F2188" si="518">DATE(YEAR(E2175)+10,MONTH(E2175),DAY(E2175))</f>
        <v>44531</v>
      </c>
      <c r="G2175" s="155">
        <v>200</v>
      </c>
      <c r="H2175" s="93" t="s">
        <v>5706</v>
      </c>
      <c r="I2175" s="93" t="s">
        <v>5622</v>
      </c>
      <c r="J2175" s="166"/>
      <c r="K2175" s="266">
        <f t="shared" ref="K2175:K2188" si="519">YEAR(F2175)</f>
        <v>2021</v>
      </c>
      <c r="L2175" s="393" t="s">
        <v>5707</v>
      </c>
      <c r="M2175" s="393" t="s">
        <v>5708</v>
      </c>
      <c r="N2175" s="163" t="s">
        <v>5709</v>
      </c>
      <c r="Q2175" s="243"/>
      <c r="R2175" s="144">
        <v>845</v>
      </c>
      <c r="S2175" s="144">
        <v>17600</v>
      </c>
      <c r="T2175" s="144">
        <v>18445</v>
      </c>
      <c r="U2175" s="201">
        <v>300</v>
      </c>
      <c r="V2175" s="287">
        <f t="shared" ref="V2175:V2188" ca="1" si="520">IF(YEAR($W$3)-YEAR(E2175)&gt;9,10,IF(MONTH($W$3)&lt;MONTH(E2175),YEAR($W$3)-YEAR(E2175),YEAR($W$3)-YEAR(E2175)+1))</f>
        <v>9</v>
      </c>
      <c r="W2175" s="75">
        <f t="shared" ref="W2175:W2188" ca="1" si="521">IF(V2175&lt;6, ROUNDUP(G2175,0)*$W$6*V2175, ROUNDUP(G2175,0)*($W$6*5 + (V2175-5)*$W$7))</f>
        <v>3100</v>
      </c>
      <c r="X2175" s="200">
        <f t="shared" ref="X2175:X2188" ca="1" si="522">IF(V2175=0,T2175,((T2175-ROUNDUP(G2175,0)*1.5)+W2175))</f>
        <v>21245</v>
      </c>
      <c r="Y2175"/>
      <c r="Z2175" s="156">
        <v>0.1</v>
      </c>
      <c r="AA2175" s="227">
        <v>0.09</v>
      </c>
      <c r="AB2175" s="312" t="s">
        <v>8131</v>
      </c>
      <c r="AF2175">
        <f t="shared" si="512"/>
        <v>0</v>
      </c>
    </row>
    <row r="2176" spans="1:32" ht="45" hidden="1" x14ac:dyDescent="0.25">
      <c r="A2176" s="332" t="s">
        <v>5710</v>
      </c>
      <c r="B2176" s="93" t="str">
        <f t="shared" si="511"/>
        <v>YES</v>
      </c>
      <c r="C2176" t="s">
        <v>5505</v>
      </c>
      <c r="D2176" s="95">
        <v>40834</v>
      </c>
      <c r="E2176" s="95">
        <v>40878</v>
      </c>
      <c r="F2176" s="2">
        <f t="shared" si="518"/>
        <v>44531</v>
      </c>
      <c r="G2176" s="155">
        <v>254</v>
      </c>
      <c r="H2176" s="93" t="s">
        <v>5706</v>
      </c>
      <c r="I2176" s="93" t="s">
        <v>5622</v>
      </c>
      <c r="J2176" s="166"/>
      <c r="K2176" s="266">
        <f t="shared" si="519"/>
        <v>2021</v>
      </c>
      <c r="L2176" s="393" t="s">
        <v>5711</v>
      </c>
      <c r="M2176" s="393" t="s">
        <v>5712</v>
      </c>
      <c r="N2176" s="163" t="s">
        <v>5713</v>
      </c>
      <c r="Q2176" s="243"/>
      <c r="R2176" s="144">
        <v>1034</v>
      </c>
      <c r="S2176" s="144">
        <v>14732</v>
      </c>
      <c r="T2176" s="144">
        <v>15766</v>
      </c>
      <c r="U2176" s="201">
        <v>381</v>
      </c>
      <c r="V2176" s="287">
        <f t="shared" ca="1" si="520"/>
        <v>9</v>
      </c>
      <c r="W2176" s="75">
        <f t="shared" ca="1" si="521"/>
        <v>3937</v>
      </c>
      <c r="X2176" s="200">
        <f t="shared" ca="1" si="522"/>
        <v>19322</v>
      </c>
      <c r="Y2176"/>
      <c r="Z2176" s="156">
        <v>0.1</v>
      </c>
      <c r="AA2176" s="227">
        <v>0.09</v>
      </c>
      <c r="AB2176" s="312" t="s">
        <v>8131</v>
      </c>
      <c r="AF2176">
        <f t="shared" si="512"/>
        <v>0</v>
      </c>
    </row>
    <row r="2177" spans="1:32" ht="45" hidden="1" x14ac:dyDescent="0.25">
      <c r="A2177" s="332" t="s">
        <v>5714</v>
      </c>
      <c r="B2177" s="93" t="str">
        <f t="shared" si="511"/>
        <v>YES</v>
      </c>
      <c r="C2177" t="s">
        <v>5505</v>
      </c>
      <c r="D2177" s="95">
        <v>40834</v>
      </c>
      <c r="E2177" s="95">
        <v>40878</v>
      </c>
      <c r="F2177" s="2">
        <f t="shared" si="518"/>
        <v>44531</v>
      </c>
      <c r="G2177" s="155">
        <v>231</v>
      </c>
      <c r="H2177" s="93" t="s">
        <v>5706</v>
      </c>
      <c r="I2177" s="93" t="s">
        <v>5622</v>
      </c>
      <c r="J2177" s="166"/>
      <c r="K2177" s="266">
        <f t="shared" si="519"/>
        <v>2021</v>
      </c>
      <c r="L2177" s="393" t="s">
        <v>5711</v>
      </c>
      <c r="M2177" s="393" t="s">
        <v>5715</v>
      </c>
      <c r="N2177" s="163" t="s">
        <v>5716</v>
      </c>
      <c r="Q2177" s="243"/>
      <c r="R2177" s="144">
        <v>953.5</v>
      </c>
      <c r="S2177" s="144">
        <v>13398</v>
      </c>
      <c r="T2177" s="144">
        <v>14351.5</v>
      </c>
      <c r="U2177" s="201">
        <v>346.5</v>
      </c>
      <c r="V2177" s="287">
        <f t="shared" ca="1" si="520"/>
        <v>9</v>
      </c>
      <c r="W2177" s="75">
        <f t="shared" ca="1" si="521"/>
        <v>3580.5</v>
      </c>
      <c r="X2177" s="200">
        <f t="shared" ca="1" si="522"/>
        <v>17585.5</v>
      </c>
      <c r="Y2177"/>
      <c r="Z2177" s="156">
        <v>0.1</v>
      </c>
      <c r="AA2177" s="227">
        <v>0.09</v>
      </c>
      <c r="AB2177" s="312" t="s">
        <v>8131</v>
      </c>
      <c r="AF2177">
        <f t="shared" si="512"/>
        <v>0</v>
      </c>
    </row>
    <row r="2178" spans="1:32" ht="60" hidden="1" x14ac:dyDescent="0.25">
      <c r="A2178" s="332" t="s">
        <v>5717</v>
      </c>
      <c r="B2178" s="93" t="str">
        <f t="shared" si="511"/>
        <v>YES</v>
      </c>
      <c r="C2178" t="s">
        <v>5505</v>
      </c>
      <c r="D2178" s="95">
        <v>40834</v>
      </c>
      <c r="E2178" s="95">
        <v>40878</v>
      </c>
      <c r="F2178" s="2">
        <f t="shared" si="518"/>
        <v>44531</v>
      </c>
      <c r="G2178" s="155">
        <v>548</v>
      </c>
      <c r="H2178" s="93" t="s">
        <v>5706</v>
      </c>
      <c r="I2178" s="93" t="s">
        <v>5622</v>
      </c>
      <c r="J2178" s="166"/>
      <c r="K2178" s="266">
        <f t="shared" si="519"/>
        <v>2021</v>
      </c>
      <c r="L2178" s="393" t="s">
        <v>5711</v>
      </c>
      <c r="M2178" s="393" t="s">
        <v>5715</v>
      </c>
      <c r="N2178" s="163" t="s">
        <v>5718</v>
      </c>
      <c r="Q2178" s="243"/>
      <c r="R2178" s="144">
        <v>2063</v>
      </c>
      <c r="S2178" s="144">
        <v>34524</v>
      </c>
      <c r="T2178" s="144">
        <v>36587</v>
      </c>
      <c r="U2178" s="201">
        <v>822</v>
      </c>
      <c r="V2178" s="287">
        <f t="shared" ca="1" si="520"/>
        <v>9</v>
      </c>
      <c r="W2178" s="75">
        <f t="shared" ca="1" si="521"/>
        <v>8494</v>
      </c>
      <c r="X2178" s="200">
        <f t="shared" ca="1" si="522"/>
        <v>44259</v>
      </c>
      <c r="Y2178"/>
      <c r="Z2178" s="156">
        <v>0.1</v>
      </c>
      <c r="AA2178" s="227">
        <v>0.09</v>
      </c>
      <c r="AB2178" s="312" t="s">
        <v>8131</v>
      </c>
      <c r="AF2178">
        <f t="shared" si="512"/>
        <v>0</v>
      </c>
    </row>
    <row r="2179" spans="1:32" ht="30" hidden="1" x14ac:dyDescent="0.25">
      <c r="A2179" s="332" t="s">
        <v>5719</v>
      </c>
      <c r="B2179" s="93" t="str">
        <f t="shared" si="511"/>
        <v>YES</v>
      </c>
      <c r="C2179" t="s">
        <v>5505</v>
      </c>
      <c r="D2179" s="95">
        <v>40834</v>
      </c>
      <c r="E2179" s="95">
        <v>40878</v>
      </c>
      <c r="F2179" s="2">
        <f t="shared" si="518"/>
        <v>44531</v>
      </c>
      <c r="G2179" s="155">
        <v>40</v>
      </c>
      <c r="H2179" s="93" t="s">
        <v>5706</v>
      </c>
      <c r="I2179" s="93" t="s">
        <v>5622</v>
      </c>
      <c r="J2179" s="166"/>
      <c r="K2179" s="266">
        <f t="shared" si="519"/>
        <v>2021</v>
      </c>
      <c r="L2179" s="393" t="s">
        <v>5720</v>
      </c>
      <c r="M2179" s="393" t="s">
        <v>5715</v>
      </c>
      <c r="N2179" s="163" t="s">
        <v>5721</v>
      </c>
      <c r="Q2179" s="243"/>
      <c r="R2179" s="144">
        <v>285</v>
      </c>
      <c r="S2179" s="144">
        <v>2320</v>
      </c>
      <c r="T2179" s="144">
        <v>2605</v>
      </c>
      <c r="U2179" s="201">
        <v>60</v>
      </c>
      <c r="V2179" s="287">
        <f t="shared" ca="1" si="520"/>
        <v>9</v>
      </c>
      <c r="W2179" s="75">
        <f t="shared" ca="1" si="521"/>
        <v>620</v>
      </c>
      <c r="X2179" s="200">
        <f t="shared" ca="1" si="522"/>
        <v>3165</v>
      </c>
      <c r="Y2179"/>
      <c r="Z2179" s="156">
        <v>0.1</v>
      </c>
      <c r="AA2179" s="227">
        <v>0.09</v>
      </c>
      <c r="AB2179" s="312" t="s">
        <v>8131</v>
      </c>
      <c r="AF2179">
        <f t="shared" si="512"/>
        <v>0</v>
      </c>
    </row>
    <row r="2180" spans="1:32" ht="30" hidden="1" x14ac:dyDescent="0.25">
      <c r="A2180" s="332" t="s">
        <v>5722</v>
      </c>
      <c r="B2180" s="93" t="str">
        <f t="shared" si="511"/>
        <v>YES</v>
      </c>
      <c r="C2180" t="s">
        <v>5505</v>
      </c>
      <c r="D2180" s="95">
        <v>40834</v>
      </c>
      <c r="E2180" s="95">
        <v>40878</v>
      </c>
      <c r="F2180" s="2">
        <f t="shared" si="518"/>
        <v>44531</v>
      </c>
      <c r="G2180" s="155">
        <v>80</v>
      </c>
      <c r="H2180" s="93" t="s">
        <v>5706</v>
      </c>
      <c r="I2180" s="93" t="s">
        <v>5622</v>
      </c>
      <c r="J2180" s="166"/>
      <c r="K2180" s="266">
        <f t="shared" si="519"/>
        <v>2021</v>
      </c>
      <c r="L2180" s="393" t="s">
        <v>5720</v>
      </c>
      <c r="M2180" s="393" t="s">
        <v>5715</v>
      </c>
      <c r="N2180" s="163" t="s">
        <v>5723</v>
      </c>
      <c r="Q2180" s="243"/>
      <c r="R2180" s="144">
        <v>425</v>
      </c>
      <c r="S2180" s="144">
        <v>4640</v>
      </c>
      <c r="T2180" s="144">
        <v>5065</v>
      </c>
      <c r="U2180" s="201">
        <v>120</v>
      </c>
      <c r="V2180" s="287">
        <f t="shared" ca="1" si="520"/>
        <v>9</v>
      </c>
      <c r="W2180" s="75">
        <f t="shared" ca="1" si="521"/>
        <v>1240</v>
      </c>
      <c r="X2180" s="200">
        <f t="shared" ca="1" si="522"/>
        <v>6185</v>
      </c>
      <c r="Y2180"/>
      <c r="Z2180" s="156">
        <v>0.1</v>
      </c>
      <c r="AA2180" s="227">
        <v>0.09</v>
      </c>
      <c r="AB2180" s="312" t="s">
        <v>8131</v>
      </c>
      <c r="AF2180">
        <f t="shared" si="512"/>
        <v>0</v>
      </c>
    </row>
    <row r="2181" spans="1:32" ht="30" hidden="1" x14ac:dyDescent="0.25">
      <c r="A2181" s="332" t="s">
        <v>5724</v>
      </c>
      <c r="B2181" s="93" t="str">
        <f t="shared" si="511"/>
        <v>YES</v>
      </c>
      <c r="C2181" t="s">
        <v>5505</v>
      </c>
      <c r="D2181" s="95">
        <v>40834</v>
      </c>
      <c r="E2181" s="95">
        <v>40878</v>
      </c>
      <c r="F2181" s="2">
        <f t="shared" si="518"/>
        <v>44531</v>
      </c>
      <c r="G2181" s="155">
        <v>42</v>
      </c>
      <c r="H2181" s="93" t="s">
        <v>5706</v>
      </c>
      <c r="I2181" s="93" t="s">
        <v>5622</v>
      </c>
      <c r="J2181" s="166"/>
      <c r="K2181" s="266">
        <f t="shared" si="519"/>
        <v>2021</v>
      </c>
      <c r="L2181" s="393" t="s">
        <v>5711</v>
      </c>
      <c r="M2181" s="393" t="s">
        <v>5725</v>
      </c>
      <c r="N2181" s="163" t="s">
        <v>5726</v>
      </c>
      <c r="Q2181" s="243"/>
      <c r="R2181" s="144">
        <v>292</v>
      </c>
      <c r="S2181" s="144">
        <v>3486</v>
      </c>
      <c r="T2181" s="144">
        <v>3778</v>
      </c>
      <c r="U2181" s="201">
        <v>63</v>
      </c>
      <c r="V2181" s="287">
        <f t="shared" ca="1" si="520"/>
        <v>9</v>
      </c>
      <c r="W2181" s="75">
        <f t="shared" ca="1" si="521"/>
        <v>651</v>
      </c>
      <c r="X2181" s="200">
        <f t="shared" ca="1" si="522"/>
        <v>4366</v>
      </c>
      <c r="Y2181"/>
      <c r="Z2181" s="156">
        <v>0.1</v>
      </c>
      <c r="AA2181" s="227">
        <v>0.09</v>
      </c>
      <c r="AB2181" s="312" t="s">
        <v>8131</v>
      </c>
      <c r="AF2181">
        <f t="shared" si="512"/>
        <v>0</v>
      </c>
    </row>
    <row r="2182" spans="1:32" ht="30" hidden="1" x14ac:dyDescent="0.25">
      <c r="A2182" s="332" t="s">
        <v>5727</v>
      </c>
      <c r="B2182" s="93" t="str">
        <f t="shared" si="511"/>
        <v>YES</v>
      </c>
      <c r="C2182" t="s">
        <v>5505</v>
      </c>
      <c r="D2182" s="95">
        <v>40834</v>
      </c>
      <c r="E2182" s="95">
        <v>40878</v>
      </c>
      <c r="F2182" s="2">
        <f t="shared" si="518"/>
        <v>44531</v>
      </c>
      <c r="G2182" s="155">
        <v>80</v>
      </c>
      <c r="H2182" s="93" t="s">
        <v>5706</v>
      </c>
      <c r="I2182" s="93" t="s">
        <v>5622</v>
      </c>
      <c r="J2182" s="166"/>
      <c r="K2182" s="266">
        <f t="shared" si="519"/>
        <v>2021</v>
      </c>
      <c r="L2182" s="393" t="s">
        <v>5711</v>
      </c>
      <c r="M2182" s="393" t="s">
        <v>5725</v>
      </c>
      <c r="N2182" s="163" t="s">
        <v>5728</v>
      </c>
      <c r="Q2182" s="243"/>
      <c r="R2182" s="144">
        <v>425</v>
      </c>
      <c r="S2182" s="144">
        <v>5440</v>
      </c>
      <c r="T2182" s="144">
        <v>5865</v>
      </c>
      <c r="U2182" s="201">
        <v>120</v>
      </c>
      <c r="V2182" s="287">
        <f t="shared" ca="1" si="520"/>
        <v>9</v>
      </c>
      <c r="W2182" s="75">
        <f t="shared" ca="1" si="521"/>
        <v>1240</v>
      </c>
      <c r="X2182" s="200">
        <f t="shared" ca="1" si="522"/>
        <v>6985</v>
      </c>
      <c r="Y2182"/>
      <c r="Z2182" s="156">
        <v>0.1</v>
      </c>
      <c r="AA2182" s="227">
        <v>0.09</v>
      </c>
      <c r="AB2182" s="312" t="s">
        <v>8131</v>
      </c>
      <c r="AF2182">
        <f t="shared" si="512"/>
        <v>0</v>
      </c>
    </row>
    <row r="2183" spans="1:32" ht="30" hidden="1" x14ac:dyDescent="0.25">
      <c r="A2183" s="332" t="s">
        <v>5729</v>
      </c>
      <c r="B2183" s="93" t="str">
        <f t="shared" si="511"/>
        <v>YES</v>
      </c>
      <c r="C2183" t="s">
        <v>5505</v>
      </c>
      <c r="D2183" s="95">
        <v>40834</v>
      </c>
      <c r="E2183" s="95">
        <v>40878</v>
      </c>
      <c r="F2183" s="2">
        <f t="shared" si="518"/>
        <v>44531</v>
      </c>
      <c r="G2183" s="155">
        <v>85</v>
      </c>
      <c r="H2183" s="93" t="s">
        <v>5706</v>
      </c>
      <c r="I2183" s="93" t="s">
        <v>5622</v>
      </c>
      <c r="J2183" s="166"/>
      <c r="K2183" s="266">
        <f t="shared" si="519"/>
        <v>2021</v>
      </c>
      <c r="L2183" s="393" t="s">
        <v>5711</v>
      </c>
      <c r="M2183" s="393" t="s">
        <v>5730</v>
      </c>
      <c r="N2183" s="163" t="s">
        <v>5731</v>
      </c>
      <c r="Q2183" s="243"/>
      <c r="R2183" s="144">
        <v>442.5</v>
      </c>
      <c r="S2183" s="144">
        <v>8755</v>
      </c>
      <c r="T2183" s="144">
        <v>9197.5</v>
      </c>
      <c r="U2183" s="201">
        <v>127.5</v>
      </c>
      <c r="V2183" s="287">
        <f t="shared" ca="1" si="520"/>
        <v>9</v>
      </c>
      <c r="W2183" s="75">
        <f t="shared" ca="1" si="521"/>
        <v>1317.5</v>
      </c>
      <c r="X2183" s="200">
        <f t="shared" ca="1" si="522"/>
        <v>10387.5</v>
      </c>
      <c r="Y2183"/>
      <c r="Z2183" s="156">
        <v>0.1</v>
      </c>
      <c r="AA2183" s="227">
        <v>0.09</v>
      </c>
      <c r="AB2183" s="312" t="s">
        <v>8131</v>
      </c>
      <c r="AF2183">
        <f t="shared" si="512"/>
        <v>0</v>
      </c>
    </row>
    <row r="2184" spans="1:32" ht="30" hidden="1" x14ac:dyDescent="0.25">
      <c r="A2184" s="332" t="s">
        <v>5732</v>
      </c>
      <c r="B2184" s="93" t="str">
        <f t="shared" si="511"/>
        <v>YES</v>
      </c>
      <c r="C2184" t="s">
        <v>5505</v>
      </c>
      <c r="D2184" s="95">
        <v>40834</v>
      </c>
      <c r="E2184" s="95">
        <v>40878</v>
      </c>
      <c r="F2184" s="2">
        <f t="shared" si="518"/>
        <v>44531</v>
      </c>
      <c r="G2184" s="155">
        <v>43</v>
      </c>
      <c r="H2184" s="93" t="s">
        <v>5706</v>
      </c>
      <c r="I2184" s="93" t="s">
        <v>5622</v>
      </c>
      <c r="J2184" s="166"/>
      <c r="K2184" s="266">
        <f t="shared" si="519"/>
        <v>2021</v>
      </c>
      <c r="L2184" s="393" t="s">
        <v>5711</v>
      </c>
      <c r="M2184" s="393" t="s">
        <v>5730</v>
      </c>
      <c r="N2184" s="163" t="s">
        <v>5733</v>
      </c>
      <c r="Q2184" s="243"/>
      <c r="R2184" s="144">
        <v>295.5</v>
      </c>
      <c r="S2184" s="144">
        <v>3784</v>
      </c>
      <c r="T2184" s="144">
        <v>4079.5</v>
      </c>
      <c r="U2184" s="201">
        <v>64.5</v>
      </c>
      <c r="V2184" s="287">
        <f t="shared" ca="1" si="520"/>
        <v>9</v>
      </c>
      <c r="W2184" s="75">
        <f t="shared" ca="1" si="521"/>
        <v>666.5</v>
      </c>
      <c r="X2184" s="200">
        <f t="shared" ca="1" si="522"/>
        <v>4681.5</v>
      </c>
      <c r="Y2184"/>
      <c r="Z2184" s="156">
        <v>0.1</v>
      </c>
      <c r="AA2184" s="227">
        <v>0.09</v>
      </c>
      <c r="AB2184" s="312" t="s">
        <v>8131</v>
      </c>
      <c r="AF2184">
        <f t="shared" si="512"/>
        <v>0</v>
      </c>
    </row>
    <row r="2185" spans="1:32" ht="30" hidden="1" x14ac:dyDescent="0.25">
      <c r="A2185" s="332" t="s">
        <v>5734</v>
      </c>
      <c r="B2185" s="93" t="str">
        <f t="shared" si="511"/>
        <v>YES</v>
      </c>
      <c r="C2185" t="s">
        <v>5505</v>
      </c>
      <c r="D2185" s="95">
        <v>40834</v>
      </c>
      <c r="E2185" s="95">
        <v>40878</v>
      </c>
      <c r="F2185" s="2">
        <f t="shared" si="518"/>
        <v>44531</v>
      </c>
      <c r="G2185" s="155">
        <v>40</v>
      </c>
      <c r="H2185" s="93" t="s">
        <v>5706</v>
      </c>
      <c r="I2185" s="93" t="s">
        <v>5622</v>
      </c>
      <c r="J2185" s="166"/>
      <c r="K2185" s="266">
        <f t="shared" si="519"/>
        <v>2021</v>
      </c>
      <c r="L2185" s="393" t="s">
        <v>5711</v>
      </c>
      <c r="M2185" s="393" t="s">
        <v>5730</v>
      </c>
      <c r="N2185" s="163" t="s">
        <v>5735</v>
      </c>
      <c r="Q2185" s="243"/>
      <c r="R2185" s="144">
        <v>285</v>
      </c>
      <c r="S2185" s="144">
        <v>2920</v>
      </c>
      <c r="T2185" s="144">
        <v>3205</v>
      </c>
      <c r="U2185" s="201">
        <v>60</v>
      </c>
      <c r="V2185" s="287">
        <f t="shared" ca="1" si="520"/>
        <v>9</v>
      </c>
      <c r="W2185" s="75">
        <f t="shared" ca="1" si="521"/>
        <v>620</v>
      </c>
      <c r="X2185" s="200">
        <f t="shared" ca="1" si="522"/>
        <v>3765</v>
      </c>
      <c r="Y2185"/>
      <c r="Z2185" s="156">
        <v>0.1</v>
      </c>
      <c r="AA2185" s="227">
        <v>0.09</v>
      </c>
      <c r="AB2185" s="312" t="s">
        <v>8131</v>
      </c>
      <c r="AF2185">
        <f t="shared" si="512"/>
        <v>0</v>
      </c>
    </row>
    <row r="2186" spans="1:32" ht="30" hidden="1" x14ac:dyDescent="0.25">
      <c r="A2186" s="332" t="s">
        <v>5736</v>
      </c>
      <c r="B2186" s="93" t="str">
        <f t="shared" si="511"/>
        <v>YES</v>
      </c>
      <c r="C2186" t="s">
        <v>5505</v>
      </c>
      <c r="D2186" s="95">
        <v>40834</v>
      </c>
      <c r="E2186" s="95">
        <v>40878</v>
      </c>
      <c r="F2186" s="2">
        <f t="shared" si="518"/>
        <v>44531</v>
      </c>
      <c r="G2186" s="155">
        <v>54</v>
      </c>
      <c r="H2186" s="93" t="s">
        <v>5706</v>
      </c>
      <c r="I2186" s="93" t="s">
        <v>5622</v>
      </c>
      <c r="J2186" s="166"/>
      <c r="K2186" s="266">
        <f t="shared" si="519"/>
        <v>2021</v>
      </c>
      <c r="L2186" s="393" t="s">
        <v>5711</v>
      </c>
      <c r="M2186" s="393" t="s">
        <v>5730</v>
      </c>
      <c r="N2186" s="163" t="s">
        <v>5737</v>
      </c>
      <c r="Q2186" s="243"/>
      <c r="R2186" s="144">
        <v>334</v>
      </c>
      <c r="S2186" s="144">
        <v>4752</v>
      </c>
      <c r="T2186" s="144">
        <v>5086</v>
      </c>
      <c r="U2186" s="201">
        <v>81</v>
      </c>
      <c r="V2186" s="287">
        <f t="shared" ca="1" si="520"/>
        <v>9</v>
      </c>
      <c r="W2186" s="75">
        <f t="shared" ca="1" si="521"/>
        <v>837</v>
      </c>
      <c r="X2186" s="200">
        <f t="shared" ca="1" si="522"/>
        <v>5842</v>
      </c>
      <c r="Y2186"/>
      <c r="Z2186" s="156">
        <v>0.1</v>
      </c>
      <c r="AA2186" s="227">
        <v>0.09</v>
      </c>
      <c r="AB2186" s="312" t="s">
        <v>8131</v>
      </c>
      <c r="AF2186">
        <f t="shared" si="512"/>
        <v>0</v>
      </c>
    </row>
    <row r="2187" spans="1:32" ht="30" hidden="1" x14ac:dyDescent="0.25">
      <c r="A2187" s="332" t="s">
        <v>5738</v>
      </c>
      <c r="B2187" s="93" t="str">
        <f t="shared" si="511"/>
        <v>YES</v>
      </c>
      <c r="C2187" t="s">
        <v>5505</v>
      </c>
      <c r="D2187" s="95">
        <v>40834</v>
      </c>
      <c r="E2187" s="95">
        <v>40878</v>
      </c>
      <c r="F2187" s="2">
        <f t="shared" si="518"/>
        <v>44531</v>
      </c>
      <c r="G2187" s="155">
        <v>40</v>
      </c>
      <c r="H2187" s="93" t="s">
        <v>5706</v>
      </c>
      <c r="I2187" s="93" t="s">
        <v>5622</v>
      </c>
      <c r="J2187" s="166"/>
      <c r="K2187" s="266">
        <f t="shared" si="519"/>
        <v>2021</v>
      </c>
      <c r="L2187" s="393" t="s">
        <v>5720</v>
      </c>
      <c r="M2187" s="393" t="s">
        <v>5730</v>
      </c>
      <c r="N2187" s="163" t="s">
        <v>5739</v>
      </c>
      <c r="Q2187" s="243"/>
      <c r="R2187" s="144">
        <v>285</v>
      </c>
      <c r="S2187" s="144">
        <v>2720</v>
      </c>
      <c r="T2187" s="144">
        <v>3005</v>
      </c>
      <c r="U2187" s="201">
        <v>60</v>
      </c>
      <c r="V2187" s="287">
        <f t="shared" ca="1" si="520"/>
        <v>9</v>
      </c>
      <c r="W2187" s="75">
        <f t="shared" ca="1" si="521"/>
        <v>620</v>
      </c>
      <c r="X2187" s="200">
        <f t="shared" ca="1" si="522"/>
        <v>3565</v>
      </c>
      <c r="Y2187"/>
      <c r="Z2187" s="156">
        <v>0.1</v>
      </c>
      <c r="AA2187" s="227">
        <v>0.09</v>
      </c>
      <c r="AB2187" s="312" t="s">
        <v>8131</v>
      </c>
      <c r="AF2187">
        <f t="shared" si="512"/>
        <v>0</v>
      </c>
    </row>
    <row r="2188" spans="1:32" ht="60" hidden="1" x14ac:dyDescent="0.25">
      <c r="A2188" s="332" t="s">
        <v>5740</v>
      </c>
      <c r="B2188" s="93" t="str">
        <f t="shared" si="511"/>
        <v>YES</v>
      </c>
      <c r="C2188" t="s">
        <v>5505</v>
      </c>
      <c r="D2188" s="95">
        <v>40834</v>
      </c>
      <c r="E2188" s="95">
        <v>40878</v>
      </c>
      <c r="F2188" s="2">
        <f t="shared" si="518"/>
        <v>44531</v>
      </c>
      <c r="G2188" s="155">
        <v>1062.72</v>
      </c>
      <c r="H2188" s="93" t="s">
        <v>5334</v>
      </c>
      <c r="I2188" s="93" t="s">
        <v>5306</v>
      </c>
      <c r="J2188" s="166"/>
      <c r="K2188" s="266">
        <f t="shared" si="519"/>
        <v>2021</v>
      </c>
      <c r="L2188" s="393" t="s">
        <v>5741</v>
      </c>
      <c r="M2188" s="393" t="s">
        <v>5683</v>
      </c>
      <c r="N2188" s="163" t="s">
        <v>5742</v>
      </c>
      <c r="Q2188" s="243"/>
      <c r="R2188" s="144">
        <v>3865.5</v>
      </c>
      <c r="S2188" s="144">
        <v>29764</v>
      </c>
      <c r="T2188" s="144">
        <v>33629.5</v>
      </c>
      <c r="U2188" s="201">
        <v>1594.5</v>
      </c>
      <c r="V2188" s="287">
        <f t="shared" ca="1" si="520"/>
        <v>9</v>
      </c>
      <c r="W2188" s="75">
        <f t="shared" ca="1" si="521"/>
        <v>16476.5</v>
      </c>
      <c r="X2188" s="200">
        <f t="shared" ca="1" si="522"/>
        <v>48511.5</v>
      </c>
      <c r="Y2188"/>
      <c r="Z2188" s="156">
        <v>0.1</v>
      </c>
      <c r="AA2188" s="227">
        <v>0.09</v>
      </c>
      <c r="AB2188" s="312" t="s">
        <v>8126</v>
      </c>
      <c r="AF2188">
        <f t="shared" si="512"/>
        <v>0</v>
      </c>
    </row>
    <row r="2189" spans="1:32" hidden="1" x14ac:dyDescent="0.25">
      <c r="A2189" s="334"/>
      <c r="C2189"/>
      <c r="E2189" s="93"/>
      <c r="F2189" s="93"/>
      <c r="G2189" s="155"/>
      <c r="I2189" s="93"/>
      <c r="J2189" s="166"/>
      <c r="K2189" s="166"/>
      <c r="L2189" s="393"/>
      <c r="M2189" s="393"/>
      <c r="N2189" s="163" t="s">
        <v>5511</v>
      </c>
      <c r="Q2189" s="245"/>
      <c r="Y2189"/>
      <c r="Z2189" s="168"/>
      <c r="AA2189" s="229"/>
      <c r="AF2189">
        <f t="shared" si="512"/>
        <v>0</v>
      </c>
    </row>
    <row r="2190" spans="1:32" hidden="1" x14ac:dyDescent="0.25">
      <c r="A2190" s="334"/>
      <c r="C2190"/>
      <c r="D2190" s="143" t="s">
        <v>5619</v>
      </c>
      <c r="E2190" s="93"/>
      <c r="F2190" s="93"/>
      <c r="G2190" s="172"/>
      <c r="I2190" s="93"/>
      <c r="J2190" s="166"/>
      <c r="K2190" s="166"/>
      <c r="L2190" s="393"/>
      <c r="M2190" s="393"/>
      <c r="N2190" s="163" t="s">
        <v>5511</v>
      </c>
      <c r="Q2190" s="245"/>
      <c r="R2190" s="158">
        <v>11830</v>
      </c>
      <c r="S2190" s="158">
        <v>148835</v>
      </c>
      <c r="T2190" s="158">
        <v>160665</v>
      </c>
      <c r="U2190" s="213"/>
      <c r="V2190" s="169"/>
      <c r="W2190" s="169"/>
      <c r="X2190" s="213"/>
      <c r="Y2190"/>
      <c r="Z2190" s="168"/>
      <c r="AA2190" s="229"/>
      <c r="AF2190">
        <f t="shared" si="512"/>
        <v>0</v>
      </c>
    </row>
    <row r="2191" spans="1:32" ht="15.75" hidden="1" thickTop="1" x14ac:dyDescent="0.25">
      <c r="A2191" s="334"/>
      <c r="C2191"/>
      <c r="E2191" s="93"/>
      <c r="F2191" s="93"/>
      <c r="G2191" s="155"/>
      <c r="I2191" s="93"/>
      <c r="J2191" s="166"/>
      <c r="K2191" s="166"/>
      <c r="L2191" s="393"/>
      <c r="M2191" s="393"/>
      <c r="N2191" s="163" t="s">
        <v>5511</v>
      </c>
      <c r="Q2191" s="245"/>
      <c r="R2191" s="160"/>
      <c r="S2191" s="160"/>
      <c r="T2191" s="160"/>
      <c r="Y2191"/>
      <c r="Z2191" s="168"/>
      <c r="AA2191" s="229"/>
      <c r="AF2191">
        <f t="shared" si="512"/>
        <v>0</v>
      </c>
    </row>
    <row r="2192" spans="1:32" ht="30" hidden="1" x14ac:dyDescent="0.25">
      <c r="A2192" s="332" t="s">
        <v>5743</v>
      </c>
      <c r="B2192" s="93" t="str">
        <f t="shared" si="511"/>
        <v>YES</v>
      </c>
      <c r="C2192" t="s">
        <v>5505</v>
      </c>
      <c r="D2192" s="95">
        <v>40932</v>
      </c>
      <c r="E2192" s="95">
        <v>41000</v>
      </c>
      <c r="F2192" s="2">
        <f t="shared" ref="F2192" si="523">DATE(YEAR(E2192)+10,MONTH(E2192),DAY(E2192))</f>
        <v>44652</v>
      </c>
      <c r="G2192" s="155">
        <v>480</v>
      </c>
      <c r="H2192" s="93" t="s">
        <v>5744</v>
      </c>
      <c r="I2192" s="93" t="s">
        <v>5285</v>
      </c>
      <c r="J2192" s="166"/>
      <c r="K2192" s="266">
        <f>YEAR(F2192)</f>
        <v>2022</v>
      </c>
      <c r="L2192" s="393" t="s">
        <v>5745</v>
      </c>
      <c r="M2192" s="393" t="s">
        <v>5746</v>
      </c>
      <c r="N2192" s="163" t="s">
        <v>5747</v>
      </c>
      <c r="Q2192" s="243"/>
      <c r="R2192" s="92">
        <v>960</v>
      </c>
      <c r="S2192" s="92">
        <v>25440</v>
      </c>
      <c r="T2192" s="92">
        <v>26400</v>
      </c>
      <c r="U2192" s="201">
        <v>720</v>
      </c>
      <c r="V2192" s="287">
        <f ca="1">IF(YEAR($W$3)-YEAR(E2192)&gt;9,10,IF(MONTH($W$3)&lt;MONTH(E2192),YEAR($W$3)-YEAR(E2192),YEAR($W$3)-YEAR(E2192)+1))</f>
        <v>8</v>
      </c>
      <c r="W2192" s="75">
        <f ca="1">IF(V2192&lt;6, ROUNDUP(G2192,0)*$W$6*V2192, ROUNDUP(G2192,0)*($W$6*5 + (V2192-5)*$W$7))</f>
        <v>6480</v>
      </c>
      <c r="X2192" s="200">
        <f ca="1">IF(V2192=0,T2192,((T2192-ROUNDUP(G2192,0)*1.5)+W2192))</f>
        <v>32160</v>
      </c>
      <c r="Y2192"/>
      <c r="Z2192" s="156">
        <v>0.1</v>
      </c>
      <c r="AA2192" s="227">
        <v>0.09</v>
      </c>
      <c r="AB2192" s="312" t="s">
        <v>8011</v>
      </c>
      <c r="AF2192">
        <f t="shared" si="512"/>
        <v>0</v>
      </c>
    </row>
    <row r="2193" spans="1:32" hidden="1" x14ac:dyDescent="0.25">
      <c r="A2193" s="334"/>
      <c r="C2193"/>
      <c r="E2193" s="93"/>
      <c r="F2193" s="93"/>
      <c r="G2193" s="155"/>
      <c r="I2193" s="93"/>
      <c r="J2193" s="166"/>
      <c r="K2193" s="166"/>
      <c r="L2193" s="393"/>
      <c r="M2193" s="393"/>
      <c r="N2193" s="163" t="s">
        <v>5511</v>
      </c>
      <c r="Q2193" s="245"/>
      <c r="Y2193"/>
      <c r="Z2193" s="168"/>
      <c r="AA2193" s="229"/>
      <c r="AF2193">
        <f t="shared" si="512"/>
        <v>0</v>
      </c>
    </row>
    <row r="2194" spans="1:32" hidden="1" x14ac:dyDescent="0.25">
      <c r="A2194" s="334"/>
      <c r="C2194"/>
      <c r="D2194" s="143" t="s">
        <v>5619</v>
      </c>
      <c r="E2194" s="93"/>
      <c r="F2194" s="93"/>
      <c r="G2194" s="155"/>
      <c r="I2194" s="93"/>
      <c r="J2194" s="166"/>
      <c r="K2194" s="166"/>
      <c r="L2194" s="393"/>
      <c r="M2194" s="393"/>
      <c r="N2194" s="163" t="s">
        <v>5511</v>
      </c>
      <c r="Q2194" s="245"/>
      <c r="R2194" s="158">
        <v>960</v>
      </c>
      <c r="S2194" s="158">
        <v>25440</v>
      </c>
      <c r="T2194" s="158">
        <v>26400</v>
      </c>
      <c r="U2194" s="213"/>
      <c r="V2194" s="169"/>
      <c r="W2194" s="169"/>
      <c r="X2194" s="213"/>
      <c r="Y2194"/>
      <c r="Z2194" s="168"/>
      <c r="AA2194" s="229"/>
      <c r="AF2194">
        <f t="shared" si="512"/>
        <v>0</v>
      </c>
    </row>
    <row r="2195" spans="1:32" ht="15.75" hidden="1" thickTop="1" x14ac:dyDescent="0.25">
      <c r="A2195" s="334"/>
      <c r="C2195"/>
      <c r="E2195" s="93"/>
      <c r="F2195" s="93"/>
      <c r="G2195" s="155"/>
      <c r="I2195" s="93"/>
      <c r="J2195" s="166"/>
      <c r="K2195" s="166"/>
      <c r="L2195" s="393"/>
      <c r="M2195" s="393"/>
      <c r="N2195" s="163" t="s">
        <v>5511</v>
      </c>
      <c r="Q2195" s="245"/>
      <c r="R2195" s="160"/>
      <c r="S2195" s="160"/>
      <c r="T2195" s="160"/>
      <c r="Y2195"/>
      <c r="Z2195" s="168"/>
      <c r="AA2195" s="229"/>
      <c r="AF2195">
        <f t="shared" si="512"/>
        <v>0</v>
      </c>
    </row>
    <row r="2196" spans="1:32" ht="30" hidden="1" x14ac:dyDescent="0.25">
      <c r="A2196" s="332" t="s">
        <v>5748</v>
      </c>
      <c r="B2196" s="93" t="str">
        <f t="shared" si="511"/>
        <v>YES</v>
      </c>
      <c r="C2196" t="s">
        <v>5505</v>
      </c>
      <c r="D2196" s="95">
        <v>41037</v>
      </c>
      <c r="E2196" s="95">
        <v>41061</v>
      </c>
      <c r="F2196" s="2">
        <f t="shared" ref="F2196:F2202" si="524">DATE(YEAR(E2196)+10,MONTH(E2196),DAY(E2196))</f>
        <v>44713</v>
      </c>
      <c r="G2196" s="155">
        <v>315.86</v>
      </c>
      <c r="H2196" s="93" t="s">
        <v>5749</v>
      </c>
      <c r="I2196" s="93" t="s">
        <v>5622</v>
      </c>
      <c r="J2196" s="166"/>
      <c r="K2196" s="266">
        <f t="shared" ref="K2196:K2202" si="525">YEAR(F2196)</f>
        <v>2022</v>
      </c>
      <c r="L2196" s="393" t="s">
        <v>5507</v>
      </c>
      <c r="M2196" s="393" t="s">
        <v>5655</v>
      </c>
      <c r="N2196" s="163" t="s">
        <v>5750</v>
      </c>
      <c r="Q2196" s="243"/>
      <c r="R2196" s="92">
        <v>1256</v>
      </c>
      <c r="S2196" s="92">
        <v>316</v>
      </c>
      <c r="T2196" s="92">
        <v>1572</v>
      </c>
      <c r="U2196" s="201">
        <v>474</v>
      </c>
      <c r="V2196" s="287">
        <f t="shared" ref="V2196:V2202" ca="1" si="526">IF(YEAR($W$3)-YEAR(E2196)&gt;9,10,IF(MONTH($W$3)&lt;MONTH(E2196),YEAR($W$3)-YEAR(E2196),YEAR($W$3)-YEAR(E2196)+1))</f>
        <v>8</v>
      </c>
      <c r="W2196" s="75">
        <f t="shared" ref="W2196:W2202" ca="1" si="527">IF(V2196&lt;6, ROUNDUP(G2196,0)*$W$6*V2196, ROUNDUP(G2196,0)*($W$6*5 + (V2196-5)*$W$7))</f>
        <v>4266</v>
      </c>
      <c r="X2196" s="200">
        <f t="shared" ref="X2196:X2202" ca="1" si="528">IF(V2196=0,T2196,((T2196-ROUNDUP(G2196,0)*1.5)+W2196))</f>
        <v>5364</v>
      </c>
      <c r="Y2196"/>
      <c r="Z2196" s="156">
        <v>0.1</v>
      </c>
      <c r="AA2196" s="227">
        <v>0.09</v>
      </c>
      <c r="AB2196" s="312" t="s">
        <v>8008</v>
      </c>
      <c r="AF2196">
        <f t="shared" si="512"/>
        <v>0</v>
      </c>
    </row>
    <row r="2197" spans="1:32" hidden="1" x14ac:dyDescent="0.25">
      <c r="A2197" s="332" t="s">
        <v>5751</v>
      </c>
      <c r="B2197" s="93" t="str">
        <f t="shared" si="511"/>
        <v>YES</v>
      </c>
      <c r="C2197" t="s">
        <v>5505</v>
      </c>
      <c r="D2197" s="95">
        <v>41037</v>
      </c>
      <c r="E2197" s="95">
        <v>41061</v>
      </c>
      <c r="F2197" s="2">
        <f t="shared" si="524"/>
        <v>44713</v>
      </c>
      <c r="G2197" s="155">
        <v>640</v>
      </c>
      <c r="H2197" s="93" t="s">
        <v>5749</v>
      </c>
      <c r="I2197" s="93" t="s">
        <v>5622</v>
      </c>
      <c r="J2197" s="166"/>
      <c r="K2197" s="266">
        <f t="shared" si="525"/>
        <v>2022</v>
      </c>
      <c r="L2197" s="393" t="s">
        <v>5507</v>
      </c>
      <c r="M2197" s="393" t="s">
        <v>5655</v>
      </c>
      <c r="N2197" s="163" t="s">
        <v>5752</v>
      </c>
      <c r="Q2197" s="243"/>
      <c r="R2197" s="92">
        <v>2390</v>
      </c>
      <c r="S2197" s="92">
        <v>1920</v>
      </c>
      <c r="T2197" s="92">
        <v>4310</v>
      </c>
      <c r="U2197" s="201">
        <v>960</v>
      </c>
      <c r="V2197" s="287">
        <f t="shared" ca="1" si="526"/>
        <v>8</v>
      </c>
      <c r="W2197" s="75">
        <f t="shared" ca="1" si="527"/>
        <v>8640</v>
      </c>
      <c r="X2197" s="200">
        <f t="shared" ca="1" si="528"/>
        <v>11990</v>
      </c>
      <c r="Y2197"/>
      <c r="Z2197" s="156">
        <v>0.1</v>
      </c>
      <c r="AA2197" s="227">
        <v>0.09</v>
      </c>
      <c r="AB2197" s="312" t="s">
        <v>8008</v>
      </c>
      <c r="AF2197">
        <f t="shared" si="512"/>
        <v>0</v>
      </c>
    </row>
    <row r="2198" spans="1:32" ht="30" hidden="1" x14ac:dyDescent="0.25">
      <c r="A2198" s="332" t="s">
        <v>5753</v>
      </c>
      <c r="B2198" s="93" t="str">
        <f t="shared" si="511"/>
        <v>YES</v>
      </c>
      <c r="C2198" t="s">
        <v>5505</v>
      </c>
      <c r="D2198" s="95">
        <v>41037</v>
      </c>
      <c r="E2198" s="95">
        <v>41061</v>
      </c>
      <c r="F2198" s="2">
        <f t="shared" si="524"/>
        <v>44713</v>
      </c>
      <c r="G2198" s="155">
        <v>320</v>
      </c>
      <c r="H2198" s="93" t="s">
        <v>5749</v>
      </c>
      <c r="I2198" s="93" t="s">
        <v>5622</v>
      </c>
      <c r="J2198" s="166"/>
      <c r="K2198" s="266">
        <f t="shared" si="525"/>
        <v>2022</v>
      </c>
      <c r="L2198" s="393" t="s">
        <v>5507</v>
      </c>
      <c r="M2198" s="393" t="s">
        <v>5655</v>
      </c>
      <c r="N2198" s="163" t="s">
        <v>5754</v>
      </c>
      <c r="Q2198" s="243"/>
      <c r="R2198" s="92">
        <v>1270</v>
      </c>
      <c r="S2198" s="92">
        <v>1600</v>
      </c>
      <c r="T2198" s="92">
        <v>2870</v>
      </c>
      <c r="U2198" s="201">
        <v>480</v>
      </c>
      <c r="V2198" s="287">
        <f t="shared" ca="1" si="526"/>
        <v>8</v>
      </c>
      <c r="W2198" s="75">
        <f t="shared" ca="1" si="527"/>
        <v>4320</v>
      </c>
      <c r="X2198" s="200">
        <f t="shared" ca="1" si="528"/>
        <v>6710</v>
      </c>
      <c r="Y2198"/>
      <c r="Z2198" s="156">
        <v>0.1</v>
      </c>
      <c r="AA2198" s="227">
        <v>0.09</v>
      </c>
      <c r="AB2198" s="312" t="s">
        <v>8008</v>
      </c>
      <c r="AF2198">
        <f t="shared" si="512"/>
        <v>0</v>
      </c>
    </row>
    <row r="2199" spans="1:32" hidden="1" x14ac:dyDescent="0.25">
      <c r="A2199" s="332" t="s">
        <v>5755</v>
      </c>
      <c r="B2199" s="93" t="str">
        <f t="shared" si="511"/>
        <v>YES</v>
      </c>
      <c r="C2199" t="s">
        <v>5505</v>
      </c>
      <c r="D2199" s="95">
        <v>41037</v>
      </c>
      <c r="E2199" s="95">
        <v>41061</v>
      </c>
      <c r="F2199" s="2">
        <f t="shared" si="524"/>
        <v>44713</v>
      </c>
      <c r="G2199" s="155">
        <v>320</v>
      </c>
      <c r="H2199" s="93" t="s">
        <v>5749</v>
      </c>
      <c r="I2199" s="93" t="s">
        <v>5622</v>
      </c>
      <c r="J2199" s="166"/>
      <c r="K2199" s="266">
        <f t="shared" si="525"/>
        <v>2022</v>
      </c>
      <c r="L2199" s="393" t="s">
        <v>5507</v>
      </c>
      <c r="M2199" s="393" t="s">
        <v>5655</v>
      </c>
      <c r="N2199" s="163" t="s">
        <v>5756</v>
      </c>
      <c r="Q2199" s="243"/>
      <c r="R2199" s="92">
        <v>1270</v>
      </c>
      <c r="S2199" s="92">
        <v>1280</v>
      </c>
      <c r="T2199" s="92">
        <v>2550</v>
      </c>
      <c r="U2199" s="201">
        <v>480</v>
      </c>
      <c r="V2199" s="287">
        <f t="shared" ca="1" si="526"/>
        <v>8</v>
      </c>
      <c r="W2199" s="75">
        <f t="shared" ca="1" si="527"/>
        <v>4320</v>
      </c>
      <c r="X2199" s="200">
        <f t="shared" ca="1" si="528"/>
        <v>6390</v>
      </c>
      <c r="Y2199"/>
      <c r="Z2199" s="156">
        <v>0.1</v>
      </c>
      <c r="AA2199" s="227">
        <v>0.09</v>
      </c>
      <c r="AB2199" s="312" t="s">
        <v>8008</v>
      </c>
      <c r="AF2199">
        <f t="shared" si="512"/>
        <v>0</v>
      </c>
    </row>
    <row r="2200" spans="1:32" ht="30" hidden="1" x14ac:dyDescent="0.25">
      <c r="A2200" s="332" t="s">
        <v>5757</v>
      </c>
      <c r="B2200" s="93" t="str">
        <f t="shared" si="511"/>
        <v>YES</v>
      </c>
      <c r="C2200" t="s">
        <v>5505</v>
      </c>
      <c r="D2200" s="95">
        <v>41037</v>
      </c>
      <c r="E2200" s="95">
        <v>41061</v>
      </c>
      <c r="F2200" s="2">
        <f t="shared" si="524"/>
        <v>44713</v>
      </c>
      <c r="G2200" s="155">
        <v>960</v>
      </c>
      <c r="H2200" s="93" t="s">
        <v>5749</v>
      </c>
      <c r="I2200" s="93" t="s">
        <v>5622</v>
      </c>
      <c r="J2200" s="166"/>
      <c r="K2200" s="266">
        <f t="shared" si="525"/>
        <v>2022</v>
      </c>
      <c r="L2200" s="393" t="s">
        <v>5507</v>
      </c>
      <c r="M2200" s="393" t="s">
        <v>5655</v>
      </c>
      <c r="N2200" s="163" t="s">
        <v>5758</v>
      </c>
      <c r="Q2200" s="243"/>
      <c r="R2200" s="92">
        <v>3510</v>
      </c>
      <c r="S2200" s="92">
        <v>3840</v>
      </c>
      <c r="T2200" s="92">
        <v>7350</v>
      </c>
      <c r="U2200" s="201">
        <v>1440</v>
      </c>
      <c r="V2200" s="287">
        <f t="shared" ca="1" si="526"/>
        <v>8</v>
      </c>
      <c r="W2200" s="75">
        <f t="shared" ca="1" si="527"/>
        <v>12960</v>
      </c>
      <c r="X2200" s="200">
        <f t="shared" ca="1" si="528"/>
        <v>18870</v>
      </c>
      <c r="Y2200"/>
      <c r="Z2200" s="156">
        <v>0.1</v>
      </c>
      <c r="AA2200" s="227">
        <v>0.09</v>
      </c>
      <c r="AB2200" s="312" t="s">
        <v>8008</v>
      </c>
      <c r="AF2200">
        <f t="shared" si="512"/>
        <v>0</v>
      </c>
    </row>
    <row r="2201" spans="1:32" ht="30" hidden="1" x14ac:dyDescent="0.25">
      <c r="A2201" s="332" t="s">
        <v>5759</v>
      </c>
      <c r="B2201" s="93" t="str">
        <f t="shared" si="511"/>
        <v>YES</v>
      </c>
      <c r="C2201" t="s">
        <v>5505</v>
      </c>
      <c r="D2201" s="95">
        <v>41037</v>
      </c>
      <c r="E2201" s="95">
        <v>41061</v>
      </c>
      <c r="F2201" s="2">
        <f t="shared" si="524"/>
        <v>44713</v>
      </c>
      <c r="G2201" s="155">
        <v>1262.2</v>
      </c>
      <c r="H2201" s="93" t="s">
        <v>5749</v>
      </c>
      <c r="I2201" s="93" t="s">
        <v>5622</v>
      </c>
      <c r="J2201" s="166"/>
      <c r="K2201" s="266">
        <f t="shared" si="525"/>
        <v>2022</v>
      </c>
      <c r="L2201" s="393" t="s">
        <v>5507</v>
      </c>
      <c r="M2201" s="393" t="s">
        <v>5655</v>
      </c>
      <c r="N2201" s="163" t="s">
        <v>5760</v>
      </c>
      <c r="Q2201" s="243"/>
      <c r="R2201" s="92">
        <v>4570.5</v>
      </c>
      <c r="S2201" s="92">
        <v>6315</v>
      </c>
      <c r="T2201" s="92">
        <v>10885.5</v>
      </c>
      <c r="U2201" s="201">
        <v>1894.5</v>
      </c>
      <c r="V2201" s="287">
        <f t="shared" ca="1" si="526"/>
        <v>8</v>
      </c>
      <c r="W2201" s="75">
        <f t="shared" ca="1" si="527"/>
        <v>17050.5</v>
      </c>
      <c r="X2201" s="200">
        <f t="shared" ca="1" si="528"/>
        <v>26041.5</v>
      </c>
      <c r="Y2201"/>
      <c r="Z2201" s="156">
        <v>0.1</v>
      </c>
      <c r="AA2201" s="227">
        <v>0.09</v>
      </c>
      <c r="AB2201" s="312" t="s">
        <v>8008</v>
      </c>
      <c r="AF2201">
        <f t="shared" si="512"/>
        <v>0</v>
      </c>
    </row>
    <row r="2202" spans="1:32" ht="30" hidden="1" x14ac:dyDescent="0.25">
      <c r="A2202" s="332" t="s">
        <v>5761</v>
      </c>
      <c r="B2202" s="93" t="str">
        <f t="shared" si="511"/>
        <v>YES</v>
      </c>
      <c r="C2202" t="s">
        <v>5505</v>
      </c>
      <c r="D2202" s="95">
        <v>41037</v>
      </c>
      <c r="E2202" s="95">
        <v>41061</v>
      </c>
      <c r="F2202" s="2">
        <f t="shared" si="524"/>
        <v>44713</v>
      </c>
      <c r="G2202" s="155">
        <v>1280</v>
      </c>
      <c r="H2202" s="93" t="s">
        <v>5749</v>
      </c>
      <c r="I2202" s="93" t="s">
        <v>5622</v>
      </c>
      <c r="J2202" s="166"/>
      <c r="K2202" s="266">
        <f t="shared" si="525"/>
        <v>2022</v>
      </c>
      <c r="L2202" s="393" t="s">
        <v>5507</v>
      </c>
      <c r="M2202" s="393" t="s">
        <v>5655</v>
      </c>
      <c r="N2202" s="163" t="s">
        <v>5762</v>
      </c>
      <c r="Q2202" s="243"/>
      <c r="R2202" s="92">
        <v>4630</v>
      </c>
      <c r="S2202" s="92">
        <v>6400</v>
      </c>
      <c r="T2202" s="92">
        <v>11030</v>
      </c>
      <c r="U2202" s="201">
        <v>1920</v>
      </c>
      <c r="V2202" s="287">
        <f t="shared" ca="1" si="526"/>
        <v>8</v>
      </c>
      <c r="W2202" s="75">
        <f t="shared" ca="1" si="527"/>
        <v>17280</v>
      </c>
      <c r="X2202" s="200">
        <f t="shared" ca="1" si="528"/>
        <v>26390</v>
      </c>
      <c r="Y2202"/>
      <c r="Z2202" s="156">
        <v>0.1</v>
      </c>
      <c r="AA2202" s="227">
        <v>0.09</v>
      </c>
      <c r="AB2202" s="312" t="s">
        <v>8008</v>
      </c>
      <c r="AF2202">
        <f t="shared" si="512"/>
        <v>0</v>
      </c>
    </row>
    <row r="2203" spans="1:32" hidden="1" x14ac:dyDescent="0.25">
      <c r="A2203" s="334"/>
      <c r="C2203"/>
      <c r="E2203" s="93"/>
      <c r="F2203" s="93"/>
      <c r="G2203" s="155"/>
      <c r="I2203" s="93"/>
      <c r="J2203" s="166"/>
      <c r="K2203" s="166"/>
      <c r="L2203" s="393"/>
      <c r="M2203" s="393"/>
      <c r="N2203" s="163" t="s">
        <v>5511</v>
      </c>
      <c r="Q2203" s="245"/>
      <c r="Y2203"/>
      <c r="Z2203" s="156"/>
      <c r="AA2203" s="227"/>
      <c r="AF2203">
        <f t="shared" si="512"/>
        <v>0</v>
      </c>
    </row>
    <row r="2204" spans="1:32" hidden="1" x14ac:dyDescent="0.25">
      <c r="A2204" s="334"/>
      <c r="C2204"/>
      <c r="E2204" s="93"/>
      <c r="F2204" s="93"/>
      <c r="G2204" s="172"/>
      <c r="I2204" s="93"/>
      <c r="J2204" s="166"/>
      <c r="K2204" s="166"/>
      <c r="L2204" s="393"/>
      <c r="M2204" s="393"/>
      <c r="N2204" s="163" t="s">
        <v>5511</v>
      </c>
      <c r="Q2204" s="245"/>
      <c r="R2204" s="158">
        <v>18896.5</v>
      </c>
      <c r="S2204" s="158">
        <v>21671</v>
      </c>
      <c r="T2204" s="158">
        <v>40567.5</v>
      </c>
      <c r="U2204" s="213"/>
      <c r="V2204" s="169"/>
      <c r="W2204" s="169"/>
      <c r="X2204" s="213"/>
      <c r="Y2204"/>
      <c r="Z2204" s="168"/>
      <c r="AA2204" s="229"/>
      <c r="AF2204">
        <f t="shared" si="512"/>
        <v>0</v>
      </c>
    </row>
    <row r="2205" spans="1:32" ht="15.75" hidden="1" thickTop="1" x14ac:dyDescent="0.25">
      <c r="A2205" s="334"/>
      <c r="C2205"/>
      <c r="E2205" s="93"/>
      <c r="F2205" s="93"/>
      <c r="G2205" s="155"/>
      <c r="I2205" s="93"/>
      <c r="J2205" s="166"/>
      <c r="K2205" s="166"/>
      <c r="L2205" s="393"/>
      <c r="M2205" s="393"/>
      <c r="N2205" s="163" t="s">
        <v>5511</v>
      </c>
      <c r="Q2205" s="245"/>
      <c r="R2205" s="160"/>
      <c r="S2205" s="160"/>
      <c r="T2205" s="160"/>
      <c r="Y2205"/>
      <c r="Z2205" s="168"/>
      <c r="AA2205" s="229"/>
      <c r="AF2205">
        <f t="shared" si="512"/>
        <v>0</v>
      </c>
    </row>
    <row r="2206" spans="1:32" ht="30" hidden="1" x14ac:dyDescent="0.25">
      <c r="A2206" s="332" t="s">
        <v>5763</v>
      </c>
      <c r="B2206" s="93" t="str">
        <f t="shared" si="511"/>
        <v>YES</v>
      </c>
      <c r="C2206" t="s">
        <v>5505</v>
      </c>
      <c r="D2206" s="95">
        <v>41107</v>
      </c>
      <c r="E2206" s="95">
        <v>41153</v>
      </c>
      <c r="F2206" s="2">
        <f t="shared" ref="F2206:F2216" si="529">DATE(YEAR(E2206)+10,MONTH(E2206),DAY(E2206))</f>
        <v>44805</v>
      </c>
      <c r="G2206" s="155">
        <v>320</v>
      </c>
      <c r="H2206" s="93" t="s">
        <v>5580</v>
      </c>
      <c r="I2206" s="93" t="s">
        <v>5285</v>
      </c>
      <c r="J2206" s="166"/>
      <c r="K2206" s="266">
        <f t="shared" ref="K2206:K2216" si="530">YEAR(F2206)</f>
        <v>2022</v>
      </c>
      <c r="L2206" s="393" t="s">
        <v>5764</v>
      </c>
      <c r="M2206" s="393" t="s">
        <v>5587</v>
      </c>
      <c r="N2206" s="163" t="s">
        <v>5765</v>
      </c>
      <c r="Q2206" s="243"/>
      <c r="R2206" s="92">
        <v>1270</v>
      </c>
      <c r="S2206" s="92">
        <v>40960</v>
      </c>
      <c r="T2206" s="92">
        <v>42230</v>
      </c>
      <c r="U2206" s="201">
        <v>480</v>
      </c>
      <c r="V2206" s="287">
        <f t="shared" ref="V2206:V2216" ca="1" si="531">IF(YEAR($W$3)-YEAR(E2206)&gt;9,10,IF(MONTH($W$3)&lt;MONTH(E2206),YEAR($W$3)-YEAR(E2206),YEAR($W$3)-YEAR(E2206)+1))</f>
        <v>8</v>
      </c>
      <c r="W2206" s="75">
        <f t="shared" ref="W2206:W2216" ca="1" si="532">IF(V2206&lt;6, ROUNDUP(G2206,0)*$W$6*V2206, ROUNDUP(G2206,0)*($W$6*5 + (V2206-5)*$W$7))</f>
        <v>4320</v>
      </c>
      <c r="X2206" s="200">
        <f t="shared" ref="X2206:X2216" ca="1" si="533">IF(V2206=0,T2206,((T2206-ROUNDUP(G2206,0)*1.5)+W2206))</f>
        <v>46070</v>
      </c>
      <c r="Y2206"/>
      <c r="Z2206" s="156">
        <v>0.1</v>
      </c>
      <c r="AA2206" s="227">
        <v>0.09</v>
      </c>
      <c r="AB2206" s="312" t="s">
        <v>8010</v>
      </c>
      <c r="AF2206">
        <f t="shared" si="512"/>
        <v>0</v>
      </c>
    </row>
    <row r="2207" spans="1:32" ht="30" hidden="1" x14ac:dyDescent="0.25">
      <c r="A2207" s="332" t="s">
        <v>5766</v>
      </c>
      <c r="B2207" s="93" t="str">
        <f t="shared" ref="B2207:B2270" si="534">IF(COUNTIF(GIS,A2207),"YES","NO")</f>
        <v>YES</v>
      </c>
      <c r="C2207" t="s">
        <v>5505</v>
      </c>
      <c r="D2207" s="95">
        <v>41107</v>
      </c>
      <c r="E2207" s="95">
        <v>41153</v>
      </c>
      <c r="F2207" s="2">
        <f t="shared" si="529"/>
        <v>44805</v>
      </c>
      <c r="G2207" s="155">
        <v>320</v>
      </c>
      <c r="H2207" s="93" t="s">
        <v>5580</v>
      </c>
      <c r="I2207" s="93" t="s">
        <v>5285</v>
      </c>
      <c r="J2207" s="166"/>
      <c r="K2207" s="266">
        <f t="shared" si="530"/>
        <v>2022</v>
      </c>
      <c r="L2207" s="393" t="s">
        <v>5764</v>
      </c>
      <c r="M2207" s="393" t="s">
        <v>5587</v>
      </c>
      <c r="N2207" s="163" t="s">
        <v>5767</v>
      </c>
      <c r="Q2207" s="243"/>
      <c r="R2207" s="92">
        <v>1270</v>
      </c>
      <c r="S2207" s="92">
        <v>40960</v>
      </c>
      <c r="T2207" s="92">
        <v>42230</v>
      </c>
      <c r="U2207" s="201">
        <v>480</v>
      </c>
      <c r="V2207" s="287">
        <f t="shared" ca="1" si="531"/>
        <v>8</v>
      </c>
      <c r="W2207" s="75">
        <f t="shared" ca="1" si="532"/>
        <v>4320</v>
      </c>
      <c r="X2207" s="200">
        <f t="shared" ca="1" si="533"/>
        <v>46070</v>
      </c>
      <c r="Y2207"/>
      <c r="Z2207" s="156">
        <v>0.1</v>
      </c>
      <c r="AA2207" s="227">
        <v>0.09</v>
      </c>
      <c r="AB2207" s="312" t="s">
        <v>8010</v>
      </c>
      <c r="AF2207">
        <f t="shared" si="512"/>
        <v>0</v>
      </c>
    </row>
    <row r="2208" spans="1:32" ht="30" hidden="1" x14ac:dyDescent="0.25">
      <c r="A2208" s="332" t="s">
        <v>5768</v>
      </c>
      <c r="B2208" s="93" t="str">
        <f t="shared" si="534"/>
        <v>YES</v>
      </c>
      <c r="C2208" t="s">
        <v>5505</v>
      </c>
      <c r="D2208" s="95">
        <v>41107</v>
      </c>
      <c r="E2208" s="95">
        <v>41153</v>
      </c>
      <c r="F2208" s="2">
        <f t="shared" si="529"/>
        <v>44805</v>
      </c>
      <c r="G2208" s="155">
        <v>9.75</v>
      </c>
      <c r="H2208" s="93" t="s">
        <v>5585</v>
      </c>
      <c r="I2208" s="93" t="s">
        <v>5285</v>
      </c>
      <c r="J2208" s="166"/>
      <c r="K2208" s="266">
        <f t="shared" si="530"/>
        <v>2022</v>
      </c>
      <c r="L2208" s="393" t="s">
        <v>5616</v>
      </c>
      <c r="M2208" s="393" t="s">
        <v>5609</v>
      </c>
      <c r="N2208" s="163" t="s">
        <v>5769</v>
      </c>
      <c r="Q2208" s="243"/>
      <c r="R2208" s="92">
        <v>185</v>
      </c>
      <c r="S2208" s="92">
        <v>230</v>
      </c>
      <c r="T2208" s="92">
        <v>415</v>
      </c>
      <c r="U2208" s="201">
        <v>15</v>
      </c>
      <c r="V2208" s="287">
        <f t="shared" ca="1" si="531"/>
        <v>8</v>
      </c>
      <c r="W2208" s="75">
        <f t="shared" ca="1" si="532"/>
        <v>135</v>
      </c>
      <c r="X2208" s="200">
        <f t="shared" ca="1" si="533"/>
        <v>535</v>
      </c>
      <c r="Y2208"/>
      <c r="Z2208" s="156">
        <v>0.1</v>
      </c>
      <c r="AA2208" s="227">
        <v>0.09</v>
      </c>
      <c r="AB2208" s="312" t="s">
        <v>8097</v>
      </c>
      <c r="AF2208">
        <f t="shared" si="512"/>
        <v>0</v>
      </c>
    </row>
    <row r="2209" spans="1:32" ht="60" hidden="1" x14ac:dyDescent="0.25">
      <c r="A2209" s="332" t="s">
        <v>5770</v>
      </c>
      <c r="B2209" s="93" t="str">
        <f t="shared" si="534"/>
        <v>YES</v>
      </c>
      <c r="C2209" t="s">
        <v>5505</v>
      </c>
      <c r="D2209" s="95">
        <v>41107</v>
      </c>
      <c r="E2209" s="95">
        <v>41153</v>
      </c>
      <c r="F2209" s="2">
        <f t="shared" si="529"/>
        <v>44805</v>
      </c>
      <c r="G2209" s="155">
        <v>1039.92</v>
      </c>
      <c r="H2209" s="93" t="s">
        <v>5334</v>
      </c>
      <c r="I2209" s="93" t="s">
        <v>5306</v>
      </c>
      <c r="J2209" s="166"/>
      <c r="K2209" s="266">
        <f t="shared" si="530"/>
        <v>2022</v>
      </c>
      <c r="L2209" s="393" t="s">
        <v>5741</v>
      </c>
      <c r="M2209" s="393" t="s">
        <v>5683</v>
      </c>
      <c r="N2209" s="163" t="s">
        <v>5771</v>
      </c>
      <c r="Q2209" s="243"/>
      <c r="R2209" s="92">
        <v>3790</v>
      </c>
      <c r="S2209" s="92">
        <v>91520</v>
      </c>
      <c r="T2209" s="92">
        <v>95310</v>
      </c>
      <c r="U2209" s="201">
        <v>1560</v>
      </c>
      <c r="V2209" s="287">
        <f t="shared" ca="1" si="531"/>
        <v>8</v>
      </c>
      <c r="W2209" s="75">
        <f t="shared" ca="1" si="532"/>
        <v>14040</v>
      </c>
      <c r="X2209" s="200">
        <f t="shared" ca="1" si="533"/>
        <v>107790</v>
      </c>
      <c r="Y2209"/>
      <c r="Z2209" s="156">
        <v>0.1</v>
      </c>
      <c r="AA2209" s="227">
        <v>0.09</v>
      </c>
      <c r="AB2209" s="312" t="s">
        <v>8126</v>
      </c>
      <c r="AF2209">
        <f t="shared" si="512"/>
        <v>0</v>
      </c>
    </row>
    <row r="2210" spans="1:32" ht="45" hidden="1" x14ac:dyDescent="0.25">
      <c r="A2210" s="332" t="s">
        <v>5772</v>
      </c>
      <c r="B2210" s="93" t="str">
        <f t="shared" si="534"/>
        <v>YES</v>
      </c>
      <c r="C2210" t="s">
        <v>5505</v>
      </c>
      <c r="D2210" s="95">
        <v>41107</v>
      </c>
      <c r="E2210" s="95">
        <v>41153</v>
      </c>
      <c r="F2210" s="2">
        <f t="shared" si="529"/>
        <v>44805</v>
      </c>
      <c r="G2210" s="155">
        <v>1042.1199999999999</v>
      </c>
      <c r="H2210" s="93" t="s">
        <v>5334</v>
      </c>
      <c r="I2210" s="93" t="s">
        <v>5306</v>
      </c>
      <c r="J2210" s="166"/>
      <c r="K2210" s="266">
        <f t="shared" si="530"/>
        <v>2022</v>
      </c>
      <c r="L2210" s="393" t="s">
        <v>5741</v>
      </c>
      <c r="M2210" s="393" t="s">
        <v>5683</v>
      </c>
      <c r="N2210" s="163" t="s">
        <v>5773</v>
      </c>
      <c r="Q2210" s="243"/>
      <c r="R2210" s="92">
        <v>3800.5</v>
      </c>
      <c r="S2210" s="92">
        <v>15645</v>
      </c>
      <c r="T2210" s="92">
        <v>19445.5</v>
      </c>
      <c r="U2210" s="201">
        <v>1564.5</v>
      </c>
      <c r="V2210" s="287">
        <f t="shared" ca="1" si="531"/>
        <v>8</v>
      </c>
      <c r="W2210" s="75">
        <f t="shared" ca="1" si="532"/>
        <v>14080.5</v>
      </c>
      <c r="X2210" s="200">
        <f t="shared" ca="1" si="533"/>
        <v>31961.5</v>
      </c>
      <c r="Y2210"/>
      <c r="Z2210" s="156">
        <v>0.1</v>
      </c>
      <c r="AA2210" s="227">
        <v>0.09</v>
      </c>
      <c r="AB2210" s="312" t="s">
        <v>8126</v>
      </c>
      <c r="AF2210">
        <f t="shared" si="512"/>
        <v>0</v>
      </c>
    </row>
    <row r="2211" spans="1:32" ht="30" hidden="1" x14ac:dyDescent="0.25">
      <c r="A2211" s="332" t="s">
        <v>5774</v>
      </c>
      <c r="B2211" s="93" t="str">
        <f t="shared" si="534"/>
        <v>YES</v>
      </c>
      <c r="C2211" t="s">
        <v>5505</v>
      </c>
      <c r="D2211" s="95">
        <v>41107</v>
      </c>
      <c r="E2211" s="95">
        <v>41153</v>
      </c>
      <c r="F2211" s="2">
        <f t="shared" si="529"/>
        <v>44805</v>
      </c>
      <c r="G2211" s="155">
        <v>280</v>
      </c>
      <c r="H2211" s="93" t="s">
        <v>5334</v>
      </c>
      <c r="I2211" s="93" t="s">
        <v>5306</v>
      </c>
      <c r="J2211" s="166"/>
      <c r="K2211" s="266">
        <f t="shared" si="530"/>
        <v>2022</v>
      </c>
      <c r="L2211" s="393" t="s">
        <v>5741</v>
      </c>
      <c r="M2211" s="393" t="s">
        <v>5683</v>
      </c>
      <c r="N2211" s="163" t="s">
        <v>5775</v>
      </c>
      <c r="Q2211" s="243"/>
      <c r="R2211" s="92">
        <v>1130</v>
      </c>
      <c r="S2211" s="92">
        <v>3360</v>
      </c>
      <c r="T2211" s="92">
        <v>4490</v>
      </c>
      <c r="U2211" s="201">
        <v>420</v>
      </c>
      <c r="V2211" s="287">
        <f t="shared" ca="1" si="531"/>
        <v>8</v>
      </c>
      <c r="W2211" s="75">
        <f t="shared" ca="1" si="532"/>
        <v>3780</v>
      </c>
      <c r="X2211" s="200">
        <f t="shared" ca="1" si="533"/>
        <v>7850</v>
      </c>
      <c r="Y2211"/>
      <c r="Z2211" s="156">
        <v>0.1</v>
      </c>
      <c r="AA2211" s="227">
        <v>0.09</v>
      </c>
      <c r="AB2211" s="312" t="s">
        <v>8126</v>
      </c>
      <c r="AF2211">
        <f t="shared" si="512"/>
        <v>0</v>
      </c>
    </row>
    <row r="2212" spans="1:32" ht="30" hidden="1" x14ac:dyDescent="0.25">
      <c r="A2212" s="332" t="s">
        <v>5776</v>
      </c>
      <c r="B2212" s="93" t="str">
        <f t="shared" si="534"/>
        <v>YES</v>
      </c>
      <c r="C2212" t="s">
        <v>5505</v>
      </c>
      <c r="D2212" s="95">
        <v>41107</v>
      </c>
      <c r="E2212" s="95">
        <v>41153</v>
      </c>
      <c r="F2212" s="2">
        <f t="shared" si="529"/>
        <v>44805</v>
      </c>
      <c r="G2212" s="155">
        <v>320</v>
      </c>
      <c r="H2212" s="93" t="s">
        <v>5334</v>
      </c>
      <c r="I2212" s="93" t="s">
        <v>5306</v>
      </c>
      <c r="J2212" s="166"/>
      <c r="K2212" s="266">
        <f t="shared" si="530"/>
        <v>2022</v>
      </c>
      <c r="L2212" s="393" t="s">
        <v>5741</v>
      </c>
      <c r="M2212" s="393" t="s">
        <v>5683</v>
      </c>
      <c r="N2212" s="163" t="s">
        <v>5777</v>
      </c>
      <c r="Q2212" s="243"/>
      <c r="R2212" s="92">
        <v>1270</v>
      </c>
      <c r="S2212" s="92">
        <v>3200</v>
      </c>
      <c r="T2212" s="92">
        <v>4470</v>
      </c>
      <c r="U2212" s="201">
        <v>480</v>
      </c>
      <c r="V2212" s="287">
        <f t="shared" ca="1" si="531"/>
        <v>8</v>
      </c>
      <c r="W2212" s="75">
        <f t="shared" ca="1" si="532"/>
        <v>4320</v>
      </c>
      <c r="X2212" s="200">
        <f t="shared" ca="1" si="533"/>
        <v>8310</v>
      </c>
      <c r="Y2212"/>
      <c r="Z2212" s="156">
        <v>0.1</v>
      </c>
      <c r="AA2212" s="227">
        <v>0.09</v>
      </c>
      <c r="AB2212" s="312" t="s">
        <v>8126</v>
      </c>
      <c r="AF2212">
        <f t="shared" si="512"/>
        <v>0</v>
      </c>
    </row>
    <row r="2213" spans="1:32" ht="45" hidden="1" x14ac:dyDescent="0.25">
      <c r="A2213" s="332" t="s">
        <v>5778</v>
      </c>
      <c r="B2213" s="93" t="str">
        <f t="shared" si="534"/>
        <v>YES</v>
      </c>
      <c r="C2213" t="s">
        <v>5505</v>
      </c>
      <c r="D2213" s="95">
        <v>41107</v>
      </c>
      <c r="E2213" s="95">
        <v>41153</v>
      </c>
      <c r="F2213" s="2">
        <f t="shared" si="529"/>
        <v>44805</v>
      </c>
      <c r="G2213" s="155">
        <v>1360</v>
      </c>
      <c r="H2213" s="93" t="s">
        <v>5334</v>
      </c>
      <c r="I2213" s="93" t="s">
        <v>5306</v>
      </c>
      <c r="J2213" s="166"/>
      <c r="K2213" s="266">
        <f t="shared" si="530"/>
        <v>2022</v>
      </c>
      <c r="L2213" s="393" t="s">
        <v>5741</v>
      </c>
      <c r="M2213" s="393" t="s">
        <v>5683</v>
      </c>
      <c r="N2213" s="163" t="s">
        <v>5779</v>
      </c>
      <c r="Q2213" s="243"/>
      <c r="R2213" s="92">
        <v>4910</v>
      </c>
      <c r="S2213" s="92">
        <v>19040</v>
      </c>
      <c r="T2213" s="92">
        <v>23950</v>
      </c>
      <c r="U2213" s="201">
        <v>2040</v>
      </c>
      <c r="V2213" s="287">
        <f t="shared" ca="1" si="531"/>
        <v>8</v>
      </c>
      <c r="W2213" s="75">
        <f t="shared" ca="1" si="532"/>
        <v>18360</v>
      </c>
      <c r="X2213" s="200">
        <f t="shared" ca="1" si="533"/>
        <v>40270</v>
      </c>
      <c r="Y2213"/>
      <c r="Z2213" s="156">
        <v>0.1</v>
      </c>
      <c r="AA2213" s="227">
        <v>0.09</v>
      </c>
      <c r="AB2213" s="312" t="s">
        <v>8126</v>
      </c>
      <c r="AF2213">
        <f t="shared" si="512"/>
        <v>0</v>
      </c>
    </row>
    <row r="2214" spans="1:32" hidden="1" x14ac:dyDescent="0.25">
      <c r="A2214" s="332" t="s">
        <v>5780</v>
      </c>
      <c r="B2214" s="93" t="str">
        <f t="shared" si="534"/>
        <v>YES</v>
      </c>
      <c r="C2214" t="s">
        <v>5505</v>
      </c>
      <c r="D2214" s="95">
        <v>41107</v>
      </c>
      <c r="E2214" s="95">
        <v>41153</v>
      </c>
      <c r="F2214" s="2">
        <f t="shared" si="529"/>
        <v>44805</v>
      </c>
      <c r="G2214" s="155">
        <v>320</v>
      </c>
      <c r="H2214" s="93" t="s">
        <v>5334</v>
      </c>
      <c r="I2214" s="93" t="s">
        <v>5306</v>
      </c>
      <c r="J2214" s="166"/>
      <c r="K2214" s="266">
        <f t="shared" si="530"/>
        <v>2022</v>
      </c>
      <c r="L2214" s="393" t="s">
        <v>5741</v>
      </c>
      <c r="M2214" s="393" t="s">
        <v>5683</v>
      </c>
      <c r="N2214" s="163" t="s">
        <v>5781</v>
      </c>
      <c r="Q2214" s="243"/>
      <c r="R2214" s="92">
        <v>1270</v>
      </c>
      <c r="S2214" s="92">
        <v>3520</v>
      </c>
      <c r="T2214" s="92">
        <v>4790</v>
      </c>
      <c r="U2214" s="201">
        <v>480</v>
      </c>
      <c r="V2214" s="287">
        <f t="shared" ca="1" si="531"/>
        <v>8</v>
      </c>
      <c r="W2214" s="75">
        <f t="shared" ca="1" si="532"/>
        <v>4320</v>
      </c>
      <c r="X2214" s="200">
        <f t="shared" ca="1" si="533"/>
        <v>8630</v>
      </c>
      <c r="Y2214"/>
      <c r="Z2214" s="156">
        <v>0.1</v>
      </c>
      <c r="AA2214" s="227">
        <v>0.09</v>
      </c>
      <c r="AB2214" s="312" t="s">
        <v>8126</v>
      </c>
      <c r="AF2214">
        <f t="shared" si="512"/>
        <v>0</v>
      </c>
    </row>
    <row r="2215" spans="1:32" ht="30" hidden="1" x14ac:dyDescent="0.25">
      <c r="A2215" s="332" t="s">
        <v>5782</v>
      </c>
      <c r="B2215" s="93" t="str">
        <f t="shared" si="534"/>
        <v>YES</v>
      </c>
      <c r="C2215" t="s">
        <v>5505</v>
      </c>
      <c r="D2215" s="95">
        <v>41107</v>
      </c>
      <c r="E2215" s="95">
        <v>41153</v>
      </c>
      <c r="F2215" s="2">
        <f t="shared" si="529"/>
        <v>44805</v>
      </c>
      <c r="G2215" s="155">
        <v>1360</v>
      </c>
      <c r="H2215" s="93" t="s">
        <v>5334</v>
      </c>
      <c r="I2215" s="93" t="s">
        <v>5306</v>
      </c>
      <c r="J2215" s="166"/>
      <c r="K2215" s="266">
        <f t="shared" si="530"/>
        <v>2022</v>
      </c>
      <c r="L2215" s="393" t="s">
        <v>5783</v>
      </c>
      <c r="M2215" s="393" t="s">
        <v>5683</v>
      </c>
      <c r="N2215" s="163" t="s">
        <v>5784</v>
      </c>
      <c r="Q2215" s="243"/>
      <c r="R2215" s="92">
        <v>4910</v>
      </c>
      <c r="S2215" s="92">
        <v>24480</v>
      </c>
      <c r="T2215" s="92">
        <v>29390</v>
      </c>
      <c r="U2215" s="201">
        <v>2040</v>
      </c>
      <c r="V2215" s="287">
        <f t="shared" ca="1" si="531"/>
        <v>8</v>
      </c>
      <c r="W2215" s="75">
        <f t="shared" ca="1" si="532"/>
        <v>18360</v>
      </c>
      <c r="X2215" s="200">
        <f t="shared" ca="1" si="533"/>
        <v>45710</v>
      </c>
      <c r="Y2215"/>
      <c r="Z2215" s="156">
        <v>0.1</v>
      </c>
      <c r="AA2215" s="227">
        <v>0.09</v>
      </c>
      <c r="AB2215" s="312" t="s">
        <v>8126</v>
      </c>
      <c r="AF2215">
        <f t="shared" si="512"/>
        <v>0</v>
      </c>
    </row>
    <row r="2216" spans="1:32" ht="45" hidden="1" x14ac:dyDescent="0.25">
      <c r="A2216" s="332" t="s">
        <v>5785</v>
      </c>
      <c r="B2216" s="93" t="str">
        <f t="shared" si="534"/>
        <v>YES</v>
      </c>
      <c r="C2216" t="s">
        <v>5505</v>
      </c>
      <c r="D2216" s="95">
        <v>41107</v>
      </c>
      <c r="E2216" s="95">
        <v>41153</v>
      </c>
      <c r="F2216" s="2">
        <f t="shared" si="529"/>
        <v>44805</v>
      </c>
      <c r="G2216" s="155">
        <v>1205.8699999999999</v>
      </c>
      <c r="H2216" s="93" t="s">
        <v>5334</v>
      </c>
      <c r="I2216" s="93" t="s">
        <v>5306</v>
      </c>
      <c r="J2216" s="166"/>
      <c r="K2216" s="266">
        <f t="shared" si="530"/>
        <v>2022</v>
      </c>
      <c r="L2216" s="393" t="s">
        <v>5783</v>
      </c>
      <c r="M2216" s="393" t="s">
        <v>5683</v>
      </c>
      <c r="N2216" s="163" t="s">
        <v>5786</v>
      </c>
      <c r="Q2216" s="243"/>
      <c r="R2216" s="92">
        <v>4371</v>
      </c>
      <c r="S2216" s="92">
        <v>19296</v>
      </c>
      <c r="T2216" s="92">
        <v>23667</v>
      </c>
      <c r="U2216" s="201">
        <v>1809</v>
      </c>
      <c r="V2216" s="287">
        <f t="shared" ca="1" si="531"/>
        <v>8</v>
      </c>
      <c r="W2216" s="75">
        <f t="shared" ca="1" si="532"/>
        <v>16281</v>
      </c>
      <c r="X2216" s="200">
        <f t="shared" ca="1" si="533"/>
        <v>38139</v>
      </c>
      <c r="Y2216"/>
      <c r="Z2216" s="156">
        <v>0.1</v>
      </c>
      <c r="AA2216" s="227">
        <v>0.09</v>
      </c>
      <c r="AB2216" s="312" t="s">
        <v>8126</v>
      </c>
      <c r="AF2216">
        <f t="shared" si="512"/>
        <v>0</v>
      </c>
    </row>
    <row r="2217" spans="1:32" hidden="1" x14ac:dyDescent="0.25">
      <c r="A2217" s="334"/>
      <c r="C2217"/>
      <c r="D2217" s="95"/>
      <c r="E2217" s="93"/>
      <c r="F2217" s="93"/>
      <c r="G2217" s="155"/>
      <c r="I2217" s="93"/>
      <c r="J2217" s="166"/>
      <c r="K2217" s="166"/>
      <c r="L2217" s="393"/>
      <c r="M2217" s="393"/>
      <c r="N2217" s="163" t="s">
        <v>5511</v>
      </c>
      <c r="Q2217" s="245"/>
      <c r="Y2217"/>
      <c r="Z2217" s="156"/>
      <c r="AA2217" s="227"/>
      <c r="AF2217">
        <f t="shared" si="512"/>
        <v>0</v>
      </c>
    </row>
    <row r="2218" spans="1:32" hidden="1" x14ac:dyDescent="0.25">
      <c r="A2218" s="334"/>
      <c r="C2218"/>
      <c r="E2218" s="93"/>
      <c r="F2218" s="93"/>
      <c r="G2218" s="155"/>
      <c r="I2218" s="93"/>
      <c r="J2218" s="166"/>
      <c r="K2218" s="166"/>
      <c r="L2218" s="393"/>
      <c r="M2218" s="393"/>
      <c r="N2218" s="163" t="s">
        <v>5511</v>
      </c>
      <c r="Q2218" s="245"/>
      <c r="R2218" s="158">
        <v>28176.5</v>
      </c>
      <c r="S2218" s="158">
        <v>262211</v>
      </c>
      <c r="T2218" s="158">
        <v>290387.5</v>
      </c>
      <c r="U2218" s="213"/>
      <c r="V2218" s="169"/>
      <c r="W2218" s="169"/>
      <c r="X2218" s="213"/>
      <c r="Y2218"/>
      <c r="Z2218" s="168"/>
      <c r="AA2218" s="229"/>
      <c r="AF2218">
        <f t="shared" si="512"/>
        <v>0</v>
      </c>
    </row>
    <row r="2219" spans="1:32" ht="15.75" hidden="1" thickTop="1" x14ac:dyDescent="0.25">
      <c r="A2219" s="334"/>
      <c r="C2219"/>
      <c r="E2219" s="93"/>
      <c r="F2219" s="93"/>
      <c r="G2219" s="155"/>
      <c r="I2219" s="93"/>
      <c r="J2219" s="166"/>
      <c r="K2219" s="166"/>
      <c r="L2219" s="393"/>
      <c r="M2219" s="393"/>
      <c r="N2219" s="163" t="s">
        <v>5511</v>
      </c>
      <c r="Q2219" s="245"/>
      <c r="R2219" s="159"/>
      <c r="S2219" s="159"/>
      <c r="T2219" s="159"/>
      <c r="U2219" s="213"/>
      <c r="V2219" s="169"/>
      <c r="W2219" s="169"/>
      <c r="X2219" s="213"/>
      <c r="Y2219"/>
      <c r="Z2219" s="168"/>
      <c r="AA2219" s="229"/>
      <c r="AF2219">
        <f t="shared" ref="AF2219:AF2282" si="535">COUNTIF(FilterList,A2219)</f>
        <v>0</v>
      </c>
    </row>
    <row r="2220" spans="1:32" ht="30" hidden="1" x14ac:dyDescent="0.25">
      <c r="A2220" s="332" t="s">
        <v>5787</v>
      </c>
      <c r="B2220" s="93" t="str">
        <f t="shared" si="534"/>
        <v>YES</v>
      </c>
      <c r="C2220" t="s">
        <v>5505</v>
      </c>
      <c r="D2220" s="95">
        <v>41354</v>
      </c>
      <c r="E2220" s="95">
        <v>41426</v>
      </c>
      <c r="F2220" s="2">
        <f t="shared" ref="F2220" si="536">DATE(YEAR(E2220)+10,MONTH(E2220),DAY(E2220))</f>
        <v>45078</v>
      </c>
      <c r="G2220" s="155">
        <v>54.02</v>
      </c>
      <c r="H2220" s="93" t="s">
        <v>5788</v>
      </c>
      <c r="I2220" s="93" t="s">
        <v>79</v>
      </c>
      <c r="J2220" s="338" t="s">
        <v>5506</v>
      </c>
      <c r="K2220" s="266">
        <f>YEAR(F2220)</f>
        <v>2023</v>
      </c>
      <c r="L2220" s="393" t="s">
        <v>5789</v>
      </c>
      <c r="M2220" s="393" t="s">
        <v>5790</v>
      </c>
      <c r="N2220" s="163" t="s">
        <v>5791</v>
      </c>
      <c r="Q2220" s="243"/>
      <c r="R2220" s="92">
        <v>342.5</v>
      </c>
      <c r="S2220" s="92">
        <v>0</v>
      </c>
      <c r="T2220" s="92">
        <v>342.5</v>
      </c>
      <c r="U2220" s="201">
        <v>82.5</v>
      </c>
      <c r="V2220" s="287">
        <f ca="1">IF(YEAR($W$3)-YEAR(E2220)&gt;9,10,IF(MONTH($W$3)&lt;MONTH(E2220),YEAR($W$3)-YEAR(E2220),YEAR($W$3)-YEAR(E2220)+1))</f>
        <v>7</v>
      </c>
      <c r="W2220" s="75">
        <f ca="1">IF(V2220&lt;6, ROUNDUP(G2220,0)*$W$6*V2220, ROUNDUP(G2220,0)*($W$6*5 + (V2220-5)*$W$7))</f>
        <v>632.5</v>
      </c>
      <c r="X2220" s="200">
        <f ca="1">IF(V2220=0,T2220,((T2220-ROUNDUP(G2220,0)*1.5)+W2220))</f>
        <v>892.5</v>
      </c>
      <c r="Y2220"/>
      <c r="Z2220" s="156">
        <v>0.1</v>
      </c>
      <c r="AA2220" s="227">
        <v>0.09</v>
      </c>
      <c r="AF2220">
        <f t="shared" si="535"/>
        <v>0</v>
      </c>
    </row>
    <row r="2221" spans="1:32" hidden="1" x14ac:dyDescent="0.25">
      <c r="A2221" s="334"/>
      <c r="C2221"/>
      <c r="E2221" s="93"/>
      <c r="F2221" s="93"/>
      <c r="G2221" s="155"/>
      <c r="I2221" s="93"/>
      <c r="J2221" s="339"/>
      <c r="K2221" s="166"/>
      <c r="L2221" s="393"/>
      <c r="M2221" s="393"/>
      <c r="N2221" s="163" t="s">
        <v>5511</v>
      </c>
      <c r="Q2221" s="245"/>
      <c r="Y2221"/>
      <c r="Z2221" s="168"/>
      <c r="AA2221" s="229"/>
      <c r="AF2221">
        <f t="shared" si="535"/>
        <v>0</v>
      </c>
    </row>
    <row r="2222" spans="1:32" ht="30" hidden="1" x14ac:dyDescent="0.25">
      <c r="A2222" s="332" t="s">
        <v>5792</v>
      </c>
      <c r="B2222" s="93" t="str">
        <f t="shared" si="534"/>
        <v>YES</v>
      </c>
      <c r="C2222" t="s">
        <v>5505</v>
      </c>
      <c r="D2222" s="95">
        <v>41445</v>
      </c>
      <c r="E2222" s="95">
        <v>41487</v>
      </c>
      <c r="F2222" s="2">
        <f t="shared" ref="F2222" si="537">DATE(YEAR(E2222)+10,MONTH(E2222),DAY(E2222))</f>
        <v>45139</v>
      </c>
      <c r="G2222" s="155">
        <v>22.16</v>
      </c>
      <c r="H2222" s="93" t="s">
        <v>3923</v>
      </c>
      <c r="I2222" s="93" t="s">
        <v>79</v>
      </c>
      <c r="J2222" s="338" t="s">
        <v>5506</v>
      </c>
      <c r="K2222" s="266">
        <f>YEAR(F2222)</f>
        <v>2023</v>
      </c>
      <c r="L2222" s="393" t="s">
        <v>5793</v>
      </c>
      <c r="M2222" s="393" t="s">
        <v>5683</v>
      </c>
      <c r="N2222" s="163" t="s">
        <v>5794</v>
      </c>
      <c r="Q2222" s="243"/>
      <c r="R2222" s="92">
        <v>230.5</v>
      </c>
      <c r="S2222" s="92">
        <v>0</v>
      </c>
      <c r="T2222" s="92">
        <v>230.5</v>
      </c>
      <c r="U2222" s="201">
        <v>34.5</v>
      </c>
      <c r="V2222" s="287">
        <f ca="1">IF(YEAR($W$3)-YEAR(E2222)&gt;9,10,IF(MONTH($W$3)&lt;MONTH(E2222),YEAR($W$3)-YEAR(E2222),YEAR($W$3)-YEAR(E2222)+1))</f>
        <v>7</v>
      </c>
      <c r="W2222" s="75">
        <f ca="1">IF(V2222&lt;6, ROUNDUP(G2222,0)*$W$6*V2222, ROUNDUP(G2222,0)*($W$6*5 + (V2222-5)*$W$7))</f>
        <v>264.5</v>
      </c>
      <c r="X2222" s="200">
        <f ca="1">IF(V2222=0,T2222,((T2222-ROUNDUP(G2222,0)*1.5)+W2222))</f>
        <v>460.5</v>
      </c>
      <c r="Y2222"/>
      <c r="Z2222" s="156">
        <v>0.1</v>
      </c>
      <c r="AA2222" s="227">
        <v>0.09</v>
      </c>
      <c r="AB2222" s="302"/>
      <c r="AF2222">
        <f t="shared" si="535"/>
        <v>0</v>
      </c>
    </row>
    <row r="2223" spans="1:32" hidden="1" x14ac:dyDescent="0.25">
      <c r="A2223" s="334"/>
      <c r="C2223"/>
      <c r="E2223" s="93"/>
      <c r="F2223" s="93"/>
      <c r="G2223" s="155"/>
      <c r="I2223" s="93"/>
      <c r="J2223" s="338"/>
      <c r="K2223" s="173"/>
      <c r="L2223" s="393"/>
      <c r="M2223" s="393"/>
      <c r="N2223" s="163" t="s">
        <v>5511</v>
      </c>
      <c r="Q2223" s="245"/>
      <c r="Y2223"/>
      <c r="Z2223" s="168"/>
      <c r="AA2223" s="229"/>
      <c r="AF2223">
        <f t="shared" si="535"/>
        <v>0</v>
      </c>
    </row>
    <row r="2224" spans="1:32" ht="30" hidden="1" x14ac:dyDescent="0.25">
      <c r="A2224" s="332" t="s">
        <v>5795</v>
      </c>
      <c r="B2224" s="93" t="str">
        <f t="shared" si="534"/>
        <v>YES</v>
      </c>
      <c r="C2224" t="s">
        <v>5505</v>
      </c>
      <c r="D2224" s="95">
        <v>41809</v>
      </c>
      <c r="E2224" s="95">
        <v>41883</v>
      </c>
      <c r="F2224" s="2">
        <f t="shared" ref="F2224:F2229" si="538">DATE(YEAR(E2224)+10,MONTH(E2224),DAY(E2224))</f>
        <v>45536</v>
      </c>
      <c r="G2224" s="155">
        <v>161.55000000000001</v>
      </c>
      <c r="H2224" s="93" t="s">
        <v>1034</v>
      </c>
      <c r="I2224" s="93" t="s">
        <v>72</v>
      </c>
      <c r="J2224" s="338" t="s">
        <v>5506</v>
      </c>
      <c r="K2224" s="266">
        <f t="shared" ref="K2224:K2229" si="539">YEAR(F2224)</f>
        <v>2024</v>
      </c>
      <c r="L2224" s="393" t="s">
        <v>5789</v>
      </c>
      <c r="M2224" s="393" t="s">
        <v>5796</v>
      </c>
      <c r="N2224" s="163" t="s">
        <v>5797</v>
      </c>
      <c r="Q2224" s="243"/>
      <c r="R2224" s="92">
        <v>722</v>
      </c>
      <c r="S2224" s="92">
        <v>0</v>
      </c>
      <c r="T2224" s="92">
        <v>722</v>
      </c>
      <c r="U2224" s="201">
        <v>243</v>
      </c>
      <c r="V2224" s="287">
        <f t="shared" ref="V2224:V2229" ca="1" si="540">IF(YEAR($W$3)-YEAR(E2224)&gt;9,10,IF(MONTH($W$3)&lt;MONTH(E2224),YEAR($W$3)-YEAR(E2224),YEAR($W$3)-YEAR(E2224)+1))</f>
        <v>6</v>
      </c>
      <c r="W2224" s="75">
        <f t="shared" ref="W2224:W2229" ca="1" si="541">IF(V2224&lt;6, ROUNDUP(G2224,0)*$W$6*V2224, ROUNDUP(G2224,0)*($W$6*5 + (V2224-5)*$W$7))</f>
        <v>1539</v>
      </c>
      <c r="X2224" s="200">
        <f t="shared" ref="X2224:X2229" ca="1" si="542">IF(V2224=0,T2224,((T2224-ROUNDUP(G2224,0)*1.5)+W2224))</f>
        <v>2018</v>
      </c>
      <c r="Y2224"/>
      <c r="Z2224" s="156">
        <v>0.1</v>
      </c>
      <c r="AA2224" s="227">
        <v>0.09</v>
      </c>
      <c r="AF2224">
        <f t="shared" si="535"/>
        <v>0</v>
      </c>
    </row>
    <row r="2225" spans="1:32" ht="30" hidden="1" x14ac:dyDescent="0.25">
      <c r="A2225" s="332" t="s">
        <v>5798</v>
      </c>
      <c r="B2225" s="93" t="str">
        <f t="shared" si="534"/>
        <v>YES</v>
      </c>
      <c r="C2225" t="s">
        <v>5505</v>
      </c>
      <c r="D2225" s="95">
        <v>41809</v>
      </c>
      <c r="E2225" s="95">
        <v>41883</v>
      </c>
      <c r="F2225" s="2">
        <f t="shared" si="538"/>
        <v>45536</v>
      </c>
      <c r="G2225" s="155">
        <v>120</v>
      </c>
      <c r="H2225" s="93" t="s">
        <v>1034</v>
      </c>
      <c r="I2225" s="93" t="s">
        <v>72</v>
      </c>
      <c r="J2225" s="338" t="s">
        <v>5506</v>
      </c>
      <c r="K2225" s="266">
        <f t="shared" si="539"/>
        <v>2024</v>
      </c>
      <c r="L2225" s="393" t="s">
        <v>5789</v>
      </c>
      <c r="M2225" s="393" t="s">
        <v>5796</v>
      </c>
      <c r="N2225" s="163" t="s">
        <v>5799</v>
      </c>
      <c r="Q2225" s="243"/>
      <c r="R2225" s="92">
        <v>575</v>
      </c>
      <c r="S2225" s="92">
        <v>0</v>
      </c>
      <c r="T2225" s="92">
        <v>575</v>
      </c>
      <c r="U2225" s="201">
        <v>180</v>
      </c>
      <c r="V2225" s="287">
        <f t="shared" ca="1" si="540"/>
        <v>6</v>
      </c>
      <c r="W2225" s="75">
        <f t="shared" ca="1" si="541"/>
        <v>1140</v>
      </c>
      <c r="X2225" s="200">
        <f t="shared" ca="1" si="542"/>
        <v>1535</v>
      </c>
      <c r="Y2225"/>
      <c r="Z2225" s="156">
        <v>0.1</v>
      </c>
      <c r="AA2225" s="227">
        <v>0.09</v>
      </c>
      <c r="AF2225">
        <f t="shared" si="535"/>
        <v>0</v>
      </c>
    </row>
    <row r="2226" spans="1:32" ht="30" hidden="1" x14ac:dyDescent="0.25">
      <c r="A2226" s="332" t="s">
        <v>5800</v>
      </c>
      <c r="B2226" s="93" t="str">
        <f t="shared" si="534"/>
        <v>YES</v>
      </c>
      <c r="C2226" t="s">
        <v>5505</v>
      </c>
      <c r="D2226" s="95">
        <v>41809</v>
      </c>
      <c r="E2226" s="95">
        <v>41883</v>
      </c>
      <c r="F2226" s="2">
        <f t="shared" si="538"/>
        <v>45536</v>
      </c>
      <c r="G2226" s="155">
        <v>40</v>
      </c>
      <c r="H2226" s="93" t="s">
        <v>1034</v>
      </c>
      <c r="I2226" s="93" t="s">
        <v>72</v>
      </c>
      <c r="J2226" s="338" t="s">
        <v>5506</v>
      </c>
      <c r="K2226" s="266">
        <f t="shared" si="539"/>
        <v>2024</v>
      </c>
      <c r="L2226" s="393" t="s">
        <v>5507</v>
      </c>
      <c r="M2226" s="393" t="s">
        <v>5796</v>
      </c>
      <c r="N2226" s="163" t="s">
        <v>5801</v>
      </c>
      <c r="Q2226" s="243"/>
      <c r="R2226" s="92">
        <v>295</v>
      </c>
      <c r="S2226" s="92">
        <v>0</v>
      </c>
      <c r="T2226" s="92">
        <v>295</v>
      </c>
      <c r="U2226" s="201">
        <v>60</v>
      </c>
      <c r="V2226" s="287">
        <f t="shared" ca="1" si="540"/>
        <v>6</v>
      </c>
      <c r="W2226" s="75">
        <f t="shared" ca="1" si="541"/>
        <v>380</v>
      </c>
      <c r="X2226" s="200">
        <f t="shared" ca="1" si="542"/>
        <v>615</v>
      </c>
      <c r="Y2226"/>
      <c r="Z2226" s="156">
        <v>0.1</v>
      </c>
      <c r="AA2226" s="227">
        <v>0.09</v>
      </c>
      <c r="AF2226">
        <f t="shared" si="535"/>
        <v>0</v>
      </c>
    </row>
    <row r="2227" spans="1:32" ht="30" hidden="1" x14ac:dyDescent="0.25">
      <c r="A2227" s="332" t="s">
        <v>5802</v>
      </c>
      <c r="B2227" s="93" t="str">
        <f t="shared" si="534"/>
        <v>YES</v>
      </c>
      <c r="C2227" t="s">
        <v>5505</v>
      </c>
      <c r="D2227" s="95">
        <v>41809</v>
      </c>
      <c r="E2227" s="95">
        <v>41883</v>
      </c>
      <c r="F2227" s="2">
        <f t="shared" si="538"/>
        <v>45536</v>
      </c>
      <c r="G2227" s="155">
        <v>40</v>
      </c>
      <c r="H2227" s="93" t="s">
        <v>1034</v>
      </c>
      <c r="I2227" s="93" t="s">
        <v>72</v>
      </c>
      <c r="J2227" s="338" t="s">
        <v>5506</v>
      </c>
      <c r="K2227" s="266">
        <f t="shared" si="539"/>
        <v>2024</v>
      </c>
      <c r="L2227" s="393" t="s">
        <v>5507</v>
      </c>
      <c r="M2227" s="393" t="s">
        <v>5796</v>
      </c>
      <c r="N2227" s="163" t="s">
        <v>5803</v>
      </c>
      <c r="Q2227" s="243"/>
      <c r="R2227" s="92">
        <v>295</v>
      </c>
      <c r="S2227" s="92">
        <v>0</v>
      </c>
      <c r="T2227" s="92">
        <v>295</v>
      </c>
      <c r="U2227" s="201">
        <v>60</v>
      </c>
      <c r="V2227" s="287">
        <f t="shared" ca="1" si="540"/>
        <v>6</v>
      </c>
      <c r="W2227" s="75">
        <f t="shared" ca="1" si="541"/>
        <v>380</v>
      </c>
      <c r="X2227" s="200">
        <f t="shared" ca="1" si="542"/>
        <v>615</v>
      </c>
      <c r="Y2227"/>
      <c r="Z2227" s="156">
        <v>0.1</v>
      </c>
      <c r="AA2227" s="227">
        <v>0.09</v>
      </c>
      <c r="AF2227">
        <f t="shared" si="535"/>
        <v>0</v>
      </c>
    </row>
    <row r="2228" spans="1:32" ht="30" hidden="1" x14ac:dyDescent="0.25">
      <c r="A2228" s="332" t="s">
        <v>5804</v>
      </c>
      <c r="B2228" s="93" t="str">
        <f t="shared" si="534"/>
        <v>YES</v>
      </c>
      <c r="C2228" t="s">
        <v>5505</v>
      </c>
      <c r="D2228" s="95">
        <v>41809</v>
      </c>
      <c r="E2228" s="95">
        <v>41883</v>
      </c>
      <c r="F2228" s="2">
        <f t="shared" si="538"/>
        <v>45536</v>
      </c>
      <c r="G2228" s="155">
        <v>40</v>
      </c>
      <c r="H2228" s="93" t="s">
        <v>1034</v>
      </c>
      <c r="I2228" s="93" t="s">
        <v>72</v>
      </c>
      <c r="J2228" s="338" t="s">
        <v>5506</v>
      </c>
      <c r="K2228" s="266">
        <f t="shared" si="539"/>
        <v>2024</v>
      </c>
      <c r="L2228" s="393" t="s">
        <v>5789</v>
      </c>
      <c r="M2228" s="393" t="s">
        <v>5805</v>
      </c>
      <c r="N2228" s="163" t="s">
        <v>5806</v>
      </c>
      <c r="Q2228" s="243"/>
      <c r="R2228" s="92">
        <v>295</v>
      </c>
      <c r="S2228" s="92">
        <v>0</v>
      </c>
      <c r="T2228" s="92">
        <v>295</v>
      </c>
      <c r="U2228" s="201">
        <v>60</v>
      </c>
      <c r="V2228" s="287">
        <f t="shared" ca="1" si="540"/>
        <v>6</v>
      </c>
      <c r="W2228" s="75">
        <f t="shared" ca="1" si="541"/>
        <v>380</v>
      </c>
      <c r="X2228" s="200">
        <f t="shared" ca="1" si="542"/>
        <v>615</v>
      </c>
      <c r="Y2228"/>
      <c r="Z2228" s="156">
        <v>0.1</v>
      </c>
      <c r="AA2228" s="227">
        <v>0.09</v>
      </c>
      <c r="AF2228">
        <f t="shared" si="535"/>
        <v>0</v>
      </c>
    </row>
    <row r="2229" spans="1:32" ht="30" hidden="1" x14ac:dyDescent="0.25">
      <c r="A2229" s="332" t="s">
        <v>5807</v>
      </c>
      <c r="B2229" s="93" t="str">
        <f t="shared" si="534"/>
        <v>YES</v>
      </c>
      <c r="C2229" t="s">
        <v>5505</v>
      </c>
      <c r="D2229" s="95">
        <v>41809</v>
      </c>
      <c r="E2229" s="95">
        <v>41883</v>
      </c>
      <c r="F2229" s="2">
        <f t="shared" si="538"/>
        <v>45536</v>
      </c>
      <c r="G2229" s="155">
        <v>40.130000000000003</v>
      </c>
      <c r="H2229" s="93" t="s">
        <v>5808</v>
      </c>
      <c r="I2229" s="93" t="s">
        <v>79</v>
      </c>
      <c r="J2229" s="338" t="s">
        <v>5506</v>
      </c>
      <c r="K2229" s="266">
        <f t="shared" si="539"/>
        <v>2024</v>
      </c>
      <c r="L2229" s="393" t="s">
        <v>5555</v>
      </c>
      <c r="M2229" s="393" t="s">
        <v>5809</v>
      </c>
      <c r="N2229" s="163" t="s">
        <v>5810</v>
      </c>
      <c r="Q2229" s="243"/>
      <c r="R2229" s="92">
        <v>298.5</v>
      </c>
      <c r="S2229" s="92">
        <v>0</v>
      </c>
      <c r="T2229" s="92">
        <v>298.5</v>
      </c>
      <c r="U2229" s="201">
        <v>61.5</v>
      </c>
      <c r="V2229" s="287">
        <f t="shared" ca="1" si="540"/>
        <v>6</v>
      </c>
      <c r="W2229" s="75">
        <f t="shared" ca="1" si="541"/>
        <v>389.5</v>
      </c>
      <c r="X2229" s="200">
        <f t="shared" ca="1" si="542"/>
        <v>626.5</v>
      </c>
      <c r="Y2229"/>
      <c r="Z2229" s="156">
        <v>0.1</v>
      </c>
      <c r="AA2229" s="227">
        <v>0.09</v>
      </c>
      <c r="AF2229">
        <f t="shared" si="535"/>
        <v>0</v>
      </c>
    </row>
    <row r="2230" spans="1:32" hidden="1" x14ac:dyDescent="0.25">
      <c r="A2230" s="334"/>
      <c r="C2230"/>
      <c r="E2230" s="93"/>
      <c r="F2230" s="93"/>
      <c r="G2230" s="155"/>
      <c r="I2230" s="93"/>
      <c r="J2230" s="166"/>
      <c r="K2230" s="166"/>
      <c r="L2230" s="393"/>
      <c r="M2230" s="393"/>
      <c r="N2230" s="163" t="s">
        <v>5511</v>
      </c>
      <c r="Q2230" s="245"/>
      <c r="Y2230"/>
      <c r="Z2230" s="168"/>
      <c r="AA2230" s="229"/>
      <c r="AF2230">
        <f t="shared" si="535"/>
        <v>0</v>
      </c>
    </row>
    <row r="2231" spans="1:32" hidden="1" x14ac:dyDescent="0.25">
      <c r="A2231" s="334"/>
      <c r="C2231"/>
      <c r="E2231" s="93"/>
      <c r="F2231" s="93"/>
      <c r="G2231" s="155"/>
      <c r="I2231" s="93"/>
      <c r="J2231" s="166"/>
      <c r="K2231" s="166"/>
      <c r="L2231" s="393"/>
      <c r="M2231" s="393"/>
      <c r="N2231" s="163" t="s">
        <v>5511</v>
      </c>
      <c r="Q2231" s="245"/>
      <c r="R2231" s="158">
        <v>2480.5</v>
      </c>
      <c r="S2231" s="158">
        <v>0</v>
      </c>
      <c r="T2231" s="158">
        <v>2480.5</v>
      </c>
      <c r="Y2231"/>
      <c r="Z2231" s="168"/>
      <c r="AA2231" s="229"/>
      <c r="AF2231">
        <f t="shared" si="535"/>
        <v>0</v>
      </c>
    </row>
    <row r="2232" spans="1:32" ht="15.75" hidden="1" thickTop="1" x14ac:dyDescent="0.25">
      <c r="A2232" s="334"/>
      <c r="C2232"/>
      <c r="E2232" s="93"/>
      <c r="F2232" s="93"/>
      <c r="G2232" s="155"/>
      <c r="I2232" s="93"/>
      <c r="J2232" s="166"/>
      <c r="K2232" s="166"/>
      <c r="L2232" s="393"/>
      <c r="M2232" s="393"/>
      <c r="N2232" s="163" t="s">
        <v>5511</v>
      </c>
      <c r="Q2232" s="245"/>
      <c r="R2232" s="160"/>
      <c r="S2232" s="160"/>
      <c r="T2232" s="160"/>
      <c r="Y2232"/>
      <c r="Z2232" s="168"/>
      <c r="AA2232" s="229"/>
      <c r="AF2232">
        <f t="shared" si="535"/>
        <v>0</v>
      </c>
    </row>
    <row r="2233" spans="1:32" ht="16.5" hidden="1" customHeight="1" x14ac:dyDescent="0.25">
      <c r="A2233" s="332" t="s">
        <v>5811</v>
      </c>
      <c r="B2233" s="93" t="str">
        <f t="shared" si="534"/>
        <v>YES</v>
      </c>
      <c r="C2233" t="s">
        <v>5505</v>
      </c>
      <c r="D2233" s="95">
        <v>42633</v>
      </c>
      <c r="E2233" s="95">
        <v>42675</v>
      </c>
      <c r="F2233" s="2">
        <f t="shared" ref="F2233:F2246" si="543">DATE(YEAR(E2233)+10,MONTH(E2233),DAY(E2233))</f>
        <v>46327</v>
      </c>
      <c r="G2233" s="155">
        <v>184</v>
      </c>
      <c r="H2233" s="93" t="s">
        <v>5812</v>
      </c>
      <c r="I2233" s="93" t="s">
        <v>2186</v>
      </c>
      <c r="J2233" s="166"/>
      <c r="K2233" s="266">
        <f t="shared" ref="K2233:K2246" si="544">YEAR(F2233)</f>
        <v>2026</v>
      </c>
      <c r="L2233" s="393">
        <v>225</v>
      </c>
      <c r="M2233" s="393">
        <v>306</v>
      </c>
      <c r="N2233" s="163" t="s">
        <v>5813</v>
      </c>
      <c r="Q2233" s="243"/>
      <c r="R2233" s="92">
        <v>804</v>
      </c>
      <c r="S2233" s="92">
        <v>2392</v>
      </c>
      <c r="T2233" s="92">
        <v>3196</v>
      </c>
      <c r="U2233" s="201">
        <v>276</v>
      </c>
      <c r="V2233" s="287">
        <f t="shared" ref="V2233:V2246" ca="1" si="545">IF(YEAR($W$3)-YEAR(E2233)&gt;9,10,IF(MONTH($W$3)&lt;MONTH(E2233),YEAR($W$3)-YEAR(E2233),YEAR($W$3)-YEAR(E2233)+1))</f>
        <v>4</v>
      </c>
      <c r="W2233" s="75">
        <f t="shared" ref="W2233:W2246" ca="1" si="546">IF(V2233&lt;6, ROUNDUP(G2233,0)*$W$6*V2233, ROUNDUP(G2233,0)*($W$6*5 + (V2233-5)*$W$7))</f>
        <v>1104</v>
      </c>
      <c r="X2233" s="200">
        <f t="shared" ref="X2233:X2246" ca="1" si="547">IF(V2233=0,T2233,((T2233-ROUNDUP(G2233,0)*1.5)+W2233))</f>
        <v>4024</v>
      </c>
      <c r="Y2233"/>
      <c r="Z2233" s="174">
        <v>0.1</v>
      </c>
      <c r="AA2233" s="350">
        <v>0.1</v>
      </c>
      <c r="AB2233" s="351" t="s">
        <v>7650</v>
      </c>
      <c r="AF2233">
        <f t="shared" si="535"/>
        <v>0</v>
      </c>
    </row>
    <row r="2234" spans="1:32" ht="30" hidden="1" x14ac:dyDescent="0.25">
      <c r="A2234" s="332" t="s">
        <v>5814</v>
      </c>
      <c r="B2234" s="93" t="str">
        <f t="shared" si="534"/>
        <v>YES</v>
      </c>
      <c r="C2234" t="s">
        <v>5505</v>
      </c>
      <c r="D2234" s="95">
        <v>42633</v>
      </c>
      <c r="E2234" s="95">
        <v>42675</v>
      </c>
      <c r="F2234" s="2">
        <f t="shared" si="543"/>
        <v>46327</v>
      </c>
      <c r="G2234" s="155">
        <v>477.64</v>
      </c>
      <c r="H2234" s="93" t="s">
        <v>287</v>
      </c>
      <c r="I2234" s="93" t="s">
        <v>86</v>
      </c>
      <c r="J2234" s="166"/>
      <c r="K2234" s="266">
        <f t="shared" si="544"/>
        <v>2026</v>
      </c>
      <c r="L2234" s="399" t="s">
        <v>5514</v>
      </c>
      <c r="M2234" s="399" t="s">
        <v>5573</v>
      </c>
      <c r="N2234" s="163" t="s">
        <v>5815</v>
      </c>
      <c r="Q2234" s="243"/>
      <c r="R2234" s="92">
        <v>1833</v>
      </c>
      <c r="S2234" s="92">
        <v>956</v>
      </c>
      <c r="T2234" s="92">
        <v>2789</v>
      </c>
      <c r="U2234" s="201">
        <v>717</v>
      </c>
      <c r="V2234" s="287">
        <f t="shared" ca="1" si="545"/>
        <v>4</v>
      </c>
      <c r="W2234" s="75">
        <f t="shared" ca="1" si="546"/>
        <v>2868</v>
      </c>
      <c r="X2234" s="200">
        <f t="shared" ca="1" si="547"/>
        <v>4940</v>
      </c>
      <c r="Y2234"/>
      <c r="Z2234" s="174">
        <v>0.1</v>
      </c>
      <c r="AA2234" s="230">
        <v>0.1</v>
      </c>
      <c r="AB2234" s="312" t="s">
        <v>8128</v>
      </c>
      <c r="AF2234">
        <f t="shared" si="535"/>
        <v>0</v>
      </c>
    </row>
    <row r="2235" spans="1:32" ht="30" hidden="1" x14ac:dyDescent="0.25">
      <c r="A2235" s="332" t="s">
        <v>5816</v>
      </c>
      <c r="B2235" s="93" t="str">
        <f t="shared" si="534"/>
        <v>YES</v>
      </c>
      <c r="C2235" t="s">
        <v>5505</v>
      </c>
      <c r="D2235" s="95">
        <v>42633</v>
      </c>
      <c r="E2235" s="95">
        <v>42675</v>
      </c>
      <c r="F2235" s="2">
        <f t="shared" si="543"/>
        <v>46327</v>
      </c>
      <c r="G2235" s="155">
        <v>461.76</v>
      </c>
      <c r="H2235" s="93" t="s">
        <v>287</v>
      </c>
      <c r="I2235" s="93" t="s">
        <v>86</v>
      </c>
      <c r="J2235" s="166"/>
      <c r="K2235" s="266">
        <f t="shared" si="544"/>
        <v>2026</v>
      </c>
      <c r="L2235" s="399" t="s">
        <v>5514</v>
      </c>
      <c r="M2235" s="399" t="s">
        <v>5573</v>
      </c>
      <c r="N2235" s="163" t="s">
        <v>5817</v>
      </c>
      <c r="Q2235" s="243"/>
      <c r="R2235" s="92">
        <v>1777</v>
      </c>
      <c r="S2235" s="92">
        <v>1848</v>
      </c>
      <c r="T2235" s="92">
        <v>3625</v>
      </c>
      <c r="U2235" s="201">
        <v>693</v>
      </c>
      <c r="V2235" s="287">
        <f t="shared" ca="1" si="545"/>
        <v>4</v>
      </c>
      <c r="W2235" s="75">
        <f t="shared" ca="1" si="546"/>
        <v>2772</v>
      </c>
      <c r="X2235" s="200">
        <f t="shared" ca="1" si="547"/>
        <v>5704</v>
      </c>
      <c r="Y2235"/>
      <c r="Z2235" s="174">
        <v>0.1</v>
      </c>
      <c r="AA2235" s="230">
        <v>0.1</v>
      </c>
      <c r="AB2235" s="312" t="s">
        <v>8128</v>
      </c>
      <c r="AF2235">
        <f t="shared" si="535"/>
        <v>0</v>
      </c>
    </row>
    <row r="2236" spans="1:32" ht="90" hidden="1" x14ac:dyDescent="0.25">
      <c r="A2236" s="332" t="s">
        <v>5818</v>
      </c>
      <c r="B2236" s="93" t="str">
        <f t="shared" si="534"/>
        <v>YES</v>
      </c>
      <c r="C2236" t="s">
        <v>5505</v>
      </c>
      <c r="D2236" s="95">
        <v>42633</v>
      </c>
      <c r="E2236" s="95">
        <v>42675</v>
      </c>
      <c r="F2236" s="2">
        <f t="shared" si="543"/>
        <v>46327</v>
      </c>
      <c r="G2236" s="155">
        <v>280.73</v>
      </c>
      <c r="H2236" s="93" t="s">
        <v>287</v>
      </c>
      <c r="I2236" s="93" t="s">
        <v>86</v>
      </c>
      <c r="J2236" s="166"/>
      <c r="K2236" s="266">
        <f t="shared" si="544"/>
        <v>2026</v>
      </c>
      <c r="L2236" s="399" t="s">
        <v>5514</v>
      </c>
      <c r="M2236" s="399" t="s">
        <v>5573</v>
      </c>
      <c r="N2236" s="163" t="s">
        <v>5819</v>
      </c>
      <c r="Q2236" s="243"/>
      <c r="R2236" s="92">
        <v>1143.5</v>
      </c>
      <c r="S2236" s="92">
        <v>1124</v>
      </c>
      <c r="T2236" s="92">
        <v>2267.5</v>
      </c>
      <c r="U2236" s="201">
        <v>421.5</v>
      </c>
      <c r="V2236" s="287">
        <f t="shared" ca="1" si="545"/>
        <v>4</v>
      </c>
      <c r="W2236" s="75">
        <f t="shared" ca="1" si="546"/>
        <v>1686</v>
      </c>
      <c r="X2236" s="200">
        <f t="shared" ca="1" si="547"/>
        <v>3532</v>
      </c>
      <c r="Y2236"/>
      <c r="Z2236" s="174">
        <v>0.1</v>
      </c>
      <c r="AA2236" s="230">
        <v>0.1</v>
      </c>
      <c r="AB2236" s="312" t="s">
        <v>8128</v>
      </c>
      <c r="AF2236">
        <f t="shared" si="535"/>
        <v>0</v>
      </c>
    </row>
    <row r="2237" spans="1:32" ht="30" hidden="1" x14ac:dyDescent="0.25">
      <c r="A2237" s="332" t="s">
        <v>5820</v>
      </c>
      <c r="B2237" s="93" t="str">
        <f t="shared" si="534"/>
        <v>YES</v>
      </c>
      <c r="C2237" t="s">
        <v>5505</v>
      </c>
      <c r="D2237" s="95">
        <v>42633</v>
      </c>
      <c r="E2237" s="95">
        <v>42675</v>
      </c>
      <c r="F2237" s="2">
        <f t="shared" si="543"/>
        <v>46327</v>
      </c>
      <c r="G2237" s="155">
        <v>602.85</v>
      </c>
      <c r="H2237" s="93" t="s">
        <v>287</v>
      </c>
      <c r="I2237" s="93" t="s">
        <v>86</v>
      </c>
      <c r="J2237" s="166"/>
      <c r="K2237" s="266">
        <f t="shared" si="544"/>
        <v>2026</v>
      </c>
      <c r="L2237" s="399" t="s">
        <v>5514</v>
      </c>
      <c r="M2237" s="399" t="s">
        <v>5573</v>
      </c>
      <c r="N2237" s="163" t="s">
        <v>5821</v>
      </c>
      <c r="Q2237" s="243"/>
      <c r="R2237" s="92">
        <v>2270.5</v>
      </c>
      <c r="S2237" s="92">
        <v>3015</v>
      </c>
      <c r="T2237" s="92">
        <v>5285.5</v>
      </c>
      <c r="U2237" s="201">
        <v>904.5</v>
      </c>
      <c r="V2237" s="287">
        <f t="shared" ca="1" si="545"/>
        <v>4</v>
      </c>
      <c r="W2237" s="75">
        <f t="shared" ca="1" si="546"/>
        <v>3618</v>
      </c>
      <c r="X2237" s="200">
        <f t="shared" ca="1" si="547"/>
        <v>7999</v>
      </c>
      <c r="Y2237"/>
      <c r="Z2237" s="174">
        <v>0.1</v>
      </c>
      <c r="AA2237" s="230">
        <v>0.1</v>
      </c>
      <c r="AB2237" s="312" t="s">
        <v>8128</v>
      </c>
      <c r="AF2237">
        <f t="shared" si="535"/>
        <v>0</v>
      </c>
    </row>
    <row r="2238" spans="1:32" ht="45" hidden="1" x14ac:dyDescent="0.25">
      <c r="A2238" s="332" t="s">
        <v>5822</v>
      </c>
      <c r="B2238" s="93" t="str">
        <f t="shared" si="534"/>
        <v>YES</v>
      </c>
      <c r="C2238" t="s">
        <v>5505</v>
      </c>
      <c r="D2238" s="95">
        <v>42633</v>
      </c>
      <c r="E2238" s="95">
        <v>42675</v>
      </c>
      <c r="F2238" s="2">
        <f t="shared" si="543"/>
        <v>46327</v>
      </c>
      <c r="G2238" s="155">
        <v>396.07</v>
      </c>
      <c r="H2238" s="93" t="s">
        <v>287</v>
      </c>
      <c r="I2238" s="93" t="s">
        <v>86</v>
      </c>
      <c r="J2238" s="166"/>
      <c r="K2238" s="266">
        <f t="shared" si="544"/>
        <v>2026</v>
      </c>
      <c r="L2238" s="399" t="s">
        <v>5514</v>
      </c>
      <c r="M2238" s="399" t="s">
        <v>5573</v>
      </c>
      <c r="N2238" s="163" t="s">
        <v>8116</v>
      </c>
      <c r="Q2238" s="243"/>
      <c r="R2238" s="92">
        <v>1549.5</v>
      </c>
      <c r="S2238" s="92">
        <v>1588</v>
      </c>
      <c r="T2238" s="92">
        <v>3137.5</v>
      </c>
      <c r="U2238" s="201">
        <v>595.5</v>
      </c>
      <c r="V2238" s="287">
        <f t="shared" ca="1" si="545"/>
        <v>4</v>
      </c>
      <c r="W2238" s="75">
        <f t="shared" ca="1" si="546"/>
        <v>2382</v>
      </c>
      <c r="X2238" s="200">
        <f t="shared" ca="1" si="547"/>
        <v>4924</v>
      </c>
      <c r="Y2238"/>
      <c r="Z2238" s="174">
        <v>0.1</v>
      </c>
      <c r="AA2238" s="230">
        <v>0.1</v>
      </c>
      <c r="AB2238" s="312" t="s">
        <v>8128</v>
      </c>
      <c r="AF2238">
        <f t="shared" si="535"/>
        <v>0</v>
      </c>
    </row>
    <row r="2239" spans="1:32" ht="45" hidden="1" x14ac:dyDescent="0.25">
      <c r="A2239" s="332" t="s">
        <v>5823</v>
      </c>
      <c r="B2239" s="93" t="str">
        <f t="shared" si="534"/>
        <v>YES</v>
      </c>
      <c r="C2239" t="s">
        <v>5505</v>
      </c>
      <c r="D2239" s="95">
        <v>42633</v>
      </c>
      <c r="E2239" s="95">
        <v>42675</v>
      </c>
      <c r="F2239" s="2">
        <f t="shared" si="543"/>
        <v>46327</v>
      </c>
      <c r="G2239" s="155">
        <v>154.19</v>
      </c>
      <c r="H2239" s="93" t="s">
        <v>287</v>
      </c>
      <c r="I2239" s="93" t="s">
        <v>86</v>
      </c>
      <c r="J2239" s="166"/>
      <c r="K2239" s="266">
        <f t="shared" si="544"/>
        <v>2026</v>
      </c>
      <c r="L2239" s="399" t="s">
        <v>5514</v>
      </c>
      <c r="M2239" s="399" t="s">
        <v>5573</v>
      </c>
      <c r="N2239" s="163" t="s">
        <v>5824</v>
      </c>
      <c r="Q2239" s="243"/>
      <c r="R2239" s="92">
        <v>702.5</v>
      </c>
      <c r="S2239" s="92">
        <v>1085</v>
      </c>
      <c r="T2239" s="92">
        <v>1787.5</v>
      </c>
      <c r="U2239" s="201">
        <v>232.5</v>
      </c>
      <c r="V2239" s="287">
        <f t="shared" ca="1" si="545"/>
        <v>4</v>
      </c>
      <c r="W2239" s="75">
        <f t="shared" ca="1" si="546"/>
        <v>930</v>
      </c>
      <c r="X2239" s="200">
        <f t="shared" ca="1" si="547"/>
        <v>2485</v>
      </c>
      <c r="Y2239"/>
      <c r="Z2239" s="174">
        <v>0.1</v>
      </c>
      <c r="AA2239" s="230">
        <v>0.1</v>
      </c>
      <c r="AB2239" s="312" t="s">
        <v>8128</v>
      </c>
      <c r="AF2239">
        <f t="shared" si="535"/>
        <v>0</v>
      </c>
    </row>
    <row r="2240" spans="1:32" ht="45" hidden="1" x14ac:dyDescent="0.25">
      <c r="A2240" s="332" t="s">
        <v>5825</v>
      </c>
      <c r="B2240" s="93" t="str">
        <f t="shared" si="534"/>
        <v>YES</v>
      </c>
      <c r="C2240" t="s">
        <v>5505</v>
      </c>
      <c r="D2240" s="95">
        <v>42633</v>
      </c>
      <c r="E2240" s="95">
        <v>42675</v>
      </c>
      <c r="F2240" s="2">
        <f t="shared" si="543"/>
        <v>46327</v>
      </c>
      <c r="G2240" s="155">
        <v>566.72</v>
      </c>
      <c r="H2240" s="93" t="s">
        <v>287</v>
      </c>
      <c r="I2240" s="93" t="s">
        <v>86</v>
      </c>
      <c r="J2240" s="166"/>
      <c r="K2240" s="266">
        <f t="shared" si="544"/>
        <v>2026</v>
      </c>
      <c r="L2240" s="399" t="s">
        <v>5514</v>
      </c>
      <c r="M2240" s="399" t="s">
        <v>5573</v>
      </c>
      <c r="N2240" s="163" t="s">
        <v>5826</v>
      </c>
      <c r="Q2240" s="243"/>
      <c r="R2240" s="92">
        <v>2144.5</v>
      </c>
      <c r="S2240" s="92">
        <v>2835</v>
      </c>
      <c r="T2240" s="92">
        <v>4979.5</v>
      </c>
      <c r="U2240" s="201">
        <v>850.5</v>
      </c>
      <c r="V2240" s="287">
        <f t="shared" ca="1" si="545"/>
        <v>4</v>
      </c>
      <c r="W2240" s="75">
        <f t="shared" ca="1" si="546"/>
        <v>3402</v>
      </c>
      <c r="X2240" s="200">
        <f t="shared" ca="1" si="547"/>
        <v>7531</v>
      </c>
      <c r="Y2240"/>
      <c r="Z2240" s="174">
        <v>0.1</v>
      </c>
      <c r="AA2240" s="230">
        <v>0.1</v>
      </c>
      <c r="AB2240" s="312" t="s">
        <v>8128</v>
      </c>
      <c r="AF2240">
        <f t="shared" si="535"/>
        <v>0</v>
      </c>
    </row>
    <row r="2241" spans="1:32" ht="135" hidden="1" x14ac:dyDescent="0.25">
      <c r="A2241" s="332" t="s">
        <v>5827</v>
      </c>
      <c r="B2241" s="93" t="str">
        <f t="shared" si="534"/>
        <v>YES</v>
      </c>
      <c r="C2241" t="s">
        <v>5505</v>
      </c>
      <c r="D2241" s="95">
        <v>42633</v>
      </c>
      <c r="E2241" s="95">
        <v>42675</v>
      </c>
      <c r="F2241" s="2">
        <f t="shared" si="543"/>
        <v>46327</v>
      </c>
      <c r="G2241" s="155">
        <v>54.48</v>
      </c>
      <c r="H2241" s="93" t="s">
        <v>287</v>
      </c>
      <c r="I2241" s="93" t="s">
        <v>86</v>
      </c>
      <c r="J2241" s="166"/>
      <c r="K2241" s="266">
        <f t="shared" si="544"/>
        <v>2026</v>
      </c>
      <c r="L2241" s="399" t="s">
        <v>5514</v>
      </c>
      <c r="M2241" s="399" t="s">
        <v>5573</v>
      </c>
      <c r="N2241" s="163" t="s">
        <v>5828</v>
      </c>
      <c r="Q2241" s="243"/>
      <c r="R2241" s="92">
        <v>352.5</v>
      </c>
      <c r="S2241" s="92">
        <v>1155</v>
      </c>
      <c r="T2241" s="92">
        <v>1507.5</v>
      </c>
      <c r="U2241" s="201">
        <v>82.5</v>
      </c>
      <c r="V2241" s="287">
        <f t="shared" ca="1" si="545"/>
        <v>4</v>
      </c>
      <c r="W2241" s="75">
        <f t="shared" ca="1" si="546"/>
        <v>330</v>
      </c>
      <c r="X2241" s="200">
        <f t="shared" ca="1" si="547"/>
        <v>1755</v>
      </c>
      <c r="Y2241"/>
      <c r="Z2241" s="174">
        <v>0.1</v>
      </c>
      <c r="AA2241" s="230">
        <v>0.1</v>
      </c>
      <c r="AB2241" s="312" t="s">
        <v>8128</v>
      </c>
      <c r="AF2241">
        <f t="shared" si="535"/>
        <v>0</v>
      </c>
    </row>
    <row r="2242" spans="1:32" ht="45" hidden="1" x14ac:dyDescent="0.25">
      <c r="A2242" s="332" t="s">
        <v>5829</v>
      </c>
      <c r="B2242" s="93" t="str">
        <f t="shared" si="534"/>
        <v>YES</v>
      </c>
      <c r="C2242" t="s">
        <v>5505</v>
      </c>
      <c r="D2242" s="95">
        <v>42633</v>
      </c>
      <c r="E2242" s="95">
        <v>42675</v>
      </c>
      <c r="F2242" s="2">
        <f t="shared" si="543"/>
        <v>46327</v>
      </c>
      <c r="G2242" s="155">
        <v>340.82</v>
      </c>
      <c r="H2242" s="93" t="s">
        <v>287</v>
      </c>
      <c r="I2242" s="93" t="s">
        <v>86</v>
      </c>
      <c r="J2242" s="166"/>
      <c r="K2242" s="266">
        <f t="shared" si="544"/>
        <v>2026</v>
      </c>
      <c r="L2242" s="399" t="s">
        <v>5514</v>
      </c>
      <c r="M2242" s="399" t="s">
        <v>5573</v>
      </c>
      <c r="N2242" s="163" t="s">
        <v>5830</v>
      </c>
      <c r="Q2242" s="243"/>
      <c r="R2242" s="92">
        <v>1353.5</v>
      </c>
      <c r="S2242" s="92">
        <v>1364</v>
      </c>
      <c r="T2242" s="92">
        <v>2717.5</v>
      </c>
      <c r="U2242" s="201">
        <v>511.5</v>
      </c>
      <c r="V2242" s="287">
        <f t="shared" ca="1" si="545"/>
        <v>4</v>
      </c>
      <c r="W2242" s="75">
        <f t="shared" ca="1" si="546"/>
        <v>2046</v>
      </c>
      <c r="X2242" s="200">
        <f t="shared" ca="1" si="547"/>
        <v>4252</v>
      </c>
      <c r="Y2242"/>
      <c r="Z2242" s="174">
        <v>0.1</v>
      </c>
      <c r="AA2242" s="230">
        <v>0.1</v>
      </c>
      <c r="AB2242" s="312" t="s">
        <v>8128</v>
      </c>
      <c r="AF2242">
        <f t="shared" si="535"/>
        <v>0</v>
      </c>
    </row>
    <row r="2243" spans="1:32" ht="30" hidden="1" x14ac:dyDescent="0.25">
      <c r="A2243" s="332" t="s">
        <v>5831</v>
      </c>
      <c r="B2243" s="93" t="str">
        <f t="shared" si="534"/>
        <v>YES</v>
      </c>
      <c r="C2243" t="s">
        <v>5505</v>
      </c>
      <c r="D2243" s="95">
        <v>42633</v>
      </c>
      <c r="E2243" s="95">
        <v>42675</v>
      </c>
      <c r="F2243" s="2">
        <f t="shared" si="543"/>
        <v>46327</v>
      </c>
      <c r="G2243" s="155">
        <v>575.69000000000005</v>
      </c>
      <c r="H2243" s="93" t="s">
        <v>287</v>
      </c>
      <c r="I2243" s="93" t="s">
        <v>86</v>
      </c>
      <c r="J2243" s="166"/>
      <c r="K2243" s="266">
        <f t="shared" si="544"/>
        <v>2026</v>
      </c>
      <c r="L2243" s="399" t="s">
        <v>5514</v>
      </c>
      <c r="M2243" s="399" t="s">
        <v>5573</v>
      </c>
      <c r="N2243" s="163" t="s">
        <v>5832</v>
      </c>
      <c r="Q2243" s="243"/>
      <c r="R2243" s="92">
        <v>2176</v>
      </c>
      <c r="S2243" s="92">
        <v>13824</v>
      </c>
      <c r="T2243" s="92">
        <v>16000</v>
      </c>
      <c r="U2243" s="201">
        <v>864</v>
      </c>
      <c r="V2243" s="287">
        <f t="shared" ca="1" si="545"/>
        <v>4</v>
      </c>
      <c r="W2243" s="75">
        <f t="shared" ca="1" si="546"/>
        <v>3456</v>
      </c>
      <c r="X2243" s="200">
        <f t="shared" ca="1" si="547"/>
        <v>18592</v>
      </c>
      <c r="Y2243"/>
      <c r="Z2243" s="174">
        <v>0.1</v>
      </c>
      <c r="AA2243" s="230">
        <v>0.1</v>
      </c>
      <c r="AB2243" s="312" t="s">
        <v>8128</v>
      </c>
      <c r="AF2243">
        <f t="shared" si="535"/>
        <v>0</v>
      </c>
    </row>
    <row r="2244" spans="1:32" ht="45" hidden="1" x14ac:dyDescent="0.25">
      <c r="A2244" s="332" t="s">
        <v>5833</v>
      </c>
      <c r="B2244" s="93" t="str">
        <f t="shared" si="534"/>
        <v>YES</v>
      </c>
      <c r="C2244" t="s">
        <v>5505</v>
      </c>
      <c r="D2244" s="95">
        <v>42633</v>
      </c>
      <c r="E2244" s="95">
        <v>42675</v>
      </c>
      <c r="F2244" s="2">
        <f t="shared" si="543"/>
        <v>46327</v>
      </c>
      <c r="G2244" s="155">
        <v>86.21</v>
      </c>
      <c r="H2244" s="93" t="s">
        <v>453</v>
      </c>
      <c r="I2244" s="93" t="s">
        <v>86</v>
      </c>
      <c r="J2244" s="166"/>
      <c r="K2244" s="266">
        <f t="shared" si="544"/>
        <v>2026</v>
      </c>
      <c r="L2244" s="399" t="s">
        <v>5834</v>
      </c>
      <c r="M2244" s="399" t="s">
        <v>5835</v>
      </c>
      <c r="N2244" s="163" t="s">
        <v>5836</v>
      </c>
      <c r="Q2244" s="243"/>
      <c r="R2244" s="92">
        <v>464.5</v>
      </c>
      <c r="S2244" s="92">
        <v>15834</v>
      </c>
      <c r="T2244" s="92">
        <v>16298.5</v>
      </c>
      <c r="U2244" s="201">
        <v>130.5</v>
      </c>
      <c r="V2244" s="287">
        <f t="shared" ca="1" si="545"/>
        <v>4</v>
      </c>
      <c r="W2244" s="75">
        <f t="shared" ca="1" si="546"/>
        <v>522</v>
      </c>
      <c r="X2244" s="200">
        <f t="shared" ca="1" si="547"/>
        <v>16690</v>
      </c>
      <c r="Y2244"/>
      <c r="Z2244" s="174">
        <v>0.1</v>
      </c>
      <c r="AA2244" s="230">
        <v>0.1</v>
      </c>
      <c r="AF2244">
        <f t="shared" si="535"/>
        <v>0</v>
      </c>
    </row>
    <row r="2245" spans="1:32" ht="30" hidden="1" x14ac:dyDescent="0.25">
      <c r="A2245" s="332" t="s">
        <v>5837</v>
      </c>
      <c r="B2245" s="93" t="str">
        <f t="shared" si="534"/>
        <v>YES</v>
      </c>
      <c r="C2245" t="s">
        <v>5505</v>
      </c>
      <c r="D2245" s="95">
        <v>42633</v>
      </c>
      <c r="E2245" s="95">
        <v>42675</v>
      </c>
      <c r="F2245" s="2">
        <f t="shared" si="543"/>
        <v>46327</v>
      </c>
      <c r="G2245" s="155">
        <v>117.31</v>
      </c>
      <c r="H2245" s="93" t="s">
        <v>453</v>
      </c>
      <c r="I2245" s="93" t="s">
        <v>86</v>
      </c>
      <c r="J2245" s="166"/>
      <c r="K2245" s="266">
        <f t="shared" si="544"/>
        <v>2026</v>
      </c>
      <c r="L2245" s="399" t="s">
        <v>5834</v>
      </c>
      <c r="M2245" s="399" t="s">
        <v>5835</v>
      </c>
      <c r="N2245" s="163" t="s">
        <v>5838</v>
      </c>
      <c r="Q2245" s="243"/>
      <c r="R2245" s="92">
        <v>573</v>
      </c>
      <c r="S2245" s="92">
        <v>5782</v>
      </c>
      <c r="T2245" s="92">
        <v>6355</v>
      </c>
      <c r="U2245" s="201">
        <v>177</v>
      </c>
      <c r="V2245" s="287">
        <f t="shared" ca="1" si="545"/>
        <v>4</v>
      </c>
      <c r="W2245" s="75">
        <f t="shared" ca="1" si="546"/>
        <v>708</v>
      </c>
      <c r="X2245" s="200">
        <f t="shared" ca="1" si="547"/>
        <v>6886</v>
      </c>
      <c r="Y2245"/>
      <c r="Z2245" s="174">
        <v>0.1</v>
      </c>
      <c r="AA2245" s="230">
        <v>0.1</v>
      </c>
      <c r="AF2245">
        <f t="shared" si="535"/>
        <v>0</v>
      </c>
    </row>
    <row r="2246" spans="1:32" ht="60" hidden="1" x14ac:dyDescent="0.25">
      <c r="A2246" s="332" t="s">
        <v>5839</v>
      </c>
      <c r="B2246" s="93" t="str">
        <f t="shared" si="534"/>
        <v>YES</v>
      </c>
      <c r="C2246" t="s">
        <v>5505</v>
      </c>
      <c r="D2246" s="95">
        <v>42633</v>
      </c>
      <c r="E2246" s="95">
        <v>42675</v>
      </c>
      <c r="F2246" s="2">
        <f t="shared" si="543"/>
        <v>46327</v>
      </c>
      <c r="G2246" s="155">
        <v>56.41</v>
      </c>
      <c r="H2246" s="93" t="s">
        <v>3750</v>
      </c>
      <c r="I2246" s="93" t="s">
        <v>86</v>
      </c>
      <c r="J2246" s="166"/>
      <c r="K2246" s="266">
        <f t="shared" si="544"/>
        <v>2026</v>
      </c>
      <c r="L2246" s="399" t="s">
        <v>5519</v>
      </c>
      <c r="M2246" s="399" t="s">
        <v>5840</v>
      </c>
      <c r="N2246" s="163" t="s">
        <v>5841</v>
      </c>
      <c r="Q2246" s="243"/>
      <c r="R2246" s="92">
        <v>359.5</v>
      </c>
      <c r="S2246" s="92">
        <v>9918</v>
      </c>
      <c r="T2246" s="92">
        <v>10277.5</v>
      </c>
      <c r="U2246" s="201">
        <v>85.5</v>
      </c>
      <c r="V2246" s="287">
        <f t="shared" ca="1" si="545"/>
        <v>4</v>
      </c>
      <c r="W2246" s="75">
        <f t="shared" ca="1" si="546"/>
        <v>342</v>
      </c>
      <c r="X2246" s="200">
        <f t="shared" ca="1" si="547"/>
        <v>10534</v>
      </c>
      <c r="Y2246"/>
      <c r="Z2246" s="174">
        <v>0.1</v>
      </c>
      <c r="AA2246" s="230">
        <v>0.1</v>
      </c>
      <c r="AB2246" s="312" t="s">
        <v>7652</v>
      </c>
      <c r="AC2246" s="310">
        <v>43572</v>
      </c>
      <c r="AD2246" s="311">
        <v>0.25</v>
      </c>
      <c r="AE2246" s="302" t="s">
        <v>7653</v>
      </c>
      <c r="AF2246">
        <f t="shared" si="535"/>
        <v>0</v>
      </c>
    </row>
    <row r="2247" spans="1:32" hidden="1" x14ac:dyDescent="0.25">
      <c r="A2247" s="334"/>
      <c r="C2247"/>
      <c r="D2247" s="95"/>
      <c r="E2247" s="93"/>
      <c r="F2247" s="93"/>
      <c r="G2247" s="155"/>
      <c r="I2247" s="93"/>
      <c r="J2247" s="166"/>
      <c r="K2247" s="166"/>
      <c r="L2247" s="393"/>
      <c r="M2247" s="393"/>
      <c r="N2247" s="163" t="s">
        <v>5511</v>
      </c>
      <c r="Q2247" s="245"/>
      <c r="R2247" s="138"/>
      <c r="S2247" s="138"/>
      <c r="T2247" s="138"/>
      <c r="Y2247"/>
      <c r="Z2247" s="174"/>
      <c r="AA2247" s="230"/>
      <c r="AF2247">
        <f t="shared" si="535"/>
        <v>0</v>
      </c>
    </row>
    <row r="2248" spans="1:32" hidden="1" x14ac:dyDescent="0.25">
      <c r="A2248" s="334"/>
      <c r="C2248"/>
      <c r="E2248" s="93"/>
      <c r="F2248" s="93"/>
      <c r="G2248" s="155"/>
      <c r="I2248" s="93"/>
      <c r="J2248" s="166"/>
      <c r="K2248" s="166"/>
      <c r="L2248" s="393"/>
      <c r="M2248" s="393"/>
      <c r="N2248" s="163" t="s">
        <v>5511</v>
      </c>
      <c r="Q2248" s="245"/>
      <c r="R2248" s="158">
        <v>17503.5</v>
      </c>
      <c r="S2248" s="158">
        <v>62720</v>
      </c>
      <c r="T2248" s="158">
        <v>80223.5</v>
      </c>
      <c r="Y2248"/>
      <c r="Z2248" s="168"/>
      <c r="AA2248" s="229"/>
      <c r="AF2248">
        <f t="shared" si="535"/>
        <v>0</v>
      </c>
    </row>
    <row r="2249" spans="1:32" ht="15.75" hidden="1" thickTop="1" x14ac:dyDescent="0.25">
      <c r="A2249" s="334"/>
      <c r="C2249"/>
      <c r="E2249" s="93"/>
      <c r="F2249" s="93"/>
      <c r="G2249" s="155"/>
      <c r="I2249" s="93"/>
      <c r="J2249" s="166"/>
      <c r="K2249" s="166"/>
      <c r="L2249" s="393"/>
      <c r="M2249" s="393"/>
      <c r="N2249" s="163" t="s">
        <v>5511</v>
      </c>
      <c r="Q2249" s="245"/>
      <c r="R2249" s="160"/>
      <c r="S2249" s="160"/>
      <c r="T2249" s="160"/>
      <c r="Y2249"/>
      <c r="Z2249" s="168"/>
      <c r="AA2249" s="229"/>
      <c r="AF2249">
        <f t="shared" si="535"/>
        <v>0</v>
      </c>
    </row>
    <row r="2250" spans="1:32" ht="30" hidden="1" x14ac:dyDescent="0.25">
      <c r="A2250" s="332" t="s">
        <v>5842</v>
      </c>
      <c r="B2250" s="93" t="str">
        <f t="shared" si="534"/>
        <v>YES</v>
      </c>
      <c r="C2250" t="s">
        <v>5505</v>
      </c>
      <c r="D2250" s="95">
        <v>42717</v>
      </c>
      <c r="E2250" s="95">
        <v>42767</v>
      </c>
      <c r="F2250" s="2">
        <f t="shared" ref="F2250" si="548">DATE(YEAR(E2250)+10,MONTH(E2250),DAY(E2250))</f>
        <v>46419</v>
      </c>
      <c r="G2250" s="155">
        <v>40.03</v>
      </c>
      <c r="H2250" s="93" t="s">
        <v>287</v>
      </c>
      <c r="I2250" s="93" t="s">
        <v>86</v>
      </c>
      <c r="J2250" s="173"/>
      <c r="K2250" s="266">
        <f>YEAR(F2250)</f>
        <v>2027</v>
      </c>
      <c r="L2250" s="399" t="s">
        <v>5514</v>
      </c>
      <c r="M2250" s="399" t="s">
        <v>5573</v>
      </c>
      <c r="N2250" s="163" t="s">
        <v>5843</v>
      </c>
      <c r="Q2250" s="243"/>
      <c r="R2250" s="92">
        <v>1287.5</v>
      </c>
      <c r="S2250" s="92">
        <v>0</v>
      </c>
      <c r="T2250" s="92">
        <v>1287.5</v>
      </c>
      <c r="U2250" s="201">
        <v>61.5</v>
      </c>
      <c r="V2250" s="287">
        <f ca="1">IF(YEAR($W$3)-YEAR(E2250)&gt;9,10,IF(MONTH($W$3)&lt;MONTH(E2250),YEAR($W$3)-YEAR(E2250),YEAR($W$3)-YEAR(E2250)+1))</f>
        <v>3</v>
      </c>
      <c r="W2250" s="75">
        <f ca="1">IF(V2250&lt;6, ROUNDUP(G2250,0)*$W$6*V2250, ROUNDUP(G2250,0)*($W$6*5 + (V2250-5)*$W$7))</f>
        <v>184.5</v>
      </c>
      <c r="X2250" s="200">
        <f ca="1">IF(V2250=0,T2250,((T2250-ROUNDUP(G2250,0)*1.5)+W2250))</f>
        <v>1410.5</v>
      </c>
      <c r="Y2250"/>
      <c r="Z2250" s="156">
        <v>0.1</v>
      </c>
      <c r="AA2250" s="227">
        <v>0.1</v>
      </c>
      <c r="AB2250" s="312" t="s">
        <v>8128</v>
      </c>
      <c r="AF2250">
        <f t="shared" si="535"/>
        <v>0</v>
      </c>
    </row>
    <row r="2251" spans="1:32" hidden="1" x14ac:dyDescent="0.25">
      <c r="A2251" s="334"/>
      <c r="C2251"/>
      <c r="E2251" s="93"/>
      <c r="F2251" s="93"/>
      <c r="G2251" s="155"/>
      <c r="I2251" s="93"/>
      <c r="J2251" s="166"/>
      <c r="K2251" s="166"/>
      <c r="L2251" s="393"/>
      <c r="M2251" s="393"/>
      <c r="N2251" s="163" t="s">
        <v>5511</v>
      </c>
      <c r="Q2251" s="245"/>
      <c r="Y2251"/>
      <c r="Z2251" s="168"/>
      <c r="AA2251" s="229"/>
      <c r="AF2251">
        <f t="shared" si="535"/>
        <v>0</v>
      </c>
    </row>
    <row r="2252" spans="1:32" ht="90" hidden="1" x14ac:dyDescent="0.25">
      <c r="A2252" s="332" t="s">
        <v>5844</v>
      </c>
      <c r="B2252" s="93" t="str">
        <f t="shared" si="534"/>
        <v>YES</v>
      </c>
      <c r="C2252" t="s">
        <v>5505</v>
      </c>
      <c r="D2252" s="95">
        <v>42808</v>
      </c>
      <c r="E2252" s="95">
        <v>42856</v>
      </c>
      <c r="F2252" s="2">
        <f t="shared" ref="F2252:F2253" si="549">DATE(YEAR(E2252)+10,MONTH(E2252),DAY(E2252))</f>
        <v>46508</v>
      </c>
      <c r="G2252" s="155">
        <v>1378.53</v>
      </c>
      <c r="H2252" s="93" t="s">
        <v>5845</v>
      </c>
      <c r="I2252" s="93" t="s">
        <v>5846</v>
      </c>
      <c r="J2252" s="166"/>
      <c r="K2252" s="266">
        <f>YEAR(F2252)</f>
        <v>2027</v>
      </c>
      <c r="L2252" s="393" t="s">
        <v>5623</v>
      </c>
      <c r="M2252" s="393" t="s">
        <v>5627</v>
      </c>
      <c r="N2252" s="163" t="s">
        <v>5847</v>
      </c>
      <c r="Q2252" s="243" t="s">
        <v>7993</v>
      </c>
      <c r="R2252" s="92">
        <v>4986.5</v>
      </c>
      <c r="T2252" s="92">
        <v>4986.5</v>
      </c>
      <c r="U2252" s="201">
        <v>2068.5</v>
      </c>
      <c r="V2252" s="287">
        <f ca="1">IF(YEAR($W$3)-YEAR(E2252)&gt;9,10,IF(MONTH($W$3)&lt;MONTH(E2252),YEAR($W$3)-YEAR(E2252),YEAR($W$3)-YEAR(E2252)+1))</f>
        <v>3</v>
      </c>
      <c r="W2252" s="75">
        <f t="shared" ref="W2252:W2253" ca="1" si="550">IF(V2252&lt;6, ROUNDUP(G2252,0)*$W$6*V2252, ROUNDUP(G2252,0)*($W$6*5 + (V2252-5)*$W$7))</f>
        <v>6205.5</v>
      </c>
      <c r="X2252" s="200">
        <f t="shared" ref="X2252:X2253" ca="1" si="551">IF(V2252=0,T2252,((T2252-ROUNDUP(G2252,0)*1.5)+W2252))</f>
        <v>9123.5</v>
      </c>
      <c r="Y2252"/>
      <c r="Z2252" s="156">
        <v>0.1</v>
      </c>
      <c r="AA2252" s="227">
        <v>0.1</v>
      </c>
      <c r="AB2252" s="312" t="s">
        <v>7851</v>
      </c>
      <c r="AF2252">
        <f t="shared" si="535"/>
        <v>0</v>
      </c>
    </row>
    <row r="2253" spans="1:32" ht="45" hidden="1" x14ac:dyDescent="0.25">
      <c r="A2253" s="332" t="s">
        <v>5848</v>
      </c>
      <c r="B2253" s="93" t="str">
        <f t="shared" si="534"/>
        <v>YES</v>
      </c>
      <c r="C2253" t="s">
        <v>5505</v>
      </c>
      <c r="D2253" s="95">
        <v>42808</v>
      </c>
      <c r="E2253" s="95">
        <v>42856</v>
      </c>
      <c r="F2253" s="2">
        <f t="shared" si="549"/>
        <v>46508</v>
      </c>
      <c r="G2253" s="155">
        <v>1443.39</v>
      </c>
      <c r="H2253" s="93" t="s">
        <v>5845</v>
      </c>
      <c r="I2253" s="93" t="s">
        <v>5846</v>
      </c>
      <c r="J2253" s="166"/>
      <c r="K2253" s="266">
        <f>YEAR(F2253)</f>
        <v>2027</v>
      </c>
      <c r="L2253" s="393" t="s">
        <v>5849</v>
      </c>
      <c r="M2253" s="393" t="s">
        <v>5627</v>
      </c>
      <c r="N2253" s="163" t="s">
        <v>5850</v>
      </c>
      <c r="Q2253" s="243" t="s">
        <v>7994</v>
      </c>
      <c r="R2253" s="92">
        <v>5214</v>
      </c>
      <c r="T2253" s="92">
        <v>5214</v>
      </c>
      <c r="U2253" s="201">
        <v>2166</v>
      </c>
      <c r="V2253" s="287">
        <f ca="1">IF(YEAR($W$3)-YEAR(E2253)&gt;9,10,IF(MONTH($W$3)&lt;MONTH(E2253),YEAR($W$3)-YEAR(E2253),YEAR($W$3)-YEAR(E2253)+1))</f>
        <v>3</v>
      </c>
      <c r="W2253" s="75">
        <f t="shared" ca="1" si="550"/>
        <v>6498</v>
      </c>
      <c r="X2253" s="200">
        <f t="shared" ca="1" si="551"/>
        <v>9546</v>
      </c>
      <c r="Y2253"/>
      <c r="Z2253" s="156">
        <v>0.1</v>
      </c>
      <c r="AA2253" s="227">
        <v>0.1</v>
      </c>
      <c r="AB2253" s="312" t="s">
        <v>7851</v>
      </c>
      <c r="AF2253">
        <f t="shared" si="535"/>
        <v>0</v>
      </c>
    </row>
    <row r="2254" spans="1:32" hidden="1" x14ac:dyDescent="0.25">
      <c r="A2254" s="334"/>
      <c r="C2254"/>
      <c r="E2254" s="93"/>
      <c r="F2254" s="93"/>
      <c r="G2254" s="155"/>
      <c r="I2254" s="93"/>
      <c r="J2254" s="166"/>
      <c r="K2254" s="166"/>
      <c r="L2254" s="393"/>
      <c r="M2254" s="393"/>
      <c r="N2254" s="163" t="s">
        <v>5511</v>
      </c>
      <c r="Q2254" s="245"/>
      <c r="Y2254"/>
      <c r="Z2254" s="168"/>
      <c r="AA2254" s="229"/>
      <c r="AF2254">
        <f t="shared" si="535"/>
        <v>0</v>
      </c>
    </row>
    <row r="2255" spans="1:32" ht="45" hidden="1" x14ac:dyDescent="0.25">
      <c r="A2255" s="332" t="s">
        <v>5851</v>
      </c>
      <c r="B2255" s="93" t="str">
        <f t="shared" si="534"/>
        <v>YES</v>
      </c>
      <c r="C2255" t="s">
        <v>5505</v>
      </c>
      <c r="D2255" s="95">
        <v>42899</v>
      </c>
      <c r="E2255" s="95">
        <v>42917</v>
      </c>
      <c r="F2255" s="2">
        <f t="shared" ref="F2255:F2266" si="552">DATE(YEAR(E2255)+10,MONTH(E2255),DAY(E2255))</f>
        <v>46569</v>
      </c>
      <c r="G2255" s="155">
        <v>360</v>
      </c>
      <c r="H2255" s="93" t="s">
        <v>5852</v>
      </c>
      <c r="I2255" s="93" t="s">
        <v>5622</v>
      </c>
      <c r="J2255" s="166"/>
      <c r="K2255" s="266">
        <f t="shared" ref="K2255:K2266" si="553">YEAR(F2255)</f>
        <v>2027</v>
      </c>
      <c r="L2255" s="393" t="s">
        <v>5638</v>
      </c>
      <c r="M2255" s="393" t="s">
        <v>5853</v>
      </c>
      <c r="N2255" s="163" t="s">
        <v>5854</v>
      </c>
      <c r="Q2255" s="243"/>
      <c r="R2255" s="92">
        <v>1420</v>
      </c>
      <c r="S2255" s="92">
        <v>3240</v>
      </c>
      <c r="T2255" s="92">
        <v>4660</v>
      </c>
      <c r="U2255" s="201">
        <v>540</v>
      </c>
      <c r="V2255" s="287">
        <f t="shared" ref="V2255:V2266" ca="1" si="554">IF(YEAR($W$3)-YEAR(E2255)&gt;9,10,IF(MONTH($W$3)&lt;MONTH(E2255),YEAR($W$3)-YEAR(E2255),YEAR($W$3)-YEAR(E2255)+1))</f>
        <v>3</v>
      </c>
      <c r="W2255" s="75">
        <f t="shared" ref="W2255:W2266" ca="1" si="555">IF(V2255&lt;6, ROUNDUP(G2255,0)*$W$6*V2255, ROUNDUP(G2255,0)*($W$6*5 + (V2255-5)*$W$7))</f>
        <v>1620</v>
      </c>
      <c r="X2255" s="200">
        <f t="shared" ref="X2255:X2266" ca="1" si="556">IF(V2255=0,T2255,((T2255-ROUNDUP(G2255,0)*1.5)+W2255))</f>
        <v>5740</v>
      </c>
      <c r="Y2255"/>
      <c r="Z2255" s="156">
        <v>0.1</v>
      </c>
      <c r="AA2255" s="227">
        <v>0.1</v>
      </c>
      <c r="AB2255" s="312" t="s">
        <v>8014</v>
      </c>
      <c r="AF2255">
        <f t="shared" si="535"/>
        <v>0</v>
      </c>
    </row>
    <row r="2256" spans="1:32" ht="30" hidden="1" x14ac:dyDescent="0.25">
      <c r="A2256" s="332" t="s">
        <v>5855</v>
      </c>
      <c r="B2256" s="93" t="str">
        <f t="shared" si="534"/>
        <v>YES</v>
      </c>
      <c r="C2256" t="s">
        <v>5505</v>
      </c>
      <c r="D2256" s="95">
        <v>42899</v>
      </c>
      <c r="E2256" s="95">
        <v>42917</v>
      </c>
      <c r="F2256" s="2">
        <f t="shared" si="552"/>
        <v>46569</v>
      </c>
      <c r="G2256" s="155">
        <v>240</v>
      </c>
      <c r="H2256" s="93" t="s">
        <v>5852</v>
      </c>
      <c r="I2256" s="93" t="s">
        <v>5622</v>
      </c>
      <c r="J2256" s="166"/>
      <c r="K2256" s="266">
        <f t="shared" si="553"/>
        <v>2027</v>
      </c>
      <c r="L2256" s="393" t="s">
        <v>5638</v>
      </c>
      <c r="M2256" s="393" t="s">
        <v>5853</v>
      </c>
      <c r="N2256" s="163" t="s">
        <v>5856</v>
      </c>
      <c r="Q2256" s="243"/>
      <c r="R2256" s="92">
        <v>1000</v>
      </c>
      <c r="S2256" s="92">
        <v>2400</v>
      </c>
      <c r="T2256" s="92">
        <v>3400</v>
      </c>
      <c r="U2256" s="201">
        <v>360</v>
      </c>
      <c r="V2256" s="287">
        <f t="shared" ca="1" si="554"/>
        <v>3</v>
      </c>
      <c r="W2256" s="75">
        <f t="shared" ca="1" si="555"/>
        <v>1080</v>
      </c>
      <c r="X2256" s="200">
        <f t="shared" ca="1" si="556"/>
        <v>4120</v>
      </c>
      <c r="Y2256"/>
      <c r="Z2256" s="156">
        <v>0.1</v>
      </c>
      <c r="AA2256" s="227">
        <v>0.1</v>
      </c>
      <c r="AB2256" s="312" t="s">
        <v>8014</v>
      </c>
      <c r="AF2256">
        <f t="shared" si="535"/>
        <v>0</v>
      </c>
    </row>
    <row r="2257" spans="1:32" ht="30" hidden="1" x14ac:dyDescent="0.25">
      <c r="A2257" s="332" t="s">
        <v>5857</v>
      </c>
      <c r="B2257" s="93" t="str">
        <f t="shared" si="534"/>
        <v>YES</v>
      </c>
      <c r="C2257" t="s">
        <v>5505</v>
      </c>
      <c r="D2257" s="95">
        <v>42899</v>
      </c>
      <c r="E2257" s="95">
        <v>42917</v>
      </c>
      <c r="F2257" s="2">
        <f t="shared" si="552"/>
        <v>46569</v>
      </c>
      <c r="G2257" s="155">
        <v>600</v>
      </c>
      <c r="H2257" s="93" t="s">
        <v>5852</v>
      </c>
      <c r="I2257" s="93" t="s">
        <v>5622</v>
      </c>
      <c r="J2257" s="166"/>
      <c r="K2257" s="266">
        <f t="shared" si="553"/>
        <v>2027</v>
      </c>
      <c r="L2257" s="393" t="s">
        <v>5638</v>
      </c>
      <c r="M2257" s="393" t="s">
        <v>5853</v>
      </c>
      <c r="N2257" s="163" t="s">
        <v>5858</v>
      </c>
      <c r="Q2257" s="243"/>
      <c r="R2257" s="92">
        <v>2260</v>
      </c>
      <c r="S2257" s="92">
        <v>24000</v>
      </c>
      <c r="T2257" s="92">
        <v>26260</v>
      </c>
      <c r="U2257" s="201">
        <v>900</v>
      </c>
      <c r="V2257" s="287">
        <f t="shared" ca="1" si="554"/>
        <v>3</v>
      </c>
      <c r="W2257" s="75">
        <f t="shared" ca="1" si="555"/>
        <v>2700</v>
      </c>
      <c r="X2257" s="200">
        <f t="shared" ca="1" si="556"/>
        <v>28060</v>
      </c>
      <c r="Y2257"/>
      <c r="Z2257" s="156">
        <v>0.1</v>
      </c>
      <c r="AA2257" s="227">
        <v>0.1</v>
      </c>
      <c r="AB2257" s="312" t="s">
        <v>8014</v>
      </c>
      <c r="AF2257">
        <f t="shared" si="535"/>
        <v>0</v>
      </c>
    </row>
    <row r="2258" spans="1:32" ht="30" hidden="1" x14ac:dyDescent="0.25">
      <c r="A2258" s="332" t="s">
        <v>5859</v>
      </c>
      <c r="B2258" s="93" t="str">
        <f t="shared" si="534"/>
        <v>YES</v>
      </c>
      <c r="C2258" t="s">
        <v>5505</v>
      </c>
      <c r="D2258" s="95">
        <v>42899</v>
      </c>
      <c r="E2258" s="95">
        <v>42917</v>
      </c>
      <c r="F2258" s="2">
        <f t="shared" si="552"/>
        <v>46569</v>
      </c>
      <c r="G2258" s="155">
        <v>120</v>
      </c>
      <c r="H2258" s="93" t="s">
        <v>5852</v>
      </c>
      <c r="I2258" s="93" t="s">
        <v>5622</v>
      </c>
      <c r="J2258" s="166"/>
      <c r="K2258" s="266">
        <f t="shared" si="553"/>
        <v>2027</v>
      </c>
      <c r="L2258" s="393" t="s">
        <v>5638</v>
      </c>
      <c r="M2258" s="393" t="s">
        <v>5853</v>
      </c>
      <c r="N2258" s="163" t="s">
        <v>5860</v>
      </c>
      <c r="Q2258" s="243"/>
      <c r="R2258" s="92">
        <v>580</v>
      </c>
      <c r="S2258" s="92">
        <v>1200</v>
      </c>
      <c r="T2258" s="92">
        <v>1780</v>
      </c>
      <c r="U2258" s="201">
        <v>180</v>
      </c>
      <c r="V2258" s="287">
        <f t="shared" ca="1" si="554"/>
        <v>3</v>
      </c>
      <c r="W2258" s="75">
        <f t="shared" ca="1" si="555"/>
        <v>540</v>
      </c>
      <c r="X2258" s="200">
        <f t="shared" ca="1" si="556"/>
        <v>2140</v>
      </c>
      <c r="Y2258"/>
      <c r="Z2258" s="156">
        <v>0.1</v>
      </c>
      <c r="AA2258" s="227">
        <v>0.1</v>
      </c>
      <c r="AB2258" s="312" t="s">
        <v>8014</v>
      </c>
      <c r="AF2258">
        <f t="shared" si="535"/>
        <v>0</v>
      </c>
    </row>
    <row r="2259" spans="1:32" hidden="1" x14ac:dyDescent="0.25">
      <c r="A2259" s="332" t="s">
        <v>5861</v>
      </c>
      <c r="B2259" s="93" t="str">
        <f t="shared" si="534"/>
        <v>YES</v>
      </c>
      <c r="C2259" t="s">
        <v>5505</v>
      </c>
      <c r="D2259" s="95">
        <v>42899</v>
      </c>
      <c r="E2259" s="95">
        <v>42917</v>
      </c>
      <c r="F2259" s="2">
        <f t="shared" si="552"/>
        <v>46569</v>
      </c>
      <c r="G2259" s="155">
        <v>160</v>
      </c>
      <c r="H2259" s="93" t="s">
        <v>5862</v>
      </c>
      <c r="I2259" s="93" t="s">
        <v>5622</v>
      </c>
      <c r="J2259" s="166"/>
      <c r="K2259" s="266">
        <f t="shared" si="553"/>
        <v>2027</v>
      </c>
      <c r="L2259" s="393" t="s">
        <v>5863</v>
      </c>
      <c r="M2259" s="393" t="s">
        <v>5864</v>
      </c>
      <c r="N2259" s="163" t="s">
        <v>5865</v>
      </c>
      <c r="Q2259" s="243"/>
      <c r="R2259" s="92">
        <v>720</v>
      </c>
      <c r="S2259" s="92">
        <v>160</v>
      </c>
      <c r="T2259" s="92">
        <v>880</v>
      </c>
      <c r="U2259" s="201">
        <v>240</v>
      </c>
      <c r="V2259" s="287">
        <f t="shared" ca="1" si="554"/>
        <v>3</v>
      </c>
      <c r="W2259" s="75">
        <f t="shared" ca="1" si="555"/>
        <v>720</v>
      </c>
      <c r="X2259" s="200">
        <f t="shared" ca="1" si="556"/>
        <v>1360</v>
      </c>
      <c r="Y2259"/>
      <c r="Z2259" s="156">
        <v>0.1</v>
      </c>
      <c r="AA2259" s="227">
        <v>0.1</v>
      </c>
      <c r="AB2259" s="312" t="s">
        <v>7840</v>
      </c>
      <c r="AF2259">
        <f t="shared" si="535"/>
        <v>0</v>
      </c>
    </row>
    <row r="2260" spans="1:32" ht="30" hidden="1" x14ac:dyDescent="0.25">
      <c r="A2260" s="332" t="s">
        <v>5866</v>
      </c>
      <c r="B2260" s="93" t="str">
        <f t="shared" si="534"/>
        <v>YES</v>
      </c>
      <c r="C2260" t="s">
        <v>5505</v>
      </c>
      <c r="D2260" s="95">
        <v>42899</v>
      </c>
      <c r="E2260" s="95">
        <v>42917</v>
      </c>
      <c r="F2260" s="2">
        <f t="shared" si="552"/>
        <v>46569</v>
      </c>
      <c r="G2260" s="155">
        <v>120</v>
      </c>
      <c r="H2260" s="93" t="s">
        <v>5862</v>
      </c>
      <c r="I2260" s="93" t="s">
        <v>5622</v>
      </c>
      <c r="J2260" s="166"/>
      <c r="K2260" s="266">
        <f t="shared" si="553"/>
        <v>2027</v>
      </c>
      <c r="L2260" s="393" t="s">
        <v>5863</v>
      </c>
      <c r="M2260" s="393" t="s">
        <v>5864</v>
      </c>
      <c r="N2260" s="163" t="s">
        <v>5867</v>
      </c>
      <c r="Q2260" s="243"/>
      <c r="R2260" s="92">
        <v>580</v>
      </c>
      <c r="S2260" s="92">
        <v>120</v>
      </c>
      <c r="T2260" s="92">
        <v>700</v>
      </c>
      <c r="U2260" s="201">
        <v>180</v>
      </c>
      <c r="V2260" s="287">
        <f t="shared" ca="1" si="554"/>
        <v>3</v>
      </c>
      <c r="W2260" s="75">
        <f t="shared" ca="1" si="555"/>
        <v>540</v>
      </c>
      <c r="X2260" s="200">
        <f t="shared" ca="1" si="556"/>
        <v>1060</v>
      </c>
      <c r="Y2260"/>
      <c r="Z2260" s="156">
        <v>0.1</v>
      </c>
      <c r="AA2260" s="227">
        <v>0.1</v>
      </c>
      <c r="AB2260" s="312" t="s">
        <v>7840</v>
      </c>
      <c r="AF2260">
        <f t="shared" si="535"/>
        <v>0</v>
      </c>
    </row>
    <row r="2261" spans="1:32" ht="45" hidden="1" x14ac:dyDescent="0.25">
      <c r="A2261" s="332" t="s">
        <v>5868</v>
      </c>
      <c r="B2261" s="93" t="str">
        <f t="shared" si="534"/>
        <v>YES</v>
      </c>
      <c r="C2261" t="s">
        <v>5505</v>
      </c>
      <c r="D2261" s="95">
        <v>42899</v>
      </c>
      <c r="E2261" s="95">
        <v>42917</v>
      </c>
      <c r="F2261" s="2">
        <f t="shared" si="552"/>
        <v>46569</v>
      </c>
      <c r="G2261" s="155">
        <v>160</v>
      </c>
      <c r="H2261" s="93" t="s">
        <v>5862</v>
      </c>
      <c r="I2261" s="93" t="s">
        <v>5622</v>
      </c>
      <c r="J2261" s="166"/>
      <c r="K2261" s="266">
        <f t="shared" si="553"/>
        <v>2027</v>
      </c>
      <c r="L2261" s="393" t="s">
        <v>5863</v>
      </c>
      <c r="M2261" s="393" t="s">
        <v>5864</v>
      </c>
      <c r="N2261" s="163" t="s">
        <v>5869</v>
      </c>
      <c r="Q2261" s="243"/>
      <c r="R2261" s="92">
        <v>720</v>
      </c>
      <c r="S2261" s="92">
        <v>160</v>
      </c>
      <c r="T2261" s="92">
        <v>880</v>
      </c>
      <c r="U2261" s="201">
        <v>240</v>
      </c>
      <c r="V2261" s="287">
        <f t="shared" ca="1" si="554"/>
        <v>3</v>
      </c>
      <c r="W2261" s="75">
        <f t="shared" ca="1" si="555"/>
        <v>720</v>
      </c>
      <c r="X2261" s="200">
        <f t="shared" ca="1" si="556"/>
        <v>1360</v>
      </c>
      <c r="Y2261"/>
      <c r="Z2261" s="156">
        <v>0.1</v>
      </c>
      <c r="AA2261" s="227">
        <v>0.1</v>
      </c>
      <c r="AB2261" s="312" t="s">
        <v>7840</v>
      </c>
      <c r="AF2261">
        <f t="shared" si="535"/>
        <v>0</v>
      </c>
    </row>
    <row r="2262" spans="1:32" ht="30" hidden="1" x14ac:dyDescent="0.25">
      <c r="A2262" s="332" t="s">
        <v>5870</v>
      </c>
      <c r="B2262" s="93" t="str">
        <f t="shared" si="534"/>
        <v>YES</v>
      </c>
      <c r="C2262" t="s">
        <v>5505</v>
      </c>
      <c r="D2262" s="95">
        <v>42899</v>
      </c>
      <c r="E2262" s="95">
        <v>42917</v>
      </c>
      <c r="F2262" s="2">
        <f t="shared" si="552"/>
        <v>46569</v>
      </c>
      <c r="G2262" s="155">
        <v>280</v>
      </c>
      <c r="H2262" s="93" t="s">
        <v>5862</v>
      </c>
      <c r="I2262" s="93" t="s">
        <v>5622</v>
      </c>
      <c r="J2262" s="166"/>
      <c r="K2262" s="266">
        <f t="shared" si="553"/>
        <v>2027</v>
      </c>
      <c r="L2262" s="393" t="s">
        <v>5863</v>
      </c>
      <c r="M2262" s="393" t="s">
        <v>5864</v>
      </c>
      <c r="N2262" s="163" t="s">
        <v>5871</v>
      </c>
      <c r="Q2262" s="243"/>
      <c r="R2262" s="92">
        <v>1140</v>
      </c>
      <c r="S2262" s="92">
        <v>840</v>
      </c>
      <c r="T2262" s="92">
        <v>1980</v>
      </c>
      <c r="U2262" s="201">
        <v>420</v>
      </c>
      <c r="V2262" s="287">
        <f t="shared" ca="1" si="554"/>
        <v>3</v>
      </c>
      <c r="W2262" s="75">
        <f t="shared" ca="1" si="555"/>
        <v>1260</v>
      </c>
      <c r="X2262" s="200">
        <f t="shared" ca="1" si="556"/>
        <v>2820</v>
      </c>
      <c r="Y2262"/>
      <c r="Z2262" s="156">
        <v>0.1</v>
      </c>
      <c r="AA2262" s="227">
        <v>0.1</v>
      </c>
      <c r="AB2262" s="312" t="s">
        <v>7840</v>
      </c>
      <c r="AF2262">
        <f t="shared" si="535"/>
        <v>0</v>
      </c>
    </row>
    <row r="2263" spans="1:32" ht="30" hidden="1" x14ac:dyDescent="0.25">
      <c r="A2263" s="332" t="s">
        <v>5872</v>
      </c>
      <c r="B2263" s="93" t="str">
        <f t="shared" si="534"/>
        <v>YES</v>
      </c>
      <c r="C2263" t="s">
        <v>5505</v>
      </c>
      <c r="D2263" s="95">
        <v>42899</v>
      </c>
      <c r="E2263" s="95">
        <v>42917</v>
      </c>
      <c r="F2263" s="2">
        <f t="shared" si="552"/>
        <v>46569</v>
      </c>
      <c r="G2263" s="155">
        <v>40</v>
      </c>
      <c r="H2263" s="93" t="s">
        <v>5862</v>
      </c>
      <c r="I2263" s="93" t="s">
        <v>5622</v>
      </c>
      <c r="J2263" s="166"/>
      <c r="K2263" s="266">
        <f t="shared" si="553"/>
        <v>2027</v>
      </c>
      <c r="L2263" s="393" t="s">
        <v>5863</v>
      </c>
      <c r="M2263" s="393" t="s">
        <v>5864</v>
      </c>
      <c r="N2263" s="163" t="s">
        <v>5873</v>
      </c>
      <c r="Q2263" s="243"/>
      <c r="R2263" s="92">
        <v>300</v>
      </c>
      <c r="S2263" s="92">
        <v>240</v>
      </c>
      <c r="T2263" s="92">
        <v>540</v>
      </c>
      <c r="U2263" s="201">
        <v>60</v>
      </c>
      <c r="V2263" s="287">
        <f t="shared" ca="1" si="554"/>
        <v>3</v>
      </c>
      <c r="W2263" s="75">
        <f t="shared" ca="1" si="555"/>
        <v>180</v>
      </c>
      <c r="X2263" s="200">
        <f t="shared" ca="1" si="556"/>
        <v>660</v>
      </c>
      <c r="Y2263"/>
      <c r="Z2263" s="156">
        <v>0.1</v>
      </c>
      <c r="AA2263" s="227">
        <v>0.1</v>
      </c>
      <c r="AB2263" s="312" t="s">
        <v>7840</v>
      </c>
      <c r="AF2263">
        <f t="shared" si="535"/>
        <v>0</v>
      </c>
    </row>
    <row r="2264" spans="1:32" ht="45" hidden="1" x14ac:dyDescent="0.25">
      <c r="A2264" s="332" t="s">
        <v>5874</v>
      </c>
      <c r="B2264" s="93" t="str">
        <f t="shared" si="534"/>
        <v>YES</v>
      </c>
      <c r="C2264" t="s">
        <v>5505</v>
      </c>
      <c r="D2264" s="95">
        <v>42899</v>
      </c>
      <c r="E2264" s="95">
        <v>42917</v>
      </c>
      <c r="F2264" s="2">
        <f t="shared" si="552"/>
        <v>46569</v>
      </c>
      <c r="G2264" s="155">
        <v>200</v>
      </c>
      <c r="H2264" s="93" t="s">
        <v>5862</v>
      </c>
      <c r="I2264" s="93" t="s">
        <v>5622</v>
      </c>
      <c r="J2264" s="166"/>
      <c r="K2264" s="266">
        <f t="shared" si="553"/>
        <v>2027</v>
      </c>
      <c r="L2264" s="393" t="s">
        <v>5875</v>
      </c>
      <c r="M2264" s="393" t="s">
        <v>5864</v>
      </c>
      <c r="N2264" s="163" t="s">
        <v>5876</v>
      </c>
      <c r="Q2264" s="243"/>
      <c r="R2264" s="92">
        <v>860</v>
      </c>
      <c r="S2264" s="92">
        <v>1400</v>
      </c>
      <c r="T2264" s="92">
        <v>2260</v>
      </c>
      <c r="U2264" s="201">
        <v>300</v>
      </c>
      <c r="V2264" s="287">
        <f t="shared" ca="1" si="554"/>
        <v>3</v>
      </c>
      <c r="W2264" s="75">
        <f t="shared" ca="1" si="555"/>
        <v>900</v>
      </c>
      <c r="X2264" s="200">
        <f t="shared" ca="1" si="556"/>
        <v>2860</v>
      </c>
      <c r="Y2264"/>
      <c r="Z2264" s="156">
        <v>0.1</v>
      </c>
      <c r="AA2264" s="227">
        <v>0.1</v>
      </c>
      <c r="AB2264" s="312" t="s">
        <v>7840</v>
      </c>
      <c r="AF2264">
        <f t="shared" si="535"/>
        <v>0</v>
      </c>
    </row>
    <row r="2265" spans="1:32" ht="30" hidden="1" x14ac:dyDescent="0.25">
      <c r="A2265" s="332" t="s">
        <v>5877</v>
      </c>
      <c r="B2265" s="93" t="str">
        <f t="shared" si="534"/>
        <v>YES</v>
      </c>
      <c r="C2265" t="s">
        <v>5505</v>
      </c>
      <c r="D2265" s="95">
        <v>42899</v>
      </c>
      <c r="E2265" s="95">
        <v>42917</v>
      </c>
      <c r="F2265" s="2">
        <f t="shared" si="552"/>
        <v>46569</v>
      </c>
      <c r="G2265" s="155">
        <v>280.33</v>
      </c>
      <c r="H2265" s="93" t="s">
        <v>5658</v>
      </c>
      <c r="I2265" s="93" t="s">
        <v>5622</v>
      </c>
      <c r="J2265" s="166"/>
      <c r="K2265" s="266">
        <f t="shared" si="553"/>
        <v>2027</v>
      </c>
      <c r="L2265" s="393" t="s">
        <v>5878</v>
      </c>
      <c r="M2265" s="393" t="s">
        <v>5662</v>
      </c>
      <c r="N2265" s="163" t="s">
        <v>5879</v>
      </c>
      <c r="Q2265" s="243"/>
      <c r="R2265" s="92">
        <v>1143.5</v>
      </c>
      <c r="S2265" s="92">
        <v>4215</v>
      </c>
      <c r="T2265" s="92">
        <v>5358.5</v>
      </c>
      <c r="U2265" s="201">
        <v>421.5</v>
      </c>
      <c r="V2265" s="287">
        <f t="shared" ca="1" si="554"/>
        <v>3</v>
      </c>
      <c r="W2265" s="75">
        <f t="shared" ca="1" si="555"/>
        <v>1264.5</v>
      </c>
      <c r="X2265" s="200">
        <f t="shared" ca="1" si="556"/>
        <v>6201.5</v>
      </c>
      <c r="Y2265"/>
      <c r="Z2265" s="156">
        <v>0.1</v>
      </c>
      <c r="AA2265" s="227">
        <v>0.1</v>
      </c>
      <c r="AB2265" s="312" t="s">
        <v>8016</v>
      </c>
      <c r="AF2265">
        <f t="shared" si="535"/>
        <v>0</v>
      </c>
    </row>
    <row r="2266" spans="1:32" ht="30" hidden="1" x14ac:dyDescent="0.25">
      <c r="A2266" s="332" t="s">
        <v>5880</v>
      </c>
      <c r="B2266" s="93" t="str">
        <f t="shared" si="534"/>
        <v>YES</v>
      </c>
      <c r="C2266" t="s">
        <v>5505</v>
      </c>
      <c r="D2266" s="95">
        <v>42899</v>
      </c>
      <c r="E2266" s="95">
        <v>42917</v>
      </c>
      <c r="F2266" s="2">
        <f t="shared" si="552"/>
        <v>46569</v>
      </c>
      <c r="G2266" s="155">
        <v>600</v>
      </c>
      <c r="H2266" s="93" t="s">
        <v>5658</v>
      </c>
      <c r="I2266" s="93" t="s">
        <v>5622</v>
      </c>
      <c r="J2266" s="166"/>
      <c r="K2266" s="266">
        <f t="shared" si="553"/>
        <v>2027</v>
      </c>
      <c r="L2266" s="393" t="s">
        <v>5878</v>
      </c>
      <c r="M2266" s="393" t="s">
        <v>5662</v>
      </c>
      <c r="N2266" s="163" t="s">
        <v>5881</v>
      </c>
      <c r="Q2266" s="243"/>
      <c r="R2266" s="92">
        <v>2260</v>
      </c>
      <c r="S2266" s="92">
        <v>9000</v>
      </c>
      <c r="T2266" s="92">
        <v>11260</v>
      </c>
      <c r="U2266" s="201">
        <v>900</v>
      </c>
      <c r="V2266" s="287">
        <f t="shared" ca="1" si="554"/>
        <v>3</v>
      </c>
      <c r="W2266" s="75">
        <f t="shared" ca="1" si="555"/>
        <v>2700</v>
      </c>
      <c r="X2266" s="200">
        <f t="shared" ca="1" si="556"/>
        <v>13060</v>
      </c>
      <c r="Y2266"/>
      <c r="Z2266" s="156">
        <v>0.1</v>
      </c>
      <c r="AA2266" s="227">
        <v>0.1</v>
      </c>
      <c r="AB2266" s="312" t="s">
        <v>8016</v>
      </c>
      <c r="AF2266">
        <f t="shared" si="535"/>
        <v>0</v>
      </c>
    </row>
    <row r="2267" spans="1:32" hidden="1" x14ac:dyDescent="0.25">
      <c r="A2267" s="334"/>
      <c r="C2267"/>
      <c r="E2267" s="93"/>
      <c r="F2267" s="93"/>
      <c r="G2267" s="155"/>
      <c r="I2267" s="93"/>
      <c r="J2267" s="166"/>
      <c r="K2267" s="166"/>
      <c r="L2267" s="393"/>
      <c r="M2267" s="393"/>
      <c r="N2267" s="163" t="s">
        <v>5511</v>
      </c>
      <c r="Q2267" s="245"/>
      <c r="R2267" s="158">
        <v>12983.5</v>
      </c>
      <c r="S2267" s="158">
        <v>46975</v>
      </c>
      <c r="T2267" s="158">
        <v>59958.5</v>
      </c>
      <c r="Y2267"/>
      <c r="Z2267" s="168"/>
      <c r="AA2267" s="229"/>
      <c r="AF2267">
        <f t="shared" si="535"/>
        <v>0</v>
      </c>
    </row>
    <row r="2268" spans="1:32" ht="15.75" hidden="1" thickTop="1" x14ac:dyDescent="0.25">
      <c r="A2268" s="334"/>
      <c r="C2268"/>
      <c r="E2268" s="93"/>
      <c r="F2268" s="93"/>
      <c r="G2268" s="155"/>
      <c r="I2268" s="93"/>
      <c r="J2268" s="166"/>
      <c r="K2268" s="166"/>
      <c r="L2268" s="393"/>
      <c r="M2268" s="393"/>
      <c r="N2268" s="163" t="s">
        <v>5511</v>
      </c>
      <c r="Q2268" s="245"/>
      <c r="R2268" s="160"/>
      <c r="S2268" s="160"/>
      <c r="T2268" s="160"/>
      <c r="Y2268"/>
      <c r="Z2268" s="168"/>
      <c r="AA2268" s="229"/>
      <c r="AF2268">
        <f t="shared" si="535"/>
        <v>0</v>
      </c>
    </row>
    <row r="2269" spans="1:32" ht="45" hidden="1" x14ac:dyDescent="0.25">
      <c r="A2269" s="332" t="s">
        <v>5882</v>
      </c>
      <c r="B2269" s="93" t="str">
        <f t="shared" si="534"/>
        <v>YES</v>
      </c>
      <c r="C2269" t="s">
        <v>5505</v>
      </c>
      <c r="D2269" s="95">
        <v>42894</v>
      </c>
      <c r="E2269" s="95">
        <v>42948</v>
      </c>
      <c r="F2269" s="2">
        <f t="shared" ref="F2269:F2292" si="557">DATE(YEAR(E2269)+10,MONTH(E2269),DAY(E2269))</f>
        <v>46600</v>
      </c>
      <c r="G2269" s="155">
        <v>1787.82</v>
      </c>
      <c r="H2269" s="93" t="s">
        <v>5883</v>
      </c>
      <c r="I2269" s="93" t="s">
        <v>5884</v>
      </c>
      <c r="J2269" s="166"/>
      <c r="K2269" s="266">
        <f t="shared" ref="K2269:K2292" si="558">YEAR(F2269)</f>
        <v>2027</v>
      </c>
      <c r="L2269" s="393" t="s">
        <v>5885</v>
      </c>
      <c r="M2269" s="393" t="s">
        <v>5582</v>
      </c>
      <c r="N2269" s="163" t="s">
        <v>5886</v>
      </c>
      <c r="Q2269" s="243"/>
      <c r="R2269" s="92">
        <v>6418</v>
      </c>
      <c r="S2269" s="92">
        <v>0</v>
      </c>
      <c r="T2269" s="92">
        <v>6418</v>
      </c>
      <c r="U2269" s="201">
        <v>2682</v>
      </c>
      <c r="V2269" s="287">
        <f t="shared" ref="V2269:V2292" ca="1" si="559">IF(YEAR($W$3)-YEAR(E2269)&gt;9,10,IF(MONTH($W$3)&lt;MONTH(E2269),YEAR($W$3)-YEAR(E2269),YEAR($W$3)-YEAR(E2269)+1))</f>
        <v>3</v>
      </c>
      <c r="W2269" s="75">
        <f t="shared" ref="W2269:W2292" ca="1" si="560">IF(V2269&lt;6, ROUNDUP(G2269,0)*$W$6*V2269, ROUNDUP(G2269,0)*($W$6*5 + (V2269-5)*$W$7))</f>
        <v>8046</v>
      </c>
      <c r="X2269" s="200">
        <f t="shared" ref="X2269:X2292" ca="1" si="561">IF(V2269=0,T2269,((T2269-ROUNDUP(G2269,0)*1.5)+W2269))</f>
        <v>11782</v>
      </c>
      <c r="Y2269"/>
      <c r="Z2269" s="156">
        <v>0.1</v>
      </c>
      <c r="AA2269" s="227">
        <v>0.1</v>
      </c>
      <c r="AB2269" s="312" t="s">
        <v>7841</v>
      </c>
      <c r="AF2269">
        <f t="shared" si="535"/>
        <v>0</v>
      </c>
    </row>
    <row r="2270" spans="1:32" ht="60" hidden="1" x14ac:dyDescent="0.25">
      <c r="A2270" s="332" t="s">
        <v>5887</v>
      </c>
      <c r="B2270" s="93" t="str">
        <f t="shared" si="534"/>
        <v>YES</v>
      </c>
      <c r="C2270" t="s">
        <v>5505</v>
      </c>
      <c r="D2270" s="95">
        <v>42894</v>
      </c>
      <c r="E2270" s="95">
        <v>42948</v>
      </c>
      <c r="F2270" s="2">
        <f t="shared" si="557"/>
        <v>46600</v>
      </c>
      <c r="G2270" s="155">
        <v>1808.82</v>
      </c>
      <c r="H2270" s="93" t="s">
        <v>5883</v>
      </c>
      <c r="I2270" s="93" t="s">
        <v>5884</v>
      </c>
      <c r="J2270" s="175"/>
      <c r="K2270" s="266">
        <f t="shared" si="558"/>
        <v>2027</v>
      </c>
      <c r="L2270" s="397" t="s">
        <v>5885</v>
      </c>
      <c r="M2270" s="397" t="s">
        <v>5582</v>
      </c>
      <c r="N2270" s="163" t="s">
        <v>5888</v>
      </c>
      <c r="Q2270" s="243"/>
      <c r="R2270" s="92">
        <v>6491.5</v>
      </c>
      <c r="S2270" s="92">
        <v>0</v>
      </c>
      <c r="T2270" s="92">
        <v>6491.5</v>
      </c>
      <c r="U2270" s="201">
        <v>2713.5</v>
      </c>
      <c r="V2270" s="287">
        <f t="shared" ca="1" si="559"/>
        <v>3</v>
      </c>
      <c r="W2270" s="75">
        <f t="shared" ca="1" si="560"/>
        <v>8140.5</v>
      </c>
      <c r="X2270" s="200">
        <f t="shared" ca="1" si="561"/>
        <v>11918.5</v>
      </c>
      <c r="Y2270"/>
      <c r="Z2270" s="156">
        <v>0.1</v>
      </c>
      <c r="AA2270" s="227">
        <v>0.1</v>
      </c>
      <c r="AB2270" s="312" t="s">
        <v>7841</v>
      </c>
      <c r="AF2270">
        <f t="shared" si="535"/>
        <v>0</v>
      </c>
    </row>
    <row r="2271" spans="1:32" ht="45" hidden="1" x14ac:dyDescent="0.25">
      <c r="A2271" s="332" t="s">
        <v>5889</v>
      </c>
      <c r="B2271" s="93" t="str">
        <f t="shared" ref="B2271:B2334" si="562">IF(COUNTIF(GIS,A2271),"YES","NO")</f>
        <v>YES</v>
      </c>
      <c r="C2271" t="s">
        <v>5505</v>
      </c>
      <c r="D2271" s="95">
        <v>42894</v>
      </c>
      <c r="E2271" s="95">
        <v>42948</v>
      </c>
      <c r="F2271" s="2">
        <f t="shared" si="557"/>
        <v>46600</v>
      </c>
      <c r="G2271" s="155">
        <v>1873.26</v>
      </c>
      <c r="H2271" s="93" t="s">
        <v>5883</v>
      </c>
      <c r="I2271" s="93" t="s">
        <v>5884</v>
      </c>
      <c r="J2271" s="175"/>
      <c r="K2271" s="266">
        <f t="shared" si="558"/>
        <v>2027</v>
      </c>
      <c r="L2271" s="393" t="s">
        <v>5885</v>
      </c>
      <c r="M2271" s="393" t="s">
        <v>5582</v>
      </c>
      <c r="N2271" s="163" t="s">
        <v>5890</v>
      </c>
      <c r="Q2271" s="243"/>
      <c r="R2271" s="92">
        <v>6719</v>
      </c>
      <c r="S2271" s="92">
        <v>0</v>
      </c>
      <c r="T2271" s="92">
        <v>6719</v>
      </c>
      <c r="U2271" s="201">
        <v>2811</v>
      </c>
      <c r="V2271" s="287">
        <f t="shared" ca="1" si="559"/>
        <v>3</v>
      </c>
      <c r="W2271" s="75">
        <f t="shared" ca="1" si="560"/>
        <v>8433</v>
      </c>
      <c r="X2271" s="200">
        <f t="shared" ca="1" si="561"/>
        <v>12341</v>
      </c>
      <c r="Y2271"/>
      <c r="Z2271" s="156">
        <v>0.1</v>
      </c>
      <c r="AA2271" s="227">
        <v>0.1</v>
      </c>
      <c r="AB2271" s="312" t="s">
        <v>7841</v>
      </c>
      <c r="AF2271">
        <f t="shared" si="535"/>
        <v>0</v>
      </c>
    </row>
    <row r="2272" spans="1:32" ht="30" hidden="1" x14ac:dyDescent="0.25">
      <c r="A2272" s="332" t="s">
        <v>5891</v>
      </c>
      <c r="B2272" s="93" t="str">
        <f t="shared" si="562"/>
        <v>YES</v>
      </c>
      <c r="C2272" t="s">
        <v>5505</v>
      </c>
      <c r="D2272" s="95">
        <v>42894</v>
      </c>
      <c r="E2272" s="95">
        <v>42948</v>
      </c>
      <c r="F2272" s="2">
        <f t="shared" si="557"/>
        <v>46600</v>
      </c>
      <c r="G2272" s="155">
        <v>1917.52</v>
      </c>
      <c r="H2272" s="93" t="s">
        <v>5883</v>
      </c>
      <c r="I2272" s="93" t="s">
        <v>5884</v>
      </c>
      <c r="J2272" s="175"/>
      <c r="K2272" s="266">
        <f t="shared" si="558"/>
        <v>2027</v>
      </c>
      <c r="L2272" s="397" t="s">
        <v>5885</v>
      </c>
      <c r="M2272" s="397" t="s">
        <v>5582</v>
      </c>
      <c r="N2272" s="163" t="s">
        <v>5892</v>
      </c>
      <c r="Q2272" s="243"/>
      <c r="R2272" s="92">
        <v>6873</v>
      </c>
      <c r="S2272" s="92">
        <v>0</v>
      </c>
      <c r="T2272" s="92">
        <v>6873</v>
      </c>
      <c r="U2272" s="201">
        <v>2877</v>
      </c>
      <c r="V2272" s="287">
        <f t="shared" ca="1" si="559"/>
        <v>3</v>
      </c>
      <c r="W2272" s="75">
        <f t="shared" ca="1" si="560"/>
        <v>8631</v>
      </c>
      <c r="X2272" s="200">
        <f t="shared" ca="1" si="561"/>
        <v>12627</v>
      </c>
      <c r="Y2272"/>
      <c r="Z2272" s="156">
        <v>0.1</v>
      </c>
      <c r="AA2272" s="227">
        <v>0.1</v>
      </c>
      <c r="AB2272" s="312" t="s">
        <v>7841</v>
      </c>
      <c r="AF2272">
        <f t="shared" si="535"/>
        <v>0</v>
      </c>
    </row>
    <row r="2273" spans="1:32" ht="60" hidden="1" x14ac:dyDescent="0.25">
      <c r="A2273" s="332" t="s">
        <v>5893</v>
      </c>
      <c r="B2273" s="93" t="str">
        <f t="shared" si="562"/>
        <v>YES</v>
      </c>
      <c r="C2273" t="s">
        <v>5505</v>
      </c>
      <c r="D2273" s="95">
        <v>42894</v>
      </c>
      <c r="E2273" s="95">
        <v>42948</v>
      </c>
      <c r="F2273" s="2">
        <f t="shared" si="557"/>
        <v>46600</v>
      </c>
      <c r="G2273" s="155">
        <v>1914.96</v>
      </c>
      <c r="H2273" s="93" t="s">
        <v>5883</v>
      </c>
      <c r="I2273" s="93" t="s">
        <v>5884</v>
      </c>
      <c r="J2273" s="175"/>
      <c r="K2273" s="266">
        <f t="shared" si="558"/>
        <v>2027</v>
      </c>
      <c r="L2273" s="393" t="s">
        <v>5885</v>
      </c>
      <c r="M2273" s="393" t="s">
        <v>5582</v>
      </c>
      <c r="N2273" s="163" t="s">
        <v>5894</v>
      </c>
      <c r="Q2273" s="243"/>
      <c r="R2273" s="92">
        <v>6862.5</v>
      </c>
      <c r="S2273" s="92">
        <v>0</v>
      </c>
      <c r="T2273" s="92">
        <v>6862.5</v>
      </c>
      <c r="U2273" s="201">
        <v>2872.5</v>
      </c>
      <c r="V2273" s="287">
        <f t="shared" ca="1" si="559"/>
        <v>3</v>
      </c>
      <c r="W2273" s="75">
        <f t="shared" ca="1" si="560"/>
        <v>8617.5</v>
      </c>
      <c r="X2273" s="200">
        <f t="shared" ca="1" si="561"/>
        <v>12607.5</v>
      </c>
      <c r="Y2273"/>
      <c r="Z2273" s="156">
        <v>0.1</v>
      </c>
      <c r="AA2273" s="227">
        <v>0.1</v>
      </c>
      <c r="AB2273" s="312" t="s">
        <v>7841</v>
      </c>
      <c r="AF2273">
        <f t="shared" si="535"/>
        <v>0</v>
      </c>
    </row>
    <row r="2274" spans="1:32" ht="45" hidden="1" x14ac:dyDescent="0.25">
      <c r="A2274" s="332" t="s">
        <v>5895</v>
      </c>
      <c r="B2274" s="93" t="str">
        <f t="shared" si="562"/>
        <v>YES</v>
      </c>
      <c r="C2274" t="s">
        <v>5505</v>
      </c>
      <c r="D2274" s="95">
        <v>42894</v>
      </c>
      <c r="E2274" s="95">
        <v>42948</v>
      </c>
      <c r="F2274" s="2">
        <f t="shared" si="557"/>
        <v>46600</v>
      </c>
      <c r="G2274" s="155">
        <v>1834.59</v>
      </c>
      <c r="H2274" s="93" t="s">
        <v>5883</v>
      </c>
      <c r="I2274" s="93" t="s">
        <v>5884</v>
      </c>
      <c r="J2274" s="175"/>
      <c r="K2274" s="266">
        <f t="shared" si="558"/>
        <v>2027</v>
      </c>
      <c r="L2274" s="397" t="s">
        <v>5885</v>
      </c>
      <c r="M2274" s="397" t="s">
        <v>5582</v>
      </c>
      <c r="N2274" s="163" t="s">
        <v>5896</v>
      </c>
      <c r="Q2274" s="243"/>
      <c r="R2274" s="92">
        <v>6582.5</v>
      </c>
      <c r="S2274" s="92">
        <v>0</v>
      </c>
      <c r="T2274" s="92">
        <v>6582.5</v>
      </c>
      <c r="U2274" s="201">
        <v>2752.5</v>
      </c>
      <c r="V2274" s="287">
        <f t="shared" ca="1" si="559"/>
        <v>3</v>
      </c>
      <c r="W2274" s="75">
        <f t="shared" ca="1" si="560"/>
        <v>8257.5</v>
      </c>
      <c r="X2274" s="200">
        <f t="shared" ca="1" si="561"/>
        <v>12087.5</v>
      </c>
      <c r="Y2274"/>
      <c r="Z2274" s="156">
        <v>0.1</v>
      </c>
      <c r="AA2274" s="227">
        <v>0.1</v>
      </c>
      <c r="AB2274" s="312" t="s">
        <v>7841</v>
      </c>
      <c r="AF2274">
        <f t="shared" si="535"/>
        <v>0</v>
      </c>
    </row>
    <row r="2275" spans="1:32" hidden="1" x14ac:dyDescent="0.25">
      <c r="A2275" s="332" t="s">
        <v>5897</v>
      </c>
      <c r="B2275" s="93" t="str">
        <f t="shared" si="562"/>
        <v>YES</v>
      </c>
      <c r="C2275" t="s">
        <v>5505</v>
      </c>
      <c r="D2275" s="95">
        <v>42894</v>
      </c>
      <c r="E2275" s="95">
        <v>42948</v>
      </c>
      <c r="F2275" s="2">
        <f t="shared" si="557"/>
        <v>46600</v>
      </c>
      <c r="G2275" s="155">
        <v>640</v>
      </c>
      <c r="H2275" s="93" t="s">
        <v>5883</v>
      </c>
      <c r="I2275" s="93" t="s">
        <v>5884</v>
      </c>
      <c r="J2275" s="175"/>
      <c r="K2275" s="266">
        <f t="shared" si="558"/>
        <v>2027</v>
      </c>
      <c r="L2275" s="393" t="s">
        <v>5885</v>
      </c>
      <c r="M2275" s="393" t="s">
        <v>5582</v>
      </c>
      <c r="N2275" s="163" t="s">
        <v>5898</v>
      </c>
      <c r="Q2275" s="243"/>
      <c r="R2275" s="92">
        <v>2400</v>
      </c>
      <c r="S2275" s="92">
        <v>0</v>
      </c>
      <c r="T2275" s="92">
        <v>2400</v>
      </c>
      <c r="U2275" s="201">
        <v>960</v>
      </c>
      <c r="V2275" s="287">
        <f t="shared" ca="1" si="559"/>
        <v>3</v>
      </c>
      <c r="W2275" s="75">
        <f t="shared" ca="1" si="560"/>
        <v>2880</v>
      </c>
      <c r="X2275" s="200">
        <f t="shared" ca="1" si="561"/>
        <v>4320</v>
      </c>
      <c r="Y2275"/>
      <c r="Z2275" s="156">
        <v>0.1</v>
      </c>
      <c r="AA2275" s="227">
        <v>0.1</v>
      </c>
      <c r="AB2275" s="312" t="s">
        <v>7841</v>
      </c>
      <c r="AF2275">
        <f t="shared" si="535"/>
        <v>0</v>
      </c>
    </row>
    <row r="2276" spans="1:32" ht="30" hidden="1" x14ac:dyDescent="0.25">
      <c r="A2276" s="332" t="s">
        <v>5899</v>
      </c>
      <c r="B2276" s="93" t="str">
        <f t="shared" si="562"/>
        <v>YES</v>
      </c>
      <c r="C2276" t="s">
        <v>5505</v>
      </c>
      <c r="D2276" s="95">
        <v>42894</v>
      </c>
      <c r="E2276" s="95">
        <v>42948</v>
      </c>
      <c r="F2276" s="2">
        <f t="shared" si="557"/>
        <v>46600</v>
      </c>
      <c r="G2276" s="155">
        <v>1440</v>
      </c>
      <c r="H2276" s="93" t="s">
        <v>5883</v>
      </c>
      <c r="I2276" s="93" t="s">
        <v>5884</v>
      </c>
      <c r="J2276" s="175"/>
      <c r="K2276" s="266">
        <f t="shared" si="558"/>
        <v>2027</v>
      </c>
      <c r="L2276" s="393" t="s">
        <v>5885</v>
      </c>
      <c r="M2276" s="397" t="s">
        <v>5587</v>
      </c>
      <c r="N2276" s="163" t="s">
        <v>5900</v>
      </c>
      <c r="Q2276" s="243"/>
      <c r="R2276" s="92">
        <v>5200</v>
      </c>
      <c r="S2276" s="92">
        <v>0</v>
      </c>
      <c r="T2276" s="92">
        <v>5200</v>
      </c>
      <c r="U2276" s="201">
        <v>2160</v>
      </c>
      <c r="V2276" s="287">
        <f t="shared" ca="1" si="559"/>
        <v>3</v>
      </c>
      <c r="W2276" s="75">
        <f t="shared" ca="1" si="560"/>
        <v>6480</v>
      </c>
      <c r="X2276" s="200">
        <f t="shared" ca="1" si="561"/>
        <v>9520</v>
      </c>
      <c r="Y2276"/>
      <c r="Z2276" s="156">
        <v>0.1</v>
      </c>
      <c r="AA2276" s="227">
        <v>0.1</v>
      </c>
      <c r="AB2276" s="312" t="s">
        <v>7841</v>
      </c>
      <c r="AF2276">
        <f t="shared" si="535"/>
        <v>0</v>
      </c>
    </row>
    <row r="2277" spans="1:32" ht="75" hidden="1" x14ac:dyDescent="0.25">
      <c r="A2277" s="332" t="s">
        <v>5901</v>
      </c>
      <c r="B2277" s="93" t="str">
        <f t="shared" si="562"/>
        <v>YES</v>
      </c>
      <c r="C2277" t="s">
        <v>5505</v>
      </c>
      <c r="D2277" s="95">
        <v>42894</v>
      </c>
      <c r="E2277" s="95">
        <v>42948</v>
      </c>
      <c r="F2277" s="2">
        <f t="shared" si="557"/>
        <v>46600</v>
      </c>
      <c r="G2277" s="155">
        <v>2230</v>
      </c>
      <c r="H2277" s="93" t="s">
        <v>5883</v>
      </c>
      <c r="I2277" s="93" t="s">
        <v>5884</v>
      </c>
      <c r="J2277" s="175"/>
      <c r="K2277" s="266">
        <f t="shared" si="558"/>
        <v>2027</v>
      </c>
      <c r="L2277" s="397" t="s">
        <v>5885</v>
      </c>
      <c r="M2277" s="397" t="s">
        <v>5587</v>
      </c>
      <c r="N2277" s="163" t="s">
        <v>5902</v>
      </c>
      <c r="Q2277" s="243"/>
      <c r="R2277" s="92">
        <v>7965</v>
      </c>
      <c r="S2277" s="92">
        <v>0</v>
      </c>
      <c r="T2277" s="92">
        <v>7965</v>
      </c>
      <c r="U2277" s="201">
        <v>3345</v>
      </c>
      <c r="V2277" s="287">
        <f t="shared" ca="1" si="559"/>
        <v>3</v>
      </c>
      <c r="W2277" s="75">
        <f t="shared" ca="1" si="560"/>
        <v>10035</v>
      </c>
      <c r="X2277" s="200">
        <f t="shared" ca="1" si="561"/>
        <v>14655</v>
      </c>
      <c r="Y2277"/>
      <c r="Z2277" s="156">
        <v>0.1</v>
      </c>
      <c r="AA2277" s="227">
        <v>0.1</v>
      </c>
      <c r="AB2277" s="312" t="s">
        <v>7841</v>
      </c>
      <c r="AF2277">
        <f t="shared" si="535"/>
        <v>0</v>
      </c>
    </row>
    <row r="2278" spans="1:32" ht="60" hidden="1" x14ac:dyDescent="0.25">
      <c r="A2278" s="332" t="s">
        <v>5903</v>
      </c>
      <c r="B2278" s="93" t="str">
        <f t="shared" si="562"/>
        <v>YES</v>
      </c>
      <c r="C2278" t="s">
        <v>5505</v>
      </c>
      <c r="D2278" s="95">
        <v>42894</v>
      </c>
      <c r="E2278" s="95">
        <v>42948</v>
      </c>
      <c r="F2278" s="2">
        <f t="shared" si="557"/>
        <v>46600</v>
      </c>
      <c r="G2278" s="155">
        <v>1920.4</v>
      </c>
      <c r="H2278" s="93" t="s">
        <v>5883</v>
      </c>
      <c r="I2278" s="93" t="s">
        <v>5884</v>
      </c>
      <c r="J2278" s="175"/>
      <c r="K2278" s="266">
        <f t="shared" si="558"/>
        <v>2027</v>
      </c>
      <c r="L2278" s="393" t="s">
        <v>5885</v>
      </c>
      <c r="M2278" s="397" t="s">
        <v>5587</v>
      </c>
      <c r="N2278" s="163" t="s">
        <v>5904</v>
      </c>
      <c r="Q2278" s="243"/>
      <c r="R2278" s="92">
        <v>6883.5</v>
      </c>
      <c r="S2278" s="92">
        <v>0</v>
      </c>
      <c r="T2278" s="92">
        <v>6883.5</v>
      </c>
      <c r="U2278" s="201">
        <v>2881.5</v>
      </c>
      <c r="V2278" s="287">
        <f t="shared" ca="1" si="559"/>
        <v>3</v>
      </c>
      <c r="W2278" s="75">
        <f t="shared" ca="1" si="560"/>
        <v>8644.5</v>
      </c>
      <c r="X2278" s="200">
        <f t="shared" ca="1" si="561"/>
        <v>12646.5</v>
      </c>
      <c r="Y2278"/>
      <c r="Z2278" s="156">
        <v>0.1</v>
      </c>
      <c r="AA2278" s="227">
        <v>0.1</v>
      </c>
      <c r="AB2278" s="312" t="s">
        <v>7841</v>
      </c>
      <c r="AF2278">
        <f t="shared" si="535"/>
        <v>0</v>
      </c>
    </row>
    <row r="2279" spans="1:32" ht="75" hidden="1" x14ac:dyDescent="0.25">
      <c r="A2279" s="332" t="s">
        <v>5905</v>
      </c>
      <c r="B2279" s="93" t="str">
        <f t="shared" si="562"/>
        <v>YES</v>
      </c>
      <c r="C2279" t="s">
        <v>5505</v>
      </c>
      <c r="D2279" s="95">
        <v>42894</v>
      </c>
      <c r="E2279" s="95">
        <v>42948</v>
      </c>
      <c r="F2279" s="2">
        <f t="shared" si="557"/>
        <v>46600</v>
      </c>
      <c r="G2279" s="155">
        <v>2164.84</v>
      </c>
      <c r="H2279" s="93" t="s">
        <v>5883</v>
      </c>
      <c r="I2279" s="93" t="s">
        <v>5884</v>
      </c>
      <c r="J2279" s="175"/>
      <c r="K2279" s="266">
        <f t="shared" si="558"/>
        <v>2027</v>
      </c>
      <c r="L2279" s="397" t="s">
        <v>5885</v>
      </c>
      <c r="M2279" s="397" t="s">
        <v>5587</v>
      </c>
      <c r="N2279" s="163" t="s">
        <v>5906</v>
      </c>
      <c r="Q2279" s="243"/>
      <c r="R2279" s="92">
        <v>7737.5</v>
      </c>
      <c r="S2279" s="92">
        <v>0</v>
      </c>
      <c r="T2279" s="92">
        <v>7737.5</v>
      </c>
      <c r="U2279" s="201">
        <v>3247.5</v>
      </c>
      <c r="V2279" s="287">
        <f t="shared" ca="1" si="559"/>
        <v>3</v>
      </c>
      <c r="W2279" s="75">
        <f t="shared" ca="1" si="560"/>
        <v>9742.5</v>
      </c>
      <c r="X2279" s="200">
        <f t="shared" ca="1" si="561"/>
        <v>14232.5</v>
      </c>
      <c r="Y2279"/>
      <c r="Z2279" s="156">
        <v>0.1</v>
      </c>
      <c r="AA2279" s="227">
        <v>0.1</v>
      </c>
      <c r="AB2279" s="312" t="s">
        <v>7841</v>
      </c>
      <c r="AF2279">
        <f t="shared" si="535"/>
        <v>0</v>
      </c>
    </row>
    <row r="2280" spans="1:32" ht="45" hidden="1" x14ac:dyDescent="0.25">
      <c r="A2280" s="332" t="s">
        <v>5907</v>
      </c>
      <c r="B2280" s="93" t="str">
        <f t="shared" si="562"/>
        <v>YES</v>
      </c>
      <c r="C2280" t="s">
        <v>5505</v>
      </c>
      <c r="D2280" s="95">
        <v>42894</v>
      </c>
      <c r="E2280" s="95">
        <v>42948</v>
      </c>
      <c r="F2280" s="2">
        <f t="shared" si="557"/>
        <v>46600</v>
      </c>
      <c r="G2280" s="155">
        <v>1263.08</v>
      </c>
      <c r="H2280" s="93" t="s">
        <v>5883</v>
      </c>
      <c r="I2280" s="93" t="s">
        <v>5884</v>
      </c>
      <c r="J2280" s="175"/>
      <c r="K2280" s="266">
        <f t="shared" si="558"/>
        <v>2027</v>
      </c>
      <c r="L2280" s="397" t="s">
        <v>5793</v>
      </c>
      <c r="M2280" s="397" t="s">
        <v>5587</v>
      </c>
      <c r="N2280" s="163" t="s">
        <v>5908</v>
      </c>
      <c r="Q2280" s="243"/>
      <c r="R2280" s="92">
        <v>4584</v>
      </c>
      <c r="S2280" s="92">
        <v>0</v>
      </c>
      <c r="T2280" s="92">
        <v>4584</v>
      </c>
      <c r="U2280" s="201">
        <v>1896</v>
      </c>
      <c r="V2280" s="287">
        <f t="shared" ca="1" si="559"/>
        <v>3</v>
      </c>
      <c r="W2280" s="75">
        <f t="shared" ca="1" si="560"/>
        <v>5688</v>
      </c>
      <c r="X2280" s="200">
        <f t="shared" ca="1" si="561"/>
        <v>8376</v>
      </c>
      <c r="Y2280"/>
      <c r="Z2280" s="156">
        <v>0.1</v>
      </c>
      <c r="AA2280" s="227">
        <v>0.1</v>
      </c>
      <c r="AB2280" s="312" t="s">
        <v>7841</v>
      </c>
      <c r="AF2280">
        <f t="shared" si="535"/>
        <v>0</v>
      </c>
    </row>
    <row r="2281" spans="1:32" ht="30" hidden="1" x14ac:dyDescent="0.25">
      <c r="A2281" s="332" t="s">
        <v>5909</v>
      </c>
      <c r="B2281" s="93" t="str">
        <f t="shared" si="562"/>
        <v>YES</v>
      </c>
      <c r="C2281" t="s">
        <v>5505</v>
      </c>
      <c r="D2281" s="95">
        <v>42894</v>
      </c>
      <c r="E2281" s="95">
        <v>42948</v>
      </c>
      <c r="F2281" s="2">
        <f t="shared" si="557"/>
        <v>46600</v>
      </c>
      <c r="G2281" s="155">
        <v>799.92</v>
      </c>
      <c r="H2281" s="93" t="s">
        <v>5883</v>
      </c>
      <c r="I2281" s="93" t="s">
        <v>5884</v>
      </c>
      <c r="J2281" s="175"/>
      <c r="K2281" s="266">
        <f t="shared" si="558"/>
        <v>2027</v>
      </c>
      <c r="L2281" s="397" t="s">
        <v>5910</v>
      </c>
      <c r="M2281" s="397" t="s">
        <v>5606</v>
      </c>
      <c r="N2281" s="163" t="s">
        <v>5911</v>
      </c>
      <c r="Q2281" s="243"/>
      <c r="R2281" s="92">
        <v>2960</v>
      </c>
      <c r="S2281" s="92">
        <v>0</v>
      </c>
      <c r="T2281" s="92">
        <v>2960</v>
      </c>
      <c r="U2281" s="201">
        <v>1200</v>
      </c>
      <c r="V2281" s="287">
        <f t="shared" ca="1" si="559"/>
        <v>3</v>
      </c>
      <c r="W2281" s="75">
        <f t="shared" ca="1" si="560"/>
        <v>3600</v>
      </c>
      <c r="X2281" s="200">
        <f t="shared" ca="1" si="561"/>
        <v>5360</v>
      </c>
      <c r="Y2281"/>
      <c r="Z2281" s="156">
        <v>0.1</v>
      </c>
      <c r="AA2281" s="227">
        <v>0.1</v>
      </c>
      <c r="AB2281" s="312" t="s">
        <v>7841</v>
      </c>
      <c r="AF2281">
        <f t="shared" si="535"/>
        <v>0</v>
      </c>
    </row>
    <row r="2282" spans="1:32" ht="30" hidden="1" x14ac:dyDescent="0.25">
      <c r="A2282" s="332" t="s">
        <v>5912</v>
      </c>
      <c r="B2282" s="93" t="str">
        <f t="shared" si="562"/>
        <v>YES</v>
      </c>
      <c r="C2282" t="s">
        <v>5505</v>
      </c>
      <c r="D2282" s="95">
        <v>42894</v>
      </c>
      <c r="E2282" s="95">
        <v>42948</v>
      </c>
      <c r="F2282" s="2">
        <f t="shared" si="557"/>
        <v>46600</v>
      </c>
      <c r="G2282" s="155">
        <v>880</v>
      </c>
      <c r="H2282" s="93" t="s">
        <v>5883</v>
      </c>
      <c r="I2282" s="93" t="s">
        <v>5884</v>
      </c>
      <c r="J2282" s="175"/>
      <c r="K2282" s="266">
        <f t="shared" si="558"/>
        <v>2027</v>
      </c>
      <c r="L2282" s="397" t="s">
        <v>5910</v>
      </c>
      <c r="M2282" s="397" t="s">
        <v>5606</v>
      </c>
      <c r="N2282" s="163" t="s">
        <v>5913</v>
      </c>
      <c r="Q2282" s="243"/>
      <c r="R2282" s="92">
        <v>3240</v>
      </c>
      <c r="S2282" s="92">
        <v>0</v>
      </c>
      <c r="T2282" s="92">
        <v>3240</v>
      </c>
      <c r="U2282" s="201">
        <v>1320</v>
      </c>
      <c r="V2282" s="287">
        <f t="shared" ca="1" si="559"/>
        <v>3</v>
      </c>
      <c r="W2282" s="75">
        <f t="shared" ca="1" si="560"/>
        <v>3960</v>
      </c>
      <c r="X2282" s="200">
        <f t="shared" ca="1" si="561"/>
        <v>5880</v>
      </c>
      <c r="Y2282"/>
      <c r="Z2282" s="156">
        <v>0.1</v>
      </c>
      <c r="AA2282" s="227">
        <v>0.1</v>
      </c>
      <c r="AB2282" s="312" t="s">
        <v>7841</v>
      </c>
      <c r="AF2282">
        <f t="shared" si="535"/>
        <v>0</v>
      </c>
    </row>
    <row r="2283" spans="1:32" ht="30" hidden="1" x14ac:dyDescent="0.25">
      <c r="A2283" s="332" t="s">
        <v>5914</v>
      </c>
      <c r="B2283" s="93" t="str">
        <f t="shared" si="562"/>
        <v>YES</v>
      </c>
      <c r="C2283" t="s">
        <v>5505</v>
      </c>
      <c r="D2283" s="95">
        <v>42894</v>
      </c>
      <c r="E2283" s="95">
        <v>42948</v>
      </c>
      <c r="F2283" s="2">
        <f t="shared" si="557"/>
        <v>46600</v>
      </c>
      <c r="G2283" s="155">
        <v>870.79</v>
      </c>
      <c r="H2283" s="93" t="s">
        <v>5883</v>
      </c>
      <c r="I2283" s="93" t="s">
        <v>5884</v>
      </c>
      <c r="J2283" s="163"/>
      <c r="K2283" s="266">
        <f t="shared" si="558"/>
        <v>2027</v>
      </c>
      <c r="L2283" s="397" t="s">
        <v>5910</v>
      </c>
      <c r="M2283" s="397" t="s">
        <v>5606</v>
      </c>
      <c r="N2283" s="163" t="s">
        <v>5915</v>
      </c>
      <c r="Q2283" s="243"/>
      <c r="R2283" s="92">
        <v>4079.5</v>
      </c>
      <c r="S2283" s="92">
        <v>0</v>
      </c>
      <c r="T2283" s="92">
        <v>4079.5</v>
      </c>
      <c r="U2283" s="201">
        <v>1306.5</v>
      </c>
      <c r="V2283" s="287">
        <f t="shared" ca="1" si="559"/>
        <v>3</v>
      </c>
      <c r="W2283" s="75">
        <f t="shared" ca="1" si="560"/>
        <v>3919.5</v>
      </c>
      <c r="X2283" s="200">
        <f t="shared" ca="1" si="561"/>
        <v>6692.5</v>
      </c>
      <c r="Y2283"/>
      <c r="Z2283" s="156">
        <v>0.1</v>
      </c>
      <c r="AA2283" s="227">
        <v>0.1</v>
      </c>
      <c r="AB2283" s="312" t="s">
        <v>7841</v>
      </c>
      <c r="AF2283">
        <f t="shared" ref="AF2283:AF2347" si="563">COUNTIF(FilterList,A2283)</f>
        <v>0</v>
      </c>
    </row>
    <row r="2284" spans="1:32" ht="30" hidden="1" x14ac:dyDescent="0.25">
      <c r="A2284" s="332" t="s">
        <v>5916</v>
      </c>
      <c r="B2284" s="93" t="str">
        <f t="shared" si="562"/>
        <v>YES</v>
      </c>
      <c r="C2284" t="s">
        <v>5505</v>
      </c>
      <c r="D2284" s="95">
        <v>42894</v>
      </c>
      <c r="E2284" s="95">
        <v>42948</v>
      </c>
      <c r="F2284" s="2">
        <f t="shared" si="557"/>
        <v>46600</v>
      </c>
      <c r="G2284" s="155">
        <v>880</v>
      </c>
      <c r="H2284" s="93" t="s">
        <v>5883</v>
      </c>
      <c r="I2284" s="93" t="s">
        <v>5884</v>
      </c>
      <c r="J2284" s="163"/>
      <c r="K2284" s="266">
        <f t="shared" si="558"/>
        <v>2027</v>
      </c>
      <c r="L2284" s="398" t="s">
        <v>5885</v>
      </c>
      <c r="M2284" s="397" t="s">
        <v>5606</v>
      </c>
      <c r="N2284" s="163" t="s">
        <v>5917</v>
      </c>
      <c r="Q2284" s="243"/>
      <c r="R2284" s="92">
        <v>3240</v>
      </c>
      <c r="S2284" s="92">
        <v>0</v>
      </c>
      <c r="T2284" s="92">
        <v>3240</v>
      </c>
      <c r="U2284" s="201">
        <v>1320</v>
      </c>
      <c r="V2284" s="287">
        <f t="shared" ca="1" si="559"/>
        <v>3</v>
      </c>
      <c r="W2284" s="75">
        <f t="shared" ca="1" si="560"/>
        <v>3960</v>
      </c>
      <c r="X2284" s="200">
        <f t="shared" ca="1" si="561"/>
        <v>5880</v>
      </c>
      <c r="Y2284"/>
      <c r="Z2284" s="156">
        <v>0.1</v>
      </c>
      <c r="AA2284" s="227">
        <v>0.1</v>
      </c>
      <c r="AB2284" s="312" t="s">
        <v>7841</v>
      </c>
      <c r="AF2284">
        <f t="shared" si="563"/>
        <v>0</v>
      </c>
    </row>
    <row r="2285" spans="1:32" ht="30" hidden="1" x14ac:dyDescent="0.25">
      <c r="A2285" s="332" t="s">
        <v>5918</v>
      </c>
      <c r="B2285" s="93" t="str">
        <f t="shared" si="562"/>
        <v>YES</v>
      </c>
      <c r="C2285" t="s">
        <v>5505</v>
      </c>
      <c r="D2285" s="95">
        <v>42894</v>
      </c>
      <c r="E2285" s="95">
        <v>42948</v>
      </c>
      <c r="F2285" s="2">
        <f t="shared" si="557"/>
        <v>46600</v>
      </c>
      <c r="G2285" s="155">
        <v>200.32</v>
      </c>
      <c r="H2285" s="93" t="s">
        <v>5883</v>
      </c>
      <c r="I2285" s="93" t="s">
        <v>5884</v>
      </c>
      <c r="J2285" s="163"/>
      <c r="K2285" s="266">
        <f t="shared" si="558"/>
        <v>2027</v>
      </c>
      <c r="L2285" s="398" t="s">
        <v>5885</v>
      </c>
      <c r="M2285" s="397" t="s">
        <v>5606</v>
      </c>
      <c r="N2285" s="163" t="s">
        <v>5919</v>
      </c>
      <c r="Q2285" s="243"/>
      <c r="R2285" s="92">
        <v>863.5</v>
      </c>
      <c r="S2285" s="92">
        <v>0</v>
      </c>
      <c r="T2285" s="92">
        <v>863.5</v>
      </c>
      <c r="U2285" s="201">
        <v>301.5</v>
      </c>
      <c r="V2285" s="287">
        <f t="shared" ca="1" si="559"/>
        <v>3</v>
      </c>
      <c r="W2285" s="75">
        <f t="shared" ca="1" si="560"/>
        <v>904.5</v>
      </c>
      <c r="X2285" s="200">
        <f t="shared" ca="1" si="561"/>
        <v>1466.5</v>
      </c>
      <c r="Y2285"/>
      <c r="Z2285" s="156">
        <v>0.1</v>
      </c>
      <c r="AA2285" s="227">
        <v>0.1</v>
      </c>
      <c r="AB2285" s="312" t="s">
        <v>7841</v>
      </c>
      <c r="AF2285">
        <f t="shared" si="563"/>
        <v>0</v>
      </c>
    </row>
    <row r="2286" spans="1:32" ht="60" hidden="1" x14ac:dyDescent="0.25">
      <c r="A2286" s="332" t="s">
        <v>5920</v>
      </c>
      <c r="B2286" s="93" t="str">
        <f t="shared" si="562"/>
        <v>YES</v>
      </c>
      <c r="C2286" t="s">
        <v>5505</v>
      </c>
      <c r="D2286" s="95">
        <v>42894</v>
      </c>
      <c r="E2286" s="95">
        <v>42948</v>
      </c>
      <c r="F2286" s="2">
        <f t="shared" si="557"/>
        <v>46600</v>
      </c>
      <c r="G2286" s="155">
        <v>1400.84</v>
      </c>
      <c r="H2286" s="93" t="s">
        <v>5883</v>
      </c>
      <c r="I2286" s="93" t="s">
        <v>5884</v>
      </c>
      <c r="J2286" s="163"/>
      <c r="K2286" s="266">
        <f t="shared" si="558"/>
        <v>2027</v>
      </c>
      <c r="L2286" s="398" t="s">
        <v>5885</v>
      </c>
      <c r="M2286" s="397" t="s">
        <v>5606</v>
      </c>
      <c r="N2286" s="163" t="s">
        <v>5921</v>
      </c>
      <c r="Q2286" s="243"/>
      <c r="R2286" s="92">
        <v>5063.5</v>
      </c>
      <c r="S2286" s="92">
        <v>0</v>
      </c>
      <c r="T2286" s="92">
        <v>5063.5</v>
      </c>
      <c r="U2286" s="201">
        <v>2101.5</v>
      </c>
      <c r="V2286" s="287">
        <f t="shared" ca="1" si="559"/>
        <v>3</v>
      </c>
      <c r="W2286" s="75">
        <f t="shared" ca="1" si="560"/>
        <v>6304.5</v>
      </c>
      <c r="X2286" s="200">
        <f t="shared" ca="1" si="561"/>
        <v>9266.5</v>
      </c>
      <c r="Y2286"/>
      <c r="Z2286" s="156">
        <v>0.1</v>
      </c>
      <c r="AA2286" s="227">
        <v>0.1</v>
      </c>
      <c r="AB2286" s="312" t="s">
        <v>7841</v>
      </c>
      <c r="AF2286">
        <f t="shared" si="563"/>
        <v>0</v>
      </c>
    </row>
    <row r="2287" spans="1:32" ht="60" hidden="1" x14ac:dyDescent="0.25">
      <c r="A2287" s="332" t="s">
        <v>5922</v>
      </c>
      <c r="B2287" s="93" t="str">
        <f t="shared" si="562"/>
        <v>YES</v>
      </c>
      <c r="C2287" t="s">
        <v>5505</v>
      </c>
      <c r="D2287" s="95">
        <v>42894</v>
      </c>
      <c r="E2287" s="95">
        <v>42948</v>
      </c>
      <c r="F2287" s="2">
        <f t="shared" si="557"/>
        <v>46600</v>
      </c>
      <c r="G2287" s="155">
        <v>800</v>
      </c>
      <c r="H2287" s="93" t="s">
        <v>5883</v>
      </c>
      <c r="I2287" s="93" t="s">
        <v>5884</v>
      </c>
      <c r="J2287" s="163"/>
      <c r="K2287" s="266">
        <f t="shared" si="558"/>
        <v>2027</v>
      </c>
      <c r="L2287" s="398" t="s">
        <v>5885</v>
      </c>
      <c r="M2287" s="397" t="s">
        <v>5606</v>
      </c>
      <c r="N2287" s="163" t="s">
        <v>5923</v>
      </c>
      <c r="Q2287" s="243"/>
      <c r="R2287" s="92">
        <v>2960</v>
      </c>
      <c r="S2287" s="92">
        <v>0</v>
      </c>
      <c r="T2287" s="92">
        <v>2960</v>
      </c>
      <c r="U2287" s="201">
        <v>1200</v>
      </c>
      <c r="V2287" s="287">
        <f t="shared" ca="1" si="559"/>
        <v>3</v>
      </c>
      <c r="W2287" s="75">
        <f t="shared" ca="1" si="560"/>
        <v>3600</v>
      </c>
      <c r="X2287" s="200">
        <f t="shared" ca="1" si="561"/>
        <v>5360</v>
      </c>
      <c r="Y2287"/>
      <c r="Z2287" s="156">
        <v>0.1</v>
      </c>
      <c r="AA2287" s="227">
        <v>0.1</v>
      </c>
      <c r="AB2287" s="312" t="s">
        <v>7841</v>
      </c>
      <c r="AF2287">
        <f t="shared" si="563"/>
        <v>0</v>
      </c>
    </row>
    <row r="2288" spans="1:32" ht="45" hidden="1" x14ac:dyDescent="0.25">
      <c r="A2288" s="332" t="s">
        <v>5924</v>
      </c>
      <c r="B2288" s="93" t="str">
        <f t="shared" si="562"/>
        <v>YES</v>
      </c>
      <c r="C2288" t="s">
        <v>5505</v>
      </c>
      <c r="D2288" s="95">
        <v>42894</v>
      </c>
      <c r="E2288" s="95">
        <v>42948</v>
      </c>
      <c r="F2288" s="2">
        <f t="shared" si="557"/>
        <v>46600</v>
      </c>
      <c r="G2288" s="176">
        <v>1274.56</v>
      </c>
      <c r="H2288" s="93" t="s">
        <v>5883</v>
      </c>
      <c r="I2288" s="93" t="s">
        <v>5884</v>
      </c>
      <c r="J2288" s="163"/>
      <c r="K2288" s="266">
        <f t="shared" si="558"/>
        <v>2027</v>
      </c>
      <c r="L2288" s="398" t="s">
        <v>5885</v>
      </c>
      <c r="M2288" s="397" t="s">
        <v>5606</v>
      </c>
      <c r="N2288" s="163" t="s">
        <v>5925</v>
      </c>
      <c r="Q2288" s="243"/>
      <c r="R2288" s="92">
        <v>4622.5</v>
      </c>
      <c r="S2288" s="92">
        <v>0</v>
      </c>
      <c r="T2288" s="92">
        <v>4622.5</v>
      </c>
      <c r="U2288" s="207">
        <v>1912.5</v>
      </c>
      <c r="V2288" s="287">
        <f t="shared" ca="1" si="559"/>
        <v>3</v>
      </c>
      <c r="W2288" s="75">
        <f t="shared" ca="1" si="560"/>
        <v>5737.5</v>
      </c>
      <c r="X2288" s="200">
        <f t="shared" ca="1" si="561"/>
        <v>8447.5</v>
      </c>
      <c r="Y2288"/>
      <c r="Z2288" s="156">
        <v>0.1</v>
      </c>
      <c r="AA2288" s="227">
        <v>0.1</v>
      </c>
      <c r="AB2288" s="312" t="s">
        <v>7841</v>
      </c>
      <c r="AF2288">
        <f t="shared" si="563"/>
        <v>0</v>
      </c>
    </row>
    <row r="2289" spans="1:32" ht="30" hidden="1" x14ac:dyDescent="0.25">
      <c r="A2289" s="332" t="s">
        <v>5926</v>
      </c>
      <c r="B2289" s="93" t="str">
        <f t="shared" si="562"/>
        <v>YES</v>
      </c>
      <c r="C2289" t="s">
        <v>5505</v>
      </c>
      <c r="D2289" s="95">
        <v>42894</v>
      </c>
      <c r="E2289" s="95">
        <v>42948</v>
      </c>
      <c r="F2289" s="2">
        <f t="shared" si="557"/>
        <v>46600</v>
      </c>
      <c r="G2289" s="155">
        <v>1920</v>
      </c>
      <c r="H2289" s="93" t="s">
        <v>5883</v>
      </c>
      <c r="I2289" s="93" t="s">
        <v>5884</v>
      </c>
      <c r="J2289" s="163"/>
      <c r="K2289" s="266">
        <f t="shared" si="558"/>
        <v>2027</v>
      </c>
      <c r="L2289" s="398" t="s">
        <v>5885</v>
      </c>
      <c r="M2289" s="397" t="s">
        <v>5606</v>
      </c>
      <c r="N2289" s="163" t="s">
        <v>5927</v>
      </c>
      <c r="Q2289" s="243"/>
      <c r="R2289" s="92">
        <v>6880</v>
      </c>
      <c r="S2289" s="92">
        <v>0</v>
      </c>
      <c r="T2289" s="92">
        <v>6880</v>
      </c>
      <c r="U2289" s="201">
        <v>2880</v>
      </c>
      <c r="V2289" s="287">
        <f t="shared" ca="1" si="559"/>
        <v>3</v>
      </c>
      <c r="W2289" s="75">
        <f t="shared" ca="1" si="560"/>
        <v>8640</v>
      </c>
      <c r="X2289" s="200">
        <f t="shared" ca="1" si="561"/>
        <v>12640</v>
      </c>
      <c r="Y2289"/>
      <c r="Z2289" s="156">
        <v>0.1</v>
      </c>
      <c r="AA2289" s="227">
        <v>0.1</v>
      </c>
      <c r="AB2289" s="312" t="s">
        <v>7841</v>
      </c>
      <c r="AF2289">
        <f t="shared" si="563"/>
        <v>0</v>
      </c>
    </row>
    <row r="2290" spans="1:32" ht="30" hidden="1" x14ac:dyDescent="0.25">
      <c r="A2290" s="332" t="s">
        <v>5928</v>
      </c>
      <c r="B2290" s="93" t="str">
        <f t="shared" si="562"/>
        <v>YES</v>
      </c>
      <c r="C2290" t="s">
        <v>5505</v>
      </c>
      <c r="D2290" s="95">
        <v>42894</v>
      </c>
      <c r="E2290" s="95">
        <v>42948</v>
      </c>
      <c r="F2290" s="2">
        <f t="shared" si="557"/>
        <v>46600</v>
      </c>
      <c r="G2290" s="176">
        <v>460.16</v>
      </c>
      <c r="H2290" s="93" t="s">
        <v>5883</v>
      </c>
      <c r="I2290" s="93" t="s">
        <v>5884</v>
      </c>
      <c r="J2290" s="163"/>
      <c r="K2290" s="266">
        <f t="shared" si="558"/>
        <v>2027</v>
      </c>
      <c r="L2290" s="398" t="s">
        <v>5910</v>
      </c>
      <c r="M2290" s="398" t="s">
        <v>5609</v>
      </c>
      <c r="N2290" s="163" t="s">
        <v>5929</v>
      </c>
      <c r="Q2290" s="243"/>
      <c r="R2290" s="92">
        <v>1773.5</v>
      </c>
      <c r="S2290" s="92">
        <v>0</v>
      </c>
      <c r="T2290" s="92">
        <v>1773.5</v>
      </c>
      <c r="U2290" s="207">
        <v>691.5</v>
      </c>
      <c r="V2290" s="287">
        <f t="shared" ca="1" si="559"/>
        <v>3</v>
      </c>
      <c r="W2290" s="75">
        <f t="shared" ca="1" si="560"/>
        <v>2074.5</v>
      </c>
      <c r="X2290" s="200">
        <f t="shared" ca="1" si="561"/>
        <v>3156.5</v>
      </c>
      <c r="Y2290"/>
      <c r="Z2290" s="156">
        <v>0.1</v>
      </c>
      <c r="AA2290" s="227">
        <v>0.1</v>
      </c>
      <c r="AB2290" s="312" t="s">
        <v>7841</v>
      </c>
      <c r="AF2290">
        <f t="shared" si="563"/>
        <v>0</v>
      </c>
    </row>
    <row r="2291" spans="1:32" hidden="1" x14ac:dyDescent="0.25">
      <c r="A2291" s="332" t="s">
        <v>5930</v>
      </c>
      <c r="B2291" s="93" t="str">
        <f t="shared" si="562"/>
        <v>YES</v>
      </c>
      <c r="C2291" t="s">
        <v>5505</v>
      </c>
      <c r="D2291" s="95">
        <v>42894</v>
      </c>
      <c r="E2291" s="95">
        <v>42948</v>
      </c>
      <c r="F2291" s="2">
        <f t="shared" si="557"/>
        <v>46600</v>
      </c>
      <c r="G2291" s="155">
        <v>151.68</v>
      </c>
      <c r="H2291" s="93" t="s">
        <v>5883</v>
      </c>
      <c r="I2291" s="93" t="s">
        <v>5884</v>
      </c>
      <c r="J2291" s="163"/>
      <c r="K2291" s="266">
        <f t="shared" si="558"/>
        <v>2027</v>
      </c>
      <c r="L2291" s="398" t="s">
        <v>5910</v>
      </c>
      <c r="M2291" s="398" t="s">
        <v>5609</v>
      </c>
      <c r="N2291" s="163" t="s">
        <v>5931</v>
      </c>
      <c r="Q2291" s="243"/>
      <c r="R2291" s="92">
        <v>692</v>
      </c>
      <c r="S2291" s="92">
        <v>0</v>
      </c>
      <c r="T2291" s="92">
        <v>692</v>
      </c>
      <c r="U2291" s="201">
        <v>228</v>
      </c>
      <c r="V2291" s="287">
        <f t="shared" ca="1" si="559"/>
        <v>3</v>
      </c>
      <c r="W2291" s="75">
        <f t="shared" ca="1" si="560"/>
        <v>684</v>
      </c>
      <c r="X2291" s="200">
        <f t="shared" ca="1" si="561"/>
        <v>1148</v>
      </c>
      <c r="Y2291"/>
      <c r="Z2291" s="156">
        <v>0.1</v>
      </c>
      <c r="AA2291" s="227">
        <v>0.1</v>
      </c>
      <c r="AB2291" s="312" t="s">
        <v>7841</v>
      </c>
      <c r="AF2291">
        <f t="shared" si="563"/>
        <v>0</v>
      </c>
    </row>
    <row r="2292" spans="1:32" ht="45" hidden="1" x14ac:dyDescent="0.25">
      <c r="A2292" s="332" t="s">
        <v>5932</v>
      </c>
      <c r="B2292" s="93" t="str">
        <f t="shared" si="562"/>
        <v>YES</v>
      </c>
      <c r="C2292" t="s">
        <v>5505</v>
      </c>
      <c r="D2292" s="95">
        <v>42894</v>
      </c>
      <c r="E2292" s="95">
        <v>42948</v>
      </c>
      <c r="F2292" s="2">
        <f t="shared" si="557"/>
        <v>46600</v>
      </c>
      <c r="G2292" s="155">
        <v>283.36</v>
      </c>
      <c r="H2292" s="93" t="s">
        <v>5883</v>
      </c>
      <c r="I2292" s="93" t="s">
        <v>5884</v>
      </c>
      <c r="J2292" s="163"/>
      <c r="K2292" s="266">
        <f t="shared" si="558"/>
        <v>2027</v>
      </c>
      <c r="L2292" s="398" t="s">
        <v>5910</v>
      </c>
      <c r="M2292" s="398" t="s">
        <v>5609</v>
      </c>
      <c r="N2292" s="163" t="s">
        <v>5933</v>
      </c>
      <c r="Q2292" s="243"/>
      <c r="R2292" s="92">
        <v>3710</v>
      </c>
      <c r="S2292" s="92">
        <v>0</v>
      </c>
      <c r="T2292" s="92">
        <v>3710</v>
      </c>
      <c r="U2292" s="201">
        <v>426</v>
      </c>
      <c r="V2292" s="287">
        <f t="shared" ca="1" si="559"/>
        <v>3</v>
      </c>
      <c r="W2292" s="75">
        <f t="shared" ca="1" si="560"/>
        <v>1278</v>
      </c>
      <c r="X2292" s="200">
        <f t="shared" ca="1" si="561"/>
        <v>4562</v>
      </c>
      <c r="Y2292"/>
      <c r="Z2292" s="156">
        <v>0.1</v>
      </c>
      <c r="AA2292" s="227">
        <v>0.1</v>
      </c>
      <c r="AB2292" s="312" t="s">
        <v>7841</v>
      </c>
      <c r="AF2292">
        <f t="shared" si="563"/>
        <v>0</v>
      </c>
    </row>
    <row r="2293" spans="1:32" hidden="1" x14ac:dyDescent="0.25">
      <c r="A2293" s="334"/>
      <c r="C2293"/>
      <c r="D2293" s="95"/>
      <c r="E2293" s="95"/>
      <c r="F2293" s="95"/>
      <c r="G2293" s="177"/>
      <c r="I2293" s="93"/>
      <c r="J2293" s="163"/>
      <c r="K2293" s="163"/>
      <c r="L2293" s="398"/>
      <c r="M2293" s="398"/>
      <c r="N2293" s="163" t="s">
        <v>5934</v>
      </c>
      <c r="Q2293" s="243"/>
      <c r="R2293" s="158">
        <v>114801</v>
      </c>
      <c r="S2293" s="158">
        <v>0</v>
      </c>
      <c r="T2293" s="158">
        <v>114801</v>
      </c>
      <c r="U2293" s="214"/>
      <c r="V2293" s="178"/>
      <c r="W2293" s="178"/>
      <c r="X2293" s="214"/>
      <c r="Y2293"/>
      <c r="Z2293" s="156"/>
      <c r="AA2293" s="227"/>
      <c r="AF2293">
        <f t="shared" si="563"/>
        <v>0</v>
      </c>
    </row>
    <row r="2294" spans="1:32" ht="15.75" hidden="1" thickTop="1" x14ac:dyDescent="0.25">
      <c r="A2294" s="335"/>
      <c r="C2294"/>
      <c r="D2294"/>
      <c r="E2294"/>
      <c r="F2294"/>
      <c r="G2294" s="180"/>
      <c r="H2294"/>
      <c r="I2294"/>
      <c r="J2294" s="163"/>
      <c r="K2294" s="163"/>
      <c r="L2294" s="398"/>
      <c r="M2294" s="398"/>
      <c r="N2294" s="163" t="s">
        <v>5934</v>
      </c>
      <c r="Q2294" s="247"/>
      <c r="R2294" s="161"/>
      <c r="S2294" s="161"/>
      <c r="T2294" s="161"/>
      <c r="U2294" s="215"/>
      <c r="V2294" s="181"/>
      <c r="W2294" s="181"/>
      <c r="X2294" s="215"/>
      <c r="Y2294"/>
      <c r="Z2294" s="179"/>
      <c r="AA2294" s="231"/>
      <c r="AB2294" s="130"/>
      <c r="AC2294" s="130"/>
      <c r="AD2294" s="130"/>
      <c r="AE2294" s="130"/>
      <c r="AF2294">
        <f t="shared" si="563"/>
        <v>0</v>
      </c>
    </row>
    <row r="2295" spans="1:32" hidden="1" x14ac:dyDescent="0.25">
      <c r="A2295" s="332" t="s">
        <v>5442</v>
      </c>
      <c r="B2295" s="93" t="str">
        <f t="shared" si="562"/>
        <v>YES</v>
      </c>
      <c r="C2295" t="s">
        <v>5505</v>
      </c>
      <c r="D2295" s="95">
        <v>42894</v>
      </c>
      <c r="E2295" s="95">
        <v>43132</v>
      </c>
      <c r="F2295" s="2">
        <f t="shared" ref="F2295:F2300" si="564">DATE(YEAR(E2295)+10,MONTH(E2295),DAY(E2295))</f>
        <v>46784</v>
      </c>
      <c r="G2295" s="155">
        <v>40</v>
      </c>
      <c r="H2295" s="93" t="s">
        <v>528</v>
      </c>
      <c r="I2295" s="93" t="s">
        <v>198</v>
      </c>
      <c r="J2295" s="166"/>
      <c r="K2295" s="266">
        <f t="shared" ref="K2295:K2300" si="565">YEAR(F2295)</f>
        <v>2028</v>
      </c>
      <c r="L2295" s="393" t="s">
        <v>5935</v>
      </c>
      <c r="M2295" s="393" t="s">
        <v>5936</v>
      </c>
      <c r="N2295" s="163" t="s">
        <v>7645</v>
      </c>
      <c r="Q2295" s="428">
        <v>201704007</v>
      </c>
      <c r="R2295" s="92">
        <v>300</v>
      </c>
      <c r="S2295" s="92">
        <v>960</v>
      </c>
      <c r="T2295" s="92">
        <v>1260</v>
      </c>
      <c r="U2295" s="201">
        <v>60</v>
      </c>
      <c r="V2295" s="287">
        <f t="shared" ref="V2295:V2300" ca="1" si="566">IF(YEAR($W$3)-YEAR(E2295)&gt;9,10,IF(MONTH($W$3)&lt;MONTH(E2295),YEAR($W$3)-YEAR(E2295),YEAR($W$3)-YEAR(E2295)+1))</f>
        <v>2</v>
      </c>
      <c r="W2295" s="75">
        <f t="shared" ref="W2295:W2300" ca="1" si="567">IF(V2295&lt;6, ROUNDUP(G2295,0)*$W$6*V2295, ROUNDUP(G2295,0)*($W$6*5 + (V2295-5)*$W$7))</f>
        <v>120</v>
      </c>
      <c r="X2295" s="200">
        <f t="shared" ref="X2295:X2300" ca="1" si="568">IF(V2295=0,T2295,((T2295-ROUNDUP(G2295,0)*1.5)+W2295))</f>
        <v>1320</v>
      </c>
      <c r="Y2295"/>
      <c r="Z2295" s="156">
        <v>0.1</v>
      </c>
      <c r="AA2295" s="227">
        <v>0.1</v>
      </c>
      <c r="AB2295" s="312" t="s">
        <v>7648</v>
      </c>
      <c r="AF2295">
        <f t="shared" si="563"/>
        <v>0</v>
      </c>
    </row>
    <row r="2296" spans="1:32" ht="60" hidden="1" x14ac:dyDescent="0.25">
      <c r="A2296" s="332" t="s">
        <v>5937</v>
      </c>
      <c r="B2296" s="93" t="str">
        <f t="shared" si="562"/>
        <v>YES</v>
      </c>
      <c r="C2296" t="s">
        <v>5505</v>
      </c>
      <c r="D2296" s="95">
        <v>42894</v>
      </c>
      <c r="E2296" s="95">
        <v>43132</v>
      </c>
      <c r="F2296" s="2">
        <f t="shared" si="564"/>
        <v>46784</v>
      </c>
      <c r="G2296" s="155">
        <v>8.76</v>
      </c>
      <c r="H2296" s="93" t="s">
        <v>528</v>
      </c>
      <c r="I2296" s="93" t="s">
        <v>198</v>
      </c>
      <c r="J2296" s="166"/>
      <c r="K2296" s="266">
        <f t="shared" si="565"/>
        <v>2028</v>
      </c>
      <c r="L2296" s="393" t="s">
        <v>5745</v>
      </c>
      <c r="M2296" s="393" t="s">
        <v>5936</v>
      </c>
      <c r="N2296" s="163" t="s">
        <v>7646</v>
      </c>
      <c r="Q2296" s="428">
        <v>201704008</v>
      </c>
      <c r="R2296" s="92">
        <v>191.5</v>
      </c>
      <c r="S2296" s="92">
        <v>99</v>
      </c>
      <c r="T2296" s="92">
        <v>290.5</v>
      </c>
      <c r="U2296" s="201">
        <v>13.5</v>
      </c>
      <c r="V2296" s="287">
        <f t="shared" ca="1" si="566"/>
        <v>2</v>
      </c>
      <c r="W2296" s="75">
        <f t="shared" ca="1" si="567"/>
        <v>27</v>
      </c>
      <c r="X2296" s="200">
        <f t="shared" ca="1" si="568"/>
        <v>304</v>
      </c>
      <c r="Y2296"/>
      <c r="Z2296" s="156">
        <v>0.1</v>
      </c>
      <c r="AA2296" s="227">
        <v>0.1</v>
      </c>
      <c r="AB2296" s="312" t="s">
        <v>7649</v>
      </c>
      <c r="AF2296">
        <f t="shared" si="563"/>
        <v>0</v>
      </c>
    </row>
    <row r="2297" spans="1:32" ht="30" hidden="1" x14ac:dyDescent="0.25">
      <c r="A2297" s="332" t="s">
        <v>5938</v>
      </c>
      <c r="B2297" s="93" t="str">
        <f t="shared" si="562"/>
        <v>YES</v>
      </c>
      <c r="C2297" t="s">
        <v>5505</v>
      </c>
      <c r="D2297" s="95">
        <v>42894</v>
      </c>
      <c r="E2297" s="95">
        <v>43132</v>
      </c>
      <c r="F2297" s="2">
        <f t="shared" si="564"/>
        <v>46784</v>
      </c>
      <c r="G2297" s="155">
        <v>229.53</v>
      </c>
      <c r="H2297" s="93" t="s">
        <v>2366</v>
      </c>
      <c r="I2297" s="93" t="s">
        <v>15</v>
      </c>
      <c r="J2297" s="336" t="s">
        <v>5939</v>
      </c>
      <c r="K2297" s="266">
        <f t="shared" si="565"/>
        <v>2028</v>
      </c>
      <c r="L2297" s="393" t="s">
        <v>7773</v>
      </c>
      <c r="M2297" s="393">
        <v>220</v>
      </c>
      <c r="N2297" s="163" t="s">
        <v>5940</v>
      </c>
      <c r="Q2297" s="428">
        <v>201704014</v>
      </c>
      <c r="R2297" s="92">
        <v>965</v>
      </c>
      <c r="S2297" s="92">
        <v>17020</v>
      </c>
      <c r="T2297" s="92">
        <v>17985</v>
      </c>
      <c r="U2297" s="201">
        <v>345</v>
      </c>
      <c r="V2297" s="287">
        <f t="shared" ca="1" si="566"/>
        <v>2</v>
      </c>
      <c r="W2297" s="75">
        <f t="shared" ca="1" si="567"/>
        <v>690</v>
      </c>
      <c r="X2297" s="200">
        <f t="shared" ca="1" si="568"/>
        <v>18330</v>
      </c>
      <c r="Y2297"/>
      <c r="Z2297" s="156">
        <v>0.1</v>
      </c>
      <c r="AA2297" s="227">
        <v>0.1</v>
      </c>
      <c r="AB2297" s="312" t="s">
        <v>7715</v>
      </c>
      <c r="AF2297">
        <f t="shared" si="563"/>
        <v>0</v>
      </c>
    </row>
    <row r="2298" spans="1:32" ht="30" hidden="1" x14ac:dyDescent="0.25">
      <c r="A2298" s="332" t="s">
        <v>5439</v>
      </c>
      <c r="B2298" s="93" t="str">
        <f t="shared" si="562"/>
        <v>YES</v>
      </c>
      <c r="C2298" t="s">
        <v>5505</v>
      </c>
      <c r="D2298" s="95">
        <v>42894</v>
      </c>
      <c r="E2298" s="95">
        <v>43132</v>
      </c>
      <c r="F2298" s="2">
        <f t="shared" si="564"/>
        <v>46784</v>
      </c>
      <c r="G2298" s="155">
        <v>173.93</v>
      </c>
      <c r="H2298" s="93" t="s">
        <v>2366</v>
      </c>
      <c r="I2298" s="93" t="s">
        <v>15</v>
      </c>
      <c r="J2298" s="336" t="s">
        <v>5939</v>
      </c>
      <c r="K2298" s="266">
        <f t="shared" si="565"/>
        <v>2028</v>
      </c>
      <c r="L2298" s="393" t="s">
        <v>7774</v>
      </c>
      <c r="M2298" s="393">
        <v>2</v>
      </c>
      <c r="N2298" s="163" t="s">
        <v>5941</v>
      </c>
      <c r="Q2298" s="428">
        <v>201704015</v>
      </c>
      <c r="R2298" s="92">
        <v>769</v>
      </c>
      <c r="S2298" s="92">
        <v>6786</v>
      </c>
      <c r="T2298" s="92">
        <v>7555</v>
      </c>
      <c r="U2298" s="201">
        <v>261</v>
      </c>
      <c r="V2298" s="287">
        <f t="shared" ca="1" si="566"/>
        <v>2</v>
      </c>
      <c r="W2298" s="75">
        <f t="shared" ca="1" si="567"/>
        <v>522</v>
      </c>
      <c r="X2298" s="200">
        <f t="shared" ca="1" si="568"/>
        <v>7816</v>
      </c>
      <c r="Y2298"/>
      <c r="Z2298" s="156">
        <v>0.1</v>
      </c>
      <c r="AA2298" s="227">
        <v>0.1</v>
      </c>
      <c r="AB2298" s="312" t="s">
        <v>7715</v>
      </c>
      <c r="AF2298">
        <f t="shared" si="563"/>
        <v>0</v>
      </c>
    </row>
    <row r="2299" spans="1:32" ht="26.25" hidden="1" x14ac:dyDescent="0.25">
      <c r="A2299" s="332" t="s">
        <v>5440</v>
      </c>
      <c r="B2299" s="93" t="str">
        <f t="shared" si="562"/>
        <v>YES</v>
      </c>
      <c r="C2299" t="s">
        <v>5505</v>
      </c>
      <c r="D2299" s="95">
        <v>42894</v>
      </c>
      <c r="E2299" s="95">
        <v>43132</v>
      </c>
      <c r="F2299" s="2">
        <f t="shared" si="564"/>
        <v>46784</v>
      </c>
      <c r="G2299" s="155">
        <v>167.77</v>
      </c>
      <c r="H2299" s="93" t="s">
        <v>237</v>
      </c>
      <c r="I2299" s="93" t="s">
        <v>15</v>
      </c>
      <c r="J2299" s="336" t="s">
        <v>5939</v>
      </c>
      <c r="K2299" s="266">
        <f t="shared" si="565"/>
        <v>2028</v>
      </c>
      <c r="L2299" s="393">
        <v>600602606</v>
      </c>
      <c r="M2299" s="393">
        <v>608</v>
      </c>
      <c r="N2299" s="163" t="s">
        <v>5942</v>
      </c>
      <c r="Q2299" s="428">
        <v>201704016</v>
      </c>
      <c r="R2299" s="92">
        <v>748</v>
      </c>
      <c r="S2299" s="92">
        <v>33432</v>
      </c>
      <c r="T2299" s="92">
        <v>34180</v>
      </c>
      <c r="U2299" s="201">
        <v>252</v>
      </c>
      <c r="V2299" s="287">
        <f t="shared" ca="1" si="566"/>
        <v>2</v>
      </c>
      <c r="W2299" s="75">
        <f t="shared" ca="1" si="567"/>
        <v>504</v>
      </c>
      <c r="X2299" s="200">
        <f t="shared" ca="1" si="568"/>
        <v>34432</v>
      </c>
      <c r="Y2299"/>
      <c r="Z2299" s="156">
        <v>0.1</v>
      </c>
      <c r="AA2299" s="227">
        <v>0.1</v>
      </c>
      <c r="AB2299" s="312" t="s">
        <v>7664</v>
      </c>
      <c r="AF2299">
        <f t="shared" si="563"/>
        <v>0</v>
      </c>
    </row>
    <row r="2300" spans="1:32" hidden="1" x14ac:dyDescent="0.25">
      <c r="A2300" s="332" t="s">
        <v>5441</v>
      </c>
      <c r="B2300" s="93" t="str">
        <f t="shared" si="562"/>
        <v>YES</v>
      </c>
      <c r="C2300" t="s">
        <v>5505</v>
      </c>
      <c r="D2300" s="95">
        <v>42894</v>
      </c>
      <c r="E2300" s="95">
        <v>43132</v>
      </c>
      <c r="F2300" s="2">
        <f t="shared" si="564"/>
        <v>46784</v>
      </c>
      <c r="G2300" s="155">
        <v>153</v>
      </c>
      <c r="H2300" s="93" t="s">
        <v>202</v>
      </c>
      <c r="I2300" s="93" t="s">
        <v>15</v>
      </c>
      <c r="J2300" s="166"/>
      <c r="K2300" s="266">
        <f t="shared" si="565"/>
        <v>2028</v>
      </c>
      <c r="L2300" s="393" t="s">
        <v>7775</v>
      </c>
      <c r="M2300" s="393" t="s">
        <v>7768</v>
      </c>
      <c r="N2300" s="163" t="s">
        <v>5943</v>
      </c>
      <c r="Q2300" s="428">
        <v>201704017</v>
      </c>
      <c r="R2300" s="182">
        <v>695.5</v>
      </c>
      <c r="S2300" s="182">
        <v>8262</v>
      </c>
      <c r="T2300" s="182">
        <v>8957.5</v>
      </c>
      <c r="U2300" s="201">
        <v>229.5</v>
      </c>
      <c r="V2300" s="287">
        <f t="shared" ca="1" si="566"/>
        <v>2</v>
      </c>
      <c r="W2300" s="75">
        <f t="shared" ca="1" si="567"/>
        <v>459</v>
      </c>
      <c r="X2300" s="200">
        <f t="shared" ca="1" si="568"/>
        <v>9187</v>
      </c>
      <c r="Y2300"/>
      <c r="Z2300" s="156">
        <v>0.1</v>
      </c>
      <c r="AA2300" s="227">
        <v>0.1</v>
      </c>
      <c r="AB2300" s="312" t="s">
        <v>7923</v>
      </c>
      <c r="AF2300">
        <f t="shared" si="563"/>
        <v>0</v>
      </c>
    </row>
    <row r="2301" spans="1:32" hidden="1" x14ac:dyDescent="0.25">
      <c r="A2301" s="334"/>
      <c r="C2301"/>
      <c r="D2301" s="95"/>
      <c r="E2301" s="95"/>
      <c r="F2301" s="95"/>
      <c r="G2301" s="155"/>
      <c r="I2301" s="93"/>
      <c r="J2301" s="166"/>
      <c r="K2301" s="166"/>
      <c r="L2301" s="393"/>
      <c r="M2301" s="393"/>
      <c r="N2301" s="163" t="s">
        <v>5934</v>
      </c>
      <c r="Q2301" s="243"/>
      <c r="R2301" s="158">
        <v>185724.5</v>
      </c>
      <c r="S2301" s="158">
        <v>66559</v>
      </c>
      <c r="T2301" s="158">
        <v>70228</v>
      </c>
      <c r="Y2301"/>
      <c r="Z2301" s="156"/>
      <c r="AA2301" s="227"/>
      <c r="AF2301">
        <f t="shared" si="563"/>
        <v>0</v>
      </c>
    </row>
    <row r="2302" spans="1:32" ht="15.75" hidden="1" thickTop="1" x14ac:dyDescent="0.25">
      <c r="A2302" s="334"/>
      <c r="C2302"/>
      <c r="E2302" s="93"/>
      <c r="F2302" s="93"/>
      <c r="G2302" s="155"/>
      <c r="I2302" s="93"/>
      <c r="J2302" s="166"/>
      <c r="K2302" s="166"/>
      <c r="L2302" s="393"/>
      <c r="M2302" s="393"/>
      <c r="N2302" s="163" t="s">
        <v>5934</v>
      </c>
      <c r="Q2302" s="245"/>
      <c r="R2302" s="160"/>
      <c r="S2302" s="160"/>
      <c r="T2302" s="160"/>
      <c r="Y2302"/>
      <c r="Z2302" s="156"/>
      <c r="AA2302" s="227"/>
      <c r="AF2302">
        <f t="shared" si="563"/>
        <v>0</v>
      </c>
    </row>
    <row r="2303" spans="1:32" hidden="1" x14ac:dyDescent="0.25">
      <c r="A2303" s="332" t="s">
        <v>5435</v>
      </c>
      <c r="B2303" s="93" t="str">
        <f t="shared" si="562"/>
        <v>YES</v>
      </c>
      <c r="C2303" t="s">
        <v>5505</v>
      </c>
      <c r="D2303" s="95">
        <v>42999</v>
      </c>
      <c r="E2303" s="95">
        <v>43070</v>
      </c>
      <c r="F2303" s="2">
        <f t="shared" ref="F2303:F2310" si="569">DATE(YEAR(E2303)+10,MONTH(E2303),DAY(E2303))</f>
        <v>46722</v>
      </c>
      <c r="G2303" s="155">
        <v>81.31</v>
      </c>
      <c r="H2303" s="93" t="s">
        <v>5436</v>
      </c>
      <c r="I2303" s="93" t="s">
        <v>5437</v>
      </c>
      <c r="J2303" s="166"/>
      <c r="K2303" s="266">
        <f t="shared" ref="K2303:K2310" si="570">YEAR(F2303)</f>
        <v>2027</v>
      </c>
      <c r="L2303" s="393" t="s">
        <v>5944</v>
      </c>
      <c r="M2303" s="393" t="s">
        <v>5945</v>
      </c>
      <c r="N2303" s="163" t="s">
        <v>5946</v>
      </c>
      <c r="Q2303" s="243" t="s">
        <v>7995</v>
      </c>
      <c r="R2303" s="138">
        <v>447</v>
      </c>
      <c r="S2303" s="138">
        <v>12792</v>
      </c>
      <c r="T2303" s="138">
        <v>13239</v>
      </c>
      <c r="U2303" s="201">
        <v>123</v>
      </c>
      <c r="V2303" s="287">
        <f t="shared" ref="V2303:V2310" ca="1" si="571">IF(YEAR($W$3)-YEAR(E2303)&gt;9,10,IF(MONTH($W$3)&lt;MONTH(E2303),YEAR($W$3)-YEAR(E2303),YEAR($W$3)-YEAR(E2303)+1))</f>
        <v>3</v>
      </c>
      <c r="W2303" s="75">
        <f t="shared" ref="W2303:W2310" ca="1" si="572">IF(V2303&lt;6, ROUNDUP(G2303,0)*$W$6*V2303, ROUNDUP(G2303,0)*($W$6*5 + (V2303-5)*$W$7))</f>
        <v>369</v>
      </c>
      <c r="X2303" s="200">
        <f t="shared" ref="X2303:X2310" ca="1" si="573">IF(V2303=0,T2303,((T2303-ROUNDUP(G2303,0)*1.5)+W2303))</f>
        <v>13485</v>
      </c>
      <c r="Y2303"/>
      <c r="Z2303" s="156">
        <v>0.1</v>
      </c>
      <c r="AA2303" s="227">
        <v>0.1</v>
      </c>
      <c r="AB2303" s="312" t="s">
        <v>7907</v>
      </c>
      <c r="AC2303" s="310">
        <v>43703</v>
      </c>
      <c r="AD2303" s="311">
        <v>0.2</v>
      </c>
      <c r="AE2303" s="312" t="s">
        <v>7919</v>
      </c>
      <c r="AF2303">
        <f t="shared" si="563"/>
        <v>0</v>
      </c>
    </row>
    <row r="2304" spans="1:32" s="353" customFormat="1" ht="38.25" hidden="1" x14ac:dyDescent="0.25">
      <c r="A2304" s="332" t="s">
        <v>5438</v>
      </c>
      <c r="B2304" s="93" t="str">
        <f t="shared" si="562"/>
        <v>YES</v>
      </c>
      <c r="C2304" s="353" t="s">
        <v>5505</v>
      </c>
      <c r="D2304" s="354">
        <v>42999</v>
      </c>
      <c r="E2304" s="354">
        <v>43070</v>
      </c>
      <c r="F2304" s="355">
        <f t="shared" si="569"/>
        <v>46722</v>
      </c>
      <c r="G2304" s="356">
        <v>80.37</v>
      </c>
      <c r="H2304" s="352" t="s">
        <v>5436</v>
      </c>
      <c r="I2304" s="352" t="s">
        <v>5437</v>
      </c>
      <c r="J2304" s="369" t="s">
        <v>7660</v>
      </c>
      <c r="K2304" s="358">
        <f t="shared" si="570"/>
        <v>2027</v>
      </c>
      <c r="L2304" s="394" t="s">
        <v>5947</v>
      </c>
      <c r="M2304" s="394" t="s">
        <v>5948</v>
      </c>
      <c r="N2304" s="359" t="s">
        <v>7659</v>
      </c>
      <c r="O2304" s="357"/>
      <c r="P2304" s="360"/>
      <c r="Q2304" s="243" t="s">
        <v>7996</v>
      </c>
      <c r="R2304" s="362">
        <v>4419.5</v>
      </c>
      <c r="S2304" s="362">
        <v>68152</v>
      </c>
      <c r="T2304" s="362">
        <v>72571.5</v>
      </c>
      <c r="U2304" s="363">
        <v>121.5</v>
      </c>
      <c r="V2304" s="364">
        <f t="shared" ca="1" si="571"/>
        <v>3</v>
      </c>
      <c r="W2304" s="349">
        <f t="shared" ca="1" si="572"/>
        <v>364.5</v>
      </c>
      <c r="X2304" s="365">
        <f t="shared" ca="1" si="573"/>
        <v>72814.5</v>
      </c>
      <c r="Z2304" s="366">
        <v>0.1</v>
      </c>
      <c r="AA2304" s="367">
        <v>0.1</v>
      </c>
      <c r="AB2304" s="312" t="s">
        <v>7906</v>
      </c>
      <c r="AC2304" s="310">
        <v>43703</v>
      </c>
      <c r="AD2304" s="311">
        <v>0.2</v>
      </c>
      <c r="AE2304" s="312" t="s">
        <v>7919</v>
      </c>
      <c r="AF2304" s="353">
        <f t="shared" si="563"/>
        <v>0</v>
      </c>
    </row>
    <row r="2305" spans="1:32" s="353" customFormat="1" ht="60" hidden="1" x14ac:dyDescent="0.25">
      <c r="A2305" s="332" t="s">
        <v>7821</v>
      </c>
      <c r="B2305" s="93" t="str">
        <f t="shared" si="562"/>
        <v>YES</v>
      </c>
      <c r="C2305" s="353" t="s">
        <v>5505</v>
      </c>
      <c r="D2305" s="354"/>
      <c r="E2305" s="354">
        <v>43070</v>
      </c>
      <c r="F2305" s="355">
        <f t="shared" si="569"/>
        <v>46722</v>
      </c>
      <c r="G2305" s="356">
        <v>1136.6300000000001</v>
      </c>
      <c r="H2305" s="352" t="s">
        <v>5436</v>
      </c>
      <c r="I2305" s="352" t="s">
        <v>5437</v>
      </c>
      <c r="J2305" s="370" t="s">
        <v>7661</v>
      </c>
      <c r="K2305" s="358">
        <v>2027</v>
      </c>
      <c r="L2305" s="394" t="s">
        <v>5947</v>
      </c>
      <c r="M2305" s="394" t="s">
        <v>5948</v>
      </c>
      <c r="N2305" s="359" t="s">
        <v>7719</v>
      </c>
      <c r="O2305" s="357"/>
      <c r="P2305" s="360"/>
      <c r="Q2305" s="361"/>
      <c r="R2305" s="362"/>
      <c r="S2305" s="362"/>
      <c r="T2305" s="362"/>
      <c r="U2305" s="363">
        <v>1705.5</v>
      </c>
      <c r="V2305" s="364"/>
      <c r="W2305" s="349"/>
      <c r="X2305" s="365"/>
      <c r="Z2305" s="366"/>
      <c r="AA2305" s="367"/>
      <c r="AB2305" s="368"/>
      <c r="AC2305" s="368"/>
      <c r="AD2305" s="311"/>
      <c r="AE2305" s="368"/>
    </row>
    <row r="2306" spans="1:32" ht="30" hidden="1" x14ac:dyDescent="0.25">
      <c r="A2306" s="332" t="s">
        <v>5949</v>
      </c>
      <c r="B2306" s="93" t="str">
        <f t="shared" si="562"/>
        <v>YES</v>
      </c>
      <c r="C2306" t="s">
        <v>5505</v>
      </c>
      <c r="D2306" s="95">
        <v>42999</v>
      </c>
      <c r="E2306" s="95">
        <v>43070</v>
      </c>
      <c r="F2306" s="2">
        <f t="shared" si="569"/>
        <v>46722</v>
      </c>
      <c r="G2306" s="155">
        <v>81.86</v>
      </c>
      <c r="H2306" s="93" t="s">
        <v>5436</v>
      </c>
      <c r="I2306" s="93" t="s">
        <v>5437</v>
      </c>
      <c r="J2306" s="166"/>
      <c r="K2306" s="266">
        <f t="shared" si="570"/>
        <v>2027</v>
      </c>
      <c r="L2306" s="393" t="s">
        <v>5950</v>
      </c>
      <c r="M2306" s="393" t="s">
        <v>5948</v>
      </c>
      <c r="N2306" s="163" t="s">
        <v>5951</v>
      </c>
      <c r="Q2306" s="243" t="s">
        <v>7997</v>
      </c>
      <c r="R2306" s="92">
        <v>447</v>
      </c>
      <c r="S2306" s="92">
        <v>4592</v>
      </c>
      <c r="T2306" s="92">
        <v>5039</v>
      </c>
      <c r="U2306" s="201">
        <v>123</v>
      </c>
      <c r="V2306" s="287">
        <f t="shared" ca="1" si="571"/>
        <v>3</v>
      </c>
      <c r="W2306" s="75">
        <f t="shared" ca="1" si="572"/>
        <v>369</v>
      </c>
      <c r="X2306" s="200">
        <f t="shared" ca="1" si="573"/>
        <v>5285</v>
      </c>
      <c r="Y2306"/>
      <c r="Z2306" s="156">
        <v>0.1</v>
      </c>
      <c r="AA2306" s="227">
        <v>0.1</v>
      </c>
      <c r="AB2306" s="312" t="s">
        <v>7905</v>
      </c>
      <c r="AC2306" s="310">
        <v>43703</v>
      </c>
      <c r="AD2306" s="311">
        <v>0.2</v>
      </c>
      <c r="AE2306" s="312" t="s">
        <v>7919</v>
      </c>
      <c r="AF2306">
        <f t="shared" si="563"/>
        <v>0</v>
      </c>
    </row>
    <row r="2307" spans="1:32" ht="60" hidden="1" x14ac:dyDescent="0.25">
      <c r="A2307" s="332" t="s">
        <v>5952</v>
      </c>
      <c r="B2307" s="93" t="str">
        <f t="shared" si="562"/>
        <v>YES</v>
      </c>
      <c r="C2307" t="s">
        <v>5505</v>
      </c>
      <c r="D2307" s="95">
        <v>42999</v>
      </c>
      <c r="E2307" s="95">
        <v>43070</v>
      </c>
      <c r="F2307" s="2">
        <f t="shared" si="569"/>
        <v>46722</v>
      </c>
      <c r="G2307" s="155">
        <v>451.05</v>
      </c>
      <c r="H2307" s="93" t="s">
        <v>5436</v>
      </c>
      <c r="I2307" s="93" t="s">
        <v>5437</v>
      </c>
      <c r="J2307" s="166"/>
      <c r="K2307" s="266">
        <f t="shared" si="570"/>
        <v>2027</v>
      </c>
      <c r="L2307" s="393" t="s">
        <v>5944</v>
      </c>
      <c r="M2307" s="393" t="s">
        <v>5948</v>
      </c>
      <c r="N2307" s="163" t="s">
        <v>5953</v>
      </c>
      <c r="Q2307" s="243" t="s">
        <v>7998</v>
      </c>
      <c r="R2307" s="92">
        <v>16827.5</v>
      </c>
      <c r="S2307" s="92">
        <v>7062.5</v>
      </c>
      <c r="T2307" s="92">
        <v>23890</v>
      </c>
      <c r="U2307" s="201">
        <v>678</v>
      </c>
      <c r="V2307" s="287">
        <f t="shared" ca="1" si="571"/>
        <v>3</v>
      </c>
      <c r="W2307" s="75">
        <f t="shared" ca="1" si="572"/>
        <v>2034</v>
      </c>
      <c r="X2307" s="200">
        <f t="shared" ca="1" si="573"/>
        <v>25246</v>
      </c>
      <c r="Y2307"/>
      <c r="Z2307" s="156">
        <v>0.1</v>
      </c>
      <c r="AA2307" s="227">
        <v>0.1</v>
      </c>
      <c r="AB2307" s="312" t="s">
        <v>7904</v>
      </c>
      <c r="AC2307" s="310">
        <v>43703</v>
      </c>
      <c r="AD2307" s="311">
        <v>0.2</v>
      </c>
      <c r="AE2307" s="312" t="s">
        <v>7919</v>
      </c>
      <c r="AF2307">
        <f t="shared" si="563"/>
        <v>0</v>
      </c>
    </row>
    <row r="2308" spans="1:32" hidden="1" x14ac:dyDescent="0.25">
      <c r="A2308" s="332" t="s">
        <v>5954</v>
      </c>
      <c r="B2308" s="93" t="str">
        <f t="shared" si="562"/>
        <v>YES</v>
      </c>
      <c r="C2308" t="s">
        <v>5505</v>
      </c>
      <c r="D2308" s="95">
        <v>42999</v>
      </c>
      <c r="E2308" s="95">
        <v>43070</v>
      </c>
      <c r="F2308" s="2">
        <f t="shared" si="569"/>
        <v>46722</v>
      </c>
      <c r="G2308" s="155">
        <v>42.12</v>
      </c>
      <c r="H2308" s="93" t="s">
        <v>5436</v>
      </c>
      <c r="I2308" s="93" t="s">
        <v>5437</v>
      </c>
      <c r="J2308" s="166"/>
      <c r="K2308" s="266">
        <f t="shared" si="570"/>
        <v>2027</v>
      </c>
      <c r="L2308" s="393" t="s">
        <v>5944</v>
      </c>
      <c r="M2308" s="393" t="s">
        <v>5948</v>
      </c>
      <c r="N2308" s="163" t="s">
        <v>5955</v>
      </c>
      <c r="Q2308" s="243" t="s">
        <v>7999</v>
      </c>
      <c r="R2308" s="92">
        <v>310.5</v>
      </c>
      <c r="S2308" s="92">
        <v>903</v>
      </c>
      <c r="T2308" s="92">
        <v>1213.5</v>
      </c>
      <c r="U2308" s="201">
        <v>64.5</v>
      </c>
      <c r="V2308" s="287">
        <f t="shared" ca="1" si="571"/>
        <v>3</v>
      </c>
      <c r="W2308" s="75">
        <f t="shared" ca="1" si="572"/>
        <v>193.5</v>
      </c>
      <c r="X2308" s="200">
        <f t="shared" ca="1" si="573"/>
        <v>1342.5</v>
      </c>
      <c r="Y2308"/>
      <c r="Z2308" s="156">
        <v>0.1</v>
      </c>
      <c r="AA2308" s="227">
        <v>0.1</v>
      </c>
      <c r="AB2308" s="312" t="s">
        <v>7903</v>
      </c>
      <c r="AC2308" s="310">
        <v>43703</v>
      </c>
      <c r="AD2308" s="311">
        <v>0.2</v>
      </c>
      <c r="AE2308" s="312" t="s">
        <v>7919</v>
      </c>
      <c r="AF2308">
        <f t="shared" si="563"/>
        <v>0</v>
      </c>
    </row>
    <row r="2309" spans="1:32" ht="90" hidden="1" x14ac:dyDescent="0.25">
      <c r="A2309" s="332" t="s">
        <v>5956</v>
      </c>
      <c r="B2309" s="93" t="str">
        <f t="shared" si="562"/>
        <v>YES</v>
      </c>
      <c r="C2309" t="s">
        <v>5505</v>
      </c>
      <c r="D2309" s="95">
        <v>42999</v>
      </c>
      <c r="E2309" s="95">
        <v>43070</v>
      </c>
      <c r="F2309" s="2">
        <f t="shared" si="569"/>
        <v>46722</v>
      </c>
      <c r="G2309" s="155">
        <v>270.55</v>
      </c>
      <c r="H2309" s="93" t="s">
        <v>5436</v>
      </c>
      <c r="I2309" s="93" t="s">
        <v>5437</v>
      </c>
      <c r="J2309" s="166"/>
      <c r="K2309" s="266">
        <f t="shared" si="570"/>
        <v>2027</v>
      </c>
      <c r="L2309" s="393" t="s">
        <v>5944</v>
      </c>
      <c r="M2309" s="393" t="s">
        <v>5957</v>
      </c>
      <c r="N2309" s="163" t="s">
        <v>5958</v>
      </c>
      <c r="Q2309" s="243" t="s">
        <v>8000</v>
      </c>
      <c r="R2309" s="92">
        <v>1108.5</v>
      </c>
      <c r="S2309" s="92">
        <v>14363</v>
      </c>
      <c r="T2309" s="92">
        <v>15471.5</v>
      </c>
      <c r="U2309" s="201">
        <v>406.5</v>
      </c>
      <c r="V2309" s="287">
        <f t="shared" ca="1" si="571"/>
        <v>3</v>
      </c>
      <c r="W2309" s="75">
        <f t="shared" ca="1" si="572"/>
        <v>1219.5</v>
      </c>
      <c r="X2309" s="200">
        <f t="shared" ca="1" si="573"/>
        <v>16284.5</v>
      </c>
      <c r="Y2309"/>
      <c r="Z2309" s="156">
        <v>0.1</v>
      </c>
      <c r="AA2309" s="227">
        <v>0.1</v>
      </c>
      <c r="AB2309" s="312" t="s">
        <v>7902</v>
      </c>
      <c r="AC2309" s="310">
        <v>43703</v>
      </c>
      <c r="AD2309" s="311">
        <v>0.2</v>
      </c>
      <c r="AE2309" s="312" t="s">
        <v>7919</v>
      </c>
      <c r="AF2309">
        <f t="shared" si="563"/>
        <v>0</v>
      </c>
    </row>
    <row r="2310" spans="1:32" hidden="1" x14ac:dyDescent="0.25">
      <c r="A2310" s="332" t="s">
        <v>5959</v>
      </c>
      <c r="B2310" s="93" t="str">
        <f t="shared" si="562"/>
        <v>YES</v>
      </c>
      <c r="C2310" t="s">
        <v>5505</v>
      </c>
      <c r="D2310" s="95">
        <v>42999</v>
      </c>
      <c r="E2310" s="95">
        <v>43070</v>
      </c>
      <c r="F2310" s="2">
        <f t="shared" si="569"/>
        <v>46722</v>
      </c>
      <c r="G2310" s="155">
        <v>80</v>
      </c>
      <c r="H2310" s="93" t="s">
        <v>5436</v>
      </c>
      <c r="I2310" s="93" t="s">
        <v>5437</v>
      </c>
      <c r="J2310" s="166"/>
      <c r="K2310" s="266">
        <f t="shared" si="570"/>
        <v>2027</v>
      </c>
      <c r="L2310" s="393" t="s">
        <v>5960</v>
      </c>
      <c r="M2310" s="393" t="s">
        <v>5957</v>
      </c>
      <c r="N2310" s="163" t="s">
        <v>5961</v>
      </c>
      <c r="Q2310" s="243" t="s">
        <v>8001</v>
      </c>
      <c r="R2310" s="182">
        <v>440</v>
      </c>
      <c r="S2310" s="182">
        <v>1520</v>
      </c>
      <c r="T2310" s="182">
        <v>1960</v>
      </c>
      <c r="U2310" s="201">
        <v>120</v>
      </c>
      <c r="V2310" s="287">
        <f t="shared" ca="1" si="571"/>
        <v>3</v>
      </c>
      <c r="W2310" s="75">
        <f t="shared" ca="1" si="572"/>
        <v>360</v>
      </c>
      <c r="X2310" s="200">
        <f t="shared" ca="1" si="573"/>
        <v>2200</v>
      </c>
      <c r="Y2310"/>
      <c r="Z2310" s="156">
        <v>0.1</v>
      </c>
      <c r="AA2310" s="227">
        <v>0.1</v>
      </c>
      <c r="AB2310" s="312" t="s">
        <v>7901</v>
      </c>
      <c r="AC2310" s="310">
        <v>43703</v>
      </c>
      <c r="AD2310" s="311">
        <v>0.2</v>
      </c>
      <c r="AE2310" s="312" t="s">
        <v>7919</v>
      </c>
      <c r="AF2310">
        <f t="shared" si="563"/>
        <v>0</v>
      </c>
    </row>
    <row r="2311" spans="1:32" hidden="1" x14ac:dyDescent="0.25">
      <c r="A2311" s="334"/>
      <c r="C2311"/>
      <c r="D2311" s="95"/>
      <c r="E2311" s="95"/>
      <c r="F2311" s="95"/>
      <c r="G2311" s="155"/>
      <c r="I2311" s="93"/>
      <c r="J2311" s="166"/>
      <c r="K2311" s="166"/>
      <c r="L2311" s="393"/>
      <c r="M2311" s="393"/>
      <c r="N2311" s="163" t="s">
        <v>5934</v>
      </c>
      <c r="Q2311" s="243"/>
      <c r="R2311" s="158">
        <v>24000</v>
      </c>
      <c r="S2311" s="158">
        <v>109384.5</v>
      </c>
      <c r="T2311" s="158">
        <v>133384.5</v>
      </c>
      <c r="Y2311"/>
      <c r="Z2311" s="156"/>
      <c r="AA2311" s="227"/>
      <c r="AF2311">
        <f t="shared" si="563"/>
        <v>0</v>
      </c>
    </row>
    <row r="2312" spans="1:32" ht="15.75" hidden="1" thickTop="1" x14ac:dyDescent="0.25">
      <c r="A2312" s="334"/>
      <c r="C2312"/>
      <c r="E2312" s="93"/>
      <c r="F2312" s="93"/>
      <c r="G2312" s="155"/>
      <c r="I2312" s="93"/>
      <c r="J2312" s="166"/>
      <c r="K2312" s="166"/>
      <c r="L2312" s="393"/>
      <c r="M2312" s="393"/>
      <c r="N2312" s="163" t="s">
        <v>5934</v>
      </c>
      <c r="Q2312" s="245"/>
      <c r="R2312" s="160"/>
      <c r="S2312" s="160"/>
      <c r="T2312" s="160"/>
      <c r="Y2312"/>
      <c r="Z2312" s="156"/>
      <c r="AA2312" s="227"/>
      <c r="AF2312">
        <f t="shared" si="563"/>
        <v>0</v>
      </c>
    </row>
    <row r="2313" spans="1:32" hidden="1" x14ac:dyDescent="0.25">
      <c r="A2313" s="332" t="s">
        <v>5962</v>
      </c>
      <c r="B2313" s="93" t="str">
        <f t="shared" si="562"/>
        <v>YES</v>
      </c>
      <c r="C2313" t="s">
        <v>5505</v>
      </c>
      <c r="D2313" s="95">
        <v>42990</v>
      </c>
      <c r="E2313" s="95">
        <v>43040</v>
      </c>
      <c r="F2313" s="2">
        <f t="shared" ref="F2313:F2324" si="574">DATE(YEAR(E2313)+10,MONTH(E2313),DAY(E2313))</f>
        <v>46692</v>
      </c>
      <c r="G2313" s="155">
        <v>80</v>
      </c>
      <c r="H2313" s="93" t="s">
        <v>5334</v>
      </c>
      <c r="I2313" s="93" t="s">
        <v>5306</v>
      </c>
      <c r="J2313" s="166"/>
      <c r="K2313" s="266">
        <f t="shared" ref="K2313:K2324" si="575">YEAR(F2313)</f>
        <v>2027</v>
      </c>
      <c r="L2313" s="393" t="s">
        <v>5878</v>
      </c>
      <c r="M2313" s="393" t="s">
        <v>5683</v>
      </c>
      <c r="N2313" s="163" t="s">
        <v>5963</v>
      </c>
      <c r="Q2313" s="243"/>
      <c r="R2313" s="92">
        <v>440</v>
      </c>
      <c r="S2313" s="92">
        <v>2480</v>
      </c>
      <c r="T2313" s="92">
        <v>2920</v>
      </c>
      <c r="U2313" s="201">
        <v>120</v>
      </c>
      <c r="V2313" s="287">
        <f t="shared" ref="V2313:V2324" ca="1" si="576">IF(YEAR($W$3)-YEAR(E2313)&gt;9,10,IF(MONTH($W$3)&lt;MONTH(E2313),YEAR($W$3)-YEAR(E2313),YEAR($W$3)-YEAR(E2313)+1))</f>
        <v>3</v>
      </c>
      <c r="W2313" s="75">
        <f t="shared" ref="W2313:W2324" ca="1" si="577">IF(V2313&lt;6, ROUNDUP(G2313,0)*$W$6*V2313, ROUNDUP(G2313,0)*($W$6*5 + (V2313-5)*$W$7))</f>
        <v>360</v>
      </c>
      <c r="X2313" s="200">
        <f t="shared" ref="X2313:X2324" ca="1" si="578">IF(V2313=0,T2313,((T2313-ROUNDUP(G2313,0)*1.5)+W2313))</f>
        <v>3160</v>
      </c>
      <c r="Y2313"/>
      <c r="Z2313" s="156">
        <v>0.1</v>
      </c>
      <c r="AA2313" s="227">
        <v>0.1</v>
      </c>
      <c r="AB2313" s="312" t="s">
        <v>8126</v>
      </c>
      <c r="AF2313">
        <f t="shared" si="563"/>
        <v>0</v>
      </c>
    </row>
    <row r="2314" spans="1:32" ht="30" hidden="1" x14ac:dyDescent="0.25">
      <c r="A2314" s="332" t="s">
        <v>5964</v>
      </c>
      <c r="B2314" s="93" t="str">
        <f t="shared" si="562"/>
        <v>YES</v>
      </c>
      <c r="C2314" t="s">
        <v>5505</v>
      </c>
      <c r="D2314" s="95">
        <v>42990</v>
      </c>
      <c r="E2314" s="95">
        <v>43040</v>
      </c>
      <c r="F2314" s="2">
        <f t="shared" si="574"/>
        <v>46692</v>
      </c>
      <c r="G2314" s="155">
        <v>120</v>
      </c>
      <c r="H2314" s="93" t="s">
        <v>5334</v>
      </c>
      <c r="I2314" s="93" t="s">
        <v>5306</v>
      </c>
      <c r="J2314" s="166"/>
      <c r="K2314" s="266">
        <f t="shared" si="575"/>
        <v>2027</v>
      </c>
      <c r="L2314" s="393" t="s">
        <v>5878</v>
      </c>
      <c r="M2314" s="393" t="s">
        <v>5683</v>
      </c>
      <c r="N2314" s="163" t="s">
        <v>5965</v>
      </c>
      <c r="Q2314" s="243"/>
      <c r="R2314" s="92">
        <v>580</v>
      </c>
      <c r="S2314" s="92">
        <v>3720</v>
      </c>
      <c r="T2314" s="92">
        <v>4300</v>
      </c>
      <c r="U2314" s="201">
        <v>180</v>
      </c>
      <c r="V2314" s="287">
        <f t="shared" ca="1" si="576"/>
        <v>3</v>
      </c>
      <c r="W2314" s="75">
        <f t="shared" ca="1" si="577"/>
        <v>540</v>
      </c>
      <c r="X2314" s="200">
        <f t="shared" ca="1" si="578"/>
        <v>4660</v>
      </c>
      <c r="Y2314"/>
      <c r="Z2314" s="156">
        <v>0.1</v>
      </c>
      <c r="AA2314" s="227">
        <v>0.1</v>
      </c>
      <c r="AB2314" s="312" t="s">
        <v>8126</v>
      </c>
      <c r="AF2314">
        <f t="shared" si="563"/>
        <v>0</v>
      </c>
    </row>
    <row r="2315" spans="1:32" hidden="1" x14ac:dyDescent="0.25">
      <c r="A2315" s="332" t="s">
        <v>5966</v>
      </c>
      <c r="B2315" s="93" t="str">
        <f t="shared" si="562"/>
        <v>YES</v>
      </c>
      <c r="C2315" t="s">
        <v>5505</v>
      </c>
      <c r="D2315" s="95">
        <v>42990</v>
      </c>
      <c r="E2315" s="95">
        <v>43040</v>
      </c>
      <c r="F2315" s="2">
        <f t="shared" si="574"/>
        <v>46692</v>
      </c>
      <c r="G2315" s="155">
        <v>240</v>
      </c>
      <c r="H2315" s="93" t="s">
        <v>5334</v>
      </c>
      <c r="I2315" s="93" t="s">
        <v>5306</v>
      </c>
      <c r="J2315" s="166"/>
      <c r="K2315" s="266">
        <f t="shared" si="575"/>
        <v>2027</v>
      </c>
      <c r="L2315" s="393" t="s">
        <v>5878</v>
      </c>
      <c r="M2315" s="393" t="s">
        <v>5683</v>
      </c>
      <c r="N2315" s="163" t="s">
        <v>5967</v>
      </c>
      <c r="Q2315" s="243"/>
      <c r="R2315" s="92">
        <v>1000</v>
      </c>
      <c r="S2315" s="92">
        <v>7440</v>
      </c>
      <c r="T2315" s="92">
        <v>8440</v>
      </c>
      <c r="U2315" s="201">
        <v>360</v>
      </c>
      <c r="V2315" s="287">
        <f t="shared" ca="1" si="576"/>
        <v>3</v>
      </c>
      <c r="W2315" s="75">
        <f t="shared" ca="1" si="577"/>
        <v>1080</v>
      </c>
      <c r="X2315" s="200">
        <f t="shared" ca="1" si="578"/>
        <v>9160</v>
      </c>
      <c r="Y2315"/>
      <c r="Z2315" s="156">
        <v>0.1</v>
      </c>
      <c r="AA2315" s="227">
        <v>0.1</v>
      </c>
      <c r="AB2315" s="312" t="s">
        <v>8126</v>
      </c>
      <c r="AF2315">
        <f t="shared" si="563"/>
        <v>0</v>
      </c>
    </row>
    <row r="2316" spans="1:32" hidden="1" x14ac:dyDescent="0.25">
      <c r="A2316" s="332" t="s">
        <v>5968</v>
      </c>
      <c r="B2316" s="93" t="str">
        <f t="shared" si="562"/>
        <v>YES</v>
      </c>
      <c r="C2316" t="s">
        <v>5505</v>
      </c>
      <c r="D2316" s="95">
        <v>42990</v>
      </c>
      <c r="E2316" s="95">
        <v>43040</v>
      </c>
      <c r="F2316" s="2">
        <f t="shared" si="574"/>
        <v>46692</v>
      </c>
      <c r="G2316" s="155">
        <v>40</v>
      </c>
      <c r="H2316" s="93" t="s">
        <v>5334</v>
      </c>
      <c r="I2316" s="93" t="s">
        <v>5306</v>
      </c>
      <c r="J2316" s="166"/>
      <c r="K2316" s="266">
        <f t="shared" si="575"/>
        <v>2027</v>
      </c>
      <c r="L2316" s="393" t="s">
        <v>5878</v>
      </c>
      <c r="M2316" s="393" t="s">
        <v>5683</v>
      </c>
      <c r="N2316" s="163" t="s">
        <v>5969</v>
      </c>
      <c r="Q2316" s="243"/>
      <c r="R2316" s="92">
        <v>300</v>
      </c>
      <c r="S2316" s="92">
        <v>1680</v>
      </c>
      <c r="T2316" s="92">
        <v>1980</v>
      </c>
      <c r="U2316" s="201">
        <v>60</v>
      </c>
      <c r="V2316" s="287">
        <f t="shared" ca="1" si="576"/>
        <v>3</v>
      </c>
      <c r="W2316" s="75">
        <f t="shared" ca="1" si="577"/>
        <v>180</v>
      </c>
      <c r="X2316" s="200">
        <f t="shared" ca="1" si="578"/>
        <v>2100</v>
      </c>
      <c r="Y2316"/>
      <c r="Z2316" s="156">
        <v>0.1</v>
      </c>
      <c r="AA2316" s="227">
        <v>0.1</v>
      </c>
      <c r="AB2316" s="312" t="s">
        <v>8126</v>
      </c>
      <c r="AF2316">
        <f t="shared" si="563"/>
        <v>0</v>
      </c>
    </row>
    <row r="2317" spans="1:32" ht="75" hidden="1" x14ac:dyDescent="0.25">
      <c r="A2317" s="332" t="s">
        <v>5970</v>
      </c>
      <c r="B2317" s="93" t="str">
        <f t="shared" si="562"/>
        <v>YES</v>
      </c>
      <c r="C2317" t="s">
        <v>5505</v>
      </c>
      <c r="D2317" s="95">
        <v>42990</v>
      </c>
      <c r="E2317" s="95">
        <v>43040</v>
      </c>
      <c r="F2317" s="2">
        <f t="shared" si="574"/>
        <v>46692</v>
      </c>
      <c r="G2317" s="155">
        <v>320</v>
      </c>
      <c r="H2317" s="93" t="s">
        <v>5334</v>
      </c>
      <c r="I2317" s="93" t="s">
        <v>5306</v>
      </c>
      <c r="J2317" s="166"/>
      <c r="K2317" s="266">
        <f t="shared" si="575"/>
        <v>2027</v>
      </c>
      <c r="L2317" s="393" t="s">
        <v>5878</v>
      </c>
      <c r="M2317" s="393" t="s">
        <v>5683</v>
      </c>
      <c r="N2317" s="163" t="s">
        <v>5971</v>
      </c>
      <c r="Q2317" s="243"/>
      <c r="R2317" s="92">
        <v>1280</v>
      </c>
      <c r="S2317" s="92">
        <v>9920</v>
      </c>
      <c r="T2317" s="92">
        <v>11200</v>
      </c>
      <c r="U2317" s="201">
        <v>480</v>
      </c>
      <c r="V2317" s="287">
        <f t="shared" ca="1" si="576"/>
        <v>3</v>
      </c>
      <c r="W2317" s="75">
        <f t="shared" ca="1" si="577"/>
        <v>1440</v>
      </c>
      <c r="X2317" s="200">
        <f t="shared" ca="1" si="578"/>
        <v>12160</v>
      </c>
      <c r="Y2317"/>
      <c r="Z2317" s="156">
        <v>0.1</v>
      </c>
      <c r="AA2317" s="227">
        <v>0.1</v>
      </c>
      <c r="AB2317" s="312" t="s">
        <v>8126</v>
      </c>
      <c r="AF2317">
        <f t="shared" si="563"/>
        <v>0</v>
      </c>
    </row>
    <row r="2318" spans="1:32" ht="30" hidden="1" x14ac:dyDescent="0.25">
      <c r="A2318" s="332" t="s">
        <v>5972</v>
      </c>
      <c r="B2318" s="93" t="str">
        <f t="shared" si="562"/>
        <v>YES</v>
      </c>
      <c r="C2318" t="s">
        <v>5505</v>
      </c>
      <c r="D2318" s="95">
        <v>42990</v>
      </c>
      <c r="E2318" s="95">
        <v>43040</v>
      </c>
      <c r="F2318" s="2">
        <f t="shared" si="574"/>
        <v>46692</v>
      </c>
      <c r="G2318" s="155">
        <v>80</v>
      </c>
      <c r="H2318" s="93" t="s">
        <v>5334</v>
      </c>
      <c r="I2318" s="93" t="s">
        <v>5306</v>
      </c>
      <c r="J2318" s="166"/>
      <c r="K2318" s="266">
        <f t="shared" si="575"/>
        <v>2027</v>
      </c>
      <c r="L2318" s="393" t="s">
        <v>5878</v>
      </c>
      <c r="M2318" s="393" t="s">
        <v>5683</v>
      </c>
      <c r="N2318" s="163" t="s">
        <v>5973</v>
      </c>
      <c r="Q2318" s="243"/>
      <c r="R2318" s="92">
        <v>440</v>
      </c>
      <c r="S2318" s="92">
        <v>4000</v>
      </c>
      <c r="T2318" s="92">
        <v>4440</v>
      </c>
      <c r="U2318" s="201">
        <v>120</v>
      </c>
      <c r="V2318" s="287">
        <f t="shared" ca="1" si="576"/>
        <v>3</v>
      </c>
      <c r="W2318" s="75">
        <f t="shared" ca="1" si="577"/>
        <v>360</v>
      </c>
      <c r="X2318" s="200">
        <f t="shared" ca="1" si="578"/>
        <v>4680</v>
      </c>
      <c r="Y2318"/>
      <c r="Z2318" s="156">
        <v>0.1</v>
      </c>
      <c r="AA2318" s="227">
        <v>0.1</v>
      </c>
      <c r="AB2318" s="312" t="s">
        <v>8126</v>
      </c>
      <c r="AF2318">
        <f t="shared" si="563"/>
        <v>0</v>
      </c>
    </row>
    <row r="2319" spans="1:32" hidden="1" x14ac:dyDescent="0.25">
      <c r="A2319" s="332" t="s">
        <v>5974</v>
      </c>
      <c r="B2319" s="93" t="str">
        <f t="shared" si="562"/>
        <v>YES</v>
      </c>
      <c r="C2319" t="s">
        <v>5505</v>
      </c>
      <c r="D2319" s="95">
        <v>42990</v>
      </c>
      <c r="E2319" s="95">
        <v>43040</v>
      </c>
      <c r="F2319" s="2">
        <f t="shared" si="574"/>
        <v>46692</v>
      </c>
      <c r="G2319" s="155">
        <v>605.6</v>
      </c>
      <c r="H2319" s="93" t="s">
        <v>5334</v>
      </c>
      <c r="I2319" s="93" t="s">
        <v>5306</v>
      </c>
      <c r="J2319" s="166"/>
      <c r="K2319" s="266">
        <f t="shared" si="575"/>
        <v>2027</v>
      </c>
      <c r="L2319" s="393" t="s">
        <v>5741</v>
      </c>
      <c r="M2319" s="393" t="s">
        <v>5683</v>
      </c>
      <c r="N2319" s="163" t="s">
        <v>5975</v>
      </c>
      <c r="Q2319" s="243"/>
      <c r="R2319" s="92">
        <v>2281</v>
      </c>
      <c r="S2319" s="92">
        <v>30906</v>
      </c>
      <c r="T2319" s="92">
        <v>33187</v>
      </c>
      <c r="U2319" s="201">
        <v>909</v>
      </c>
      <c r="V2319" s="287">
        <f t="shared" ca="1" si="576"/>
        <v>3</v>
      </c>
      <c r="W2319" s="75">
        <f t="shared" ca="1" si="577"/>
        <v>2727</v>
      </c>
      <c r="X2319" s="200">
        <f t="shared" ca="1" si="578"/>
        <v>35005</v>
      </c>
      <c r="Y2319"/>
      <c r="Z2319" s="156">
        <v>0.1</v>
      </c>
      <c r="AA2319" s="227">
        <v>0.1</v>
      </c>
      <c r="AB2319" s="312" t="s">
        <v>8126</v>
      </c>
      <c r="AF2319">
        <f t="shared" si="563"/>
        <v>0</v>
      </c>
    </row>
    <row r="2320" spans="1:32" hidden="1" x14ac:dyDescent="0.25">
      <c r="A2320" s="332" t="s">
        <v>5976</v>
      </c>
      <c r="B2320" s="93" t="str">
        <f t="shared" si="562"/>
        <v>YES</v>
      </c>
      <c r="C2320" t="s">
        <v>5505</v>
      </c>
      <c r="D2320" s="95">
        <v>42990</v>
      </c>
      <c r="E2320" s="95">
        <v>43040</v>
      </c>
      <c r="F2320" s="2">
        <f t="shared" si="574"/>
        <v>46692</v>
      </c>
      <c r="G2320" s="155">
        <v>640</v>
      </c>
      <c r="H2320" s="93" t="s">
        <v>5334</v>
      </c>
      <c r="I2320" s="93" t="s">
        <v>5306</v>
      </c>
      <c r="J2320" s="166"/>
      <c r="K2320" s="266">
        <f t="shared" si="575"/>
        <v>2027</v>
      </c>
      <c r="L2320" s="393" t="s">
        <v>5741</v>
      </c>
      <c r="M2320" s="393" t="s">
        <v>5683</v>
      </c>
      <c r="N2320" s="163" t="s">
        <v>5977</v>
      </c>
      <c r="Q2320" s="243"/>
      <c r="R2320" s="92">
        <v>2400</v>
      </c>
      <c r="S2320" s="92">
        <v>37760</v>
      </c>
      <c r="T2320" s="92">
        <v>40160</v>
      </c>
      <c r="U2320" s="201">
        <v>960</v>
      </c>
      <c r="V2320" s="287">
        <f t="shared" ca="1" si="576"/>
        <v>3</v>
      </c>
      <c r="W2320" s="75">
        <f t="shared" ca="1" si="577"/>
        <v>2880</v>
      </c>
      <c r="X2320" s="200">
        <f t="shared" ca="1" si="578"/>
        <v>42080</v>
      </c>
      <c r="Y2320"/>
      <c r="Z2320" s="156">
        <v>0.1</v>
      </c>
      <c r="AA2320" s="227">
        <v>0.1</v>
      </c>
      <c r="AB2320" s="312" t="s">
        <v>8126</v>
      </c>
      <c r="AF2320">
        <f t="shared" si="563"/>
        <v>0</v>
      </c>
    </row>
    <row r="2321" spans="1:32" ht="45" hidden="1" x14ac:dyDescent="0.25">
      <c r="A2321" s="332" t="s">
        <v>5978</v>
      </c>
      <c r="B2321" s="93" t="str">
        <f t="shared" si="562"/>
        <v>YES</v>
      </c>
      <c r="C2321" t="s">
        <v>5505</v>
      </c>
      <c r="D2321" s="95">
        <v>42990</v>
      </c>
      <c r="E2321" s="95">
        <v>43040</v>
      </c>
      <c r="F2321" s="2">
        <f t="shared" si="574"/>
        <v>46692</v>
      </c>
      <c r="G2321" s="155">
        <v>640</v>
      </c>
      <c r="H2321" s="93" t="s">
        <v>5334</v>
      </c>
      <c r="I2321" s="93" t="s">
        <v>5306</v>
      </c>
      <c r="J2321" s="166"/>
      <c r="K2321" s="266">
        <f t="shared" si="575"/>
        <v>2027</v>
      </c>
      <c r="L2321" s="393" t="s">
        <v>5741</v>
      </c>
      <c r="M2321" s="393" t="s">
        <v>5683</v>
      </c>
      <c r="N2321" s="163" t="s">
        <v>5979</v>
      </c>
      <c r="Q2321" s="243"/>
      <c r="R2321" s="92">
        <v>2400</v>
      </c>
      <c r="S2321" s="92">
        <v>44160</v>
      </c>
      <c r="T2321" s="92">
        <v>46560</v>
      </c>
      <c r="U2321" s="201">
        <v>960</v>
      </c>
      <c r="V2321" s="287">
        <f t="shared" ca="1" si="576"/>
        <v>3</v>
      </c>
      <c r="W2321" s="75">
        <f t="shared" ca="1" si="577"/>
        <v>2880</v>
      </c>
      <c r="X2321" s="200">
        <f t="shared" ca="1" si="578"/>
        <v>48480</v>
      </c>
      <c r="Y2321"/>
      <c r="Z2321" s="156">
        <v>0.1</v>
      </c>
      <c r="AA2321" s="227">
        <v>0.1</v>
      </c>
      <c r="AB2321" s="312" t="s">
        <v>8126</v>
      </c>
      <c r="AF2321">
        <f t="shared" si="563"/>
        <v>0</v>
      </c>
    </row>
    <row r="2322" spans="1:32" hidden="1" x14ac:dyDescent="0.25">
      <c r="A2322" s="332" t="s">
        <v>5980</v>
      </c>
      <c r="B2322" s="93" t="str">
        <f t="shared" si="562"/>
        <v>YES</v>
      </c>
      <c r="C2322" t="s">
        <v>5505</v>
      </c>
      <c r="D2322" s="95">
        <v>42990</v>
      </c>
      <c r="E2322" s="95">
        <v>43040</v>
      </c>
      <c r="F2322" s="2">
        <f t="shared" si="574"/>
        <v>46692</v>
      </c>
      <c r="G2322" s="155">
        <v>640</v>
      </c>
      <c r="H2322" s="93" t="s">
        <v>5334</v>
      </c>
      <c r="I2322" s="93" t="s">
        <v>5306</v>
      </c>
      <c r="J2322" s="166"/>
      <c r="K2322" s="266">
        <f t="shared" si="575"/>
        <v>2027</v>
      </c>
      <c r="L2322" s="393" t="s">
        <v>5741</v>
      </c>
      <c r="M2322" s="393" t="s">
        <v>5683</v>
      </c>
      <c r="N2322" s="163" t="s">
        <v>5981</v>
      </c>
      <c r="Q2322" s="243"/>
      <c r="R2322" s="92">
        <v>2400</v>
      </c>
      <c r="S2322" s="92">
        <v>50560</v>
      </c>
      <c r="T2322" s="92">
        <v>52960</v>
      </c>
      <c r="U2322" s="201">
        <v>960</v>
      </c>
      <c r="V2322" s="287">
        <f t="shared" ca="1" si="576"/>
        <v>3</v>
      </c>
      <c r="W2322" s="75">
        <f t="shared" ca="1" si="577"/>
        <v>2880</v>
      </c>
      <c r="X2322" s="200">
        <f t="shared" ca="1" si="578"/>
        <v>54880</v>
      </c>
      <c r="Y2322"/>
      <c r="Z2322" s="156">
        <v>0.1</v>
      </c>
      <c r="AA2322" s="227">
        <v>0.1</v>
      </c>
      <c r="AB2322" s="312" t="s">
        <v>8126</v>
      </c>
      <c r="AF2322">
        <f t="shared" si="563"/>
        <v>0</v>
      </c>
    </row>
    <row r="2323" spans="1:32" ht="45" hidden="1" x14ac:dyDescent="0.25">
      <c r="A2323" s="332" t="s">
        <v>5982</v>
      </c>
      <c r="B2323" s="93" t="str">
        <f t="shared" si="562"/>
        <v>YES</v>
      </c>
      <c r="C2323" t="s">
        <v>5505</v>
      </c>
      <c r="D2323" s="95">
        <v>42990</v>
      </c>
      <c r="E2323" s="95">
        <v>43040</v>
      </c>
      <c r="F2323" s="2">
        <f t="shared" si="574"/>
        <v>46692</v>
      </c>
      <c r="G2323" s="155">
        <v>151.52000000000001</v>
      </c>
      <c r="H2323" s="93" t="s">
        <v>5334</v>
      </c>
      <c r="I2323" s="93" t="s">
        <v>5306</v>
      </c>
      <c r="J2323" s="166"/>
      <c r="K2323" s="266">
        <f t="shared" si="575"/>
        <v>2027</v>
      </c>
      <c r="L2323" s="393" t="s">
        <v>5741</v>
      </c>
      <c r="M2323" s="393" t="s">
        <v>5683</v>
      </c>
      <c r="N2323" s="163" t="s">
        <v>5983</v>
      </c>
      <c r="Q2323" s="243"/>
      <c r="R2323" s="92">
        <v>692</v>
      </c>
      <c r="S2323" s="92">
        <v>13528</v>
      </c>
      <c r="T2323" s="92">
        <v>14220</v>
      </c>
      <c r="U2323" s="201">
        <v>228</v>
      </c>
      <c r="V2323" s="287">
        <f t="shared" ca="1" si="576"/>
        <v>3</v>
      </c>
      <c r="W2323" s="75">
        <f t="shared" ca="1" si="577"/>
        <v>684</v>
      </c>
      <c r="X2323" s="200">
        <f t="shared" ca="1" si="578"/>
        <v>14676</v>
      </c>
      <c r="Y2323"/>
      <c r="Z2323" s="156">
        <v>0.1</v>
      </c>
      <c r="AA2323" s="227">
        <v>0.1</v>
      </c>
      <c r="AB2323" s="312" t="s">
        <v>8126</v>
      </c>
      <c r="AF2323">
        <f t="shared" si="563"/>
        <v>0</v>
      </c>
    </row>
    <row r="2324" spans="1:32" ht="60" hidden="1" x14ac:dyDescent="0.25">
      <c r="A2324" s="332" t="s">
        <v>5984</v>
      </c>
      <c r="B2324" s="93" t="str">
        <f t="shared" si="562"/>
        <v>YES</v>
      </c>
      <c r="C2324" t="s">
        <v>5505</v>
      </c>
      <c r="D2324" s="95">
        <v>42990</v>
      </c>
      <c r="E2324" s="95">
        <v>43040</v>
      </c>
      <c r="F2324" s="2">
        <f t="shared" si="574"/>
        <v>46692</v>
      </c>
      <c r="G2324" s="155">
        <v>638.16999999999996</v>
      </c>
      <c r="H2324" s="93" t="s">
        <v>5334</v>
      </c>
      <c r="I2324" s="93" t="s">
        <v>5306</v>
      </c>
      <c r="J2324" s="166"/>
      <c r="K2324" s="266">
        <f t="shared" si="575"/>
        <v>2027</v>
      </c>
      <c r="L2324" s="393" t="s">
        <v>5783</v>
      </c>
      <c r="M2324" s="393" t="s">
        <v>5683</v>
      </c>
      <c r="N2324" s="163" t="s">
        <v>5985</v>
      </c>
      <c r="Q2324" s="243"/>
      <c r="R2324" s="182">
        <v>10287</v>
      </c>
      <c r="S2324" s="182">
        <v>48980.5</v>
      </c>
      <c r="T2324" s="182">
        <v>59267.5</v>
      </c>
      <c r="U2324" s="201">
        <v>958.5</v>
      </c>
      <c r="V2324" s="287">
        <f t="shared" ca="1" si="576"/>
        <v>3</v>
      </c>
      <c r="W2324" s="75">
        <f t="shared" ca="1" si="577"/>
        <v>2875.5</v>
      </c>
      <c r="X2324" s="200">
        <f t="shared" ca="1" si="578"/>
        <v>61184.5</v>
      </c>
      <c r="Y2324"/>
      <c r="Z2324" s="156">
        <v>0.1</v>
      </c>
      <c r="AA2324" s="227">
        <v>0.1</v>
      </c>
      <c r="AB2324" s="312" t="s">
        <v>8126</v>
      </c>
      <c r="AF2324">
        <f t="shared" si="563"/>
        <v>0</v>
      </c>
    </row>
    <row r="2325" spans="1:32" hidden="1" x14ac:dyDescent="0.25">
      <c r="A2325" s="334"/>
      <c r="C2325"/>
      <c r="D2325" s="95"/>
      <c r="E2325" s="95"/>
      <c r="F2325" s="95"/>
      <c r="G2325" s="155"/>
      <c r="I2325" s="93"/>
      <c r="J2325" s="166"/>
      <c r="K2325" s="166"/>
      <c r="L2325" s="393"/>
      <c r="M2325" s="393"/>
      <c r="N2325" s="163" t="s">
        <v>5934</v>
      </c>
      <c r="Q2325" s="243"/>
      <c r="R2325" s="158">
        <v>24500</v>
      </c>
      <c r="S2325" s="158">
        <v>255134.5</v>
      </c>
      <c r="T2325" s="158">
        <v>279634.5</v>
      </c>
      <c r="Y2325"/>
      <c r="Z2325" s="156"/>
      <c r="AA2325" s="227"/>
      <c r="AF2325">
        <f t="shared" si="563"/>
        <v>0</v>
      </c>
    </row>
    <row r="2326" spans="1:32" ht="15.75" hidden="1" thickTop="1" x14ac:dyDescent="0.25">
      <c r="A2326" s="334"/>
      <c r="C2326"/>
      <c r="E2326" s="93"/>
      <c r="F2326" s="93"/>
      <c r="G2326" s="155"/>
      <c r="I2326" s="93"/>
      <c r="J2326" s="166"/>
      <c r="K2326" s="166"/>
      <c r="L2326" s="393"/>
      <c r="M2326" s="393"/>
      <c r="N2326" s="163" t="s">
        <v>5934</v>
      </c>
      <c r="Q2326" s="245"/>
      <c r="R2326" s="160"/>
      <c r="S2326" s="160"/>
      <c r="T2326" s="160"/>
      <c r="Y2326"/>
      <c r="Z2326" s="156"/>
      <c r="AA2326" s="227"/>
      <c r="AF2326">
        <f t="shared" si="563"/>
        <v>0</v>
      </c>
    </row>
    <row r="2327" spans="1:32" hidden="1" x14ac:dyDescent="0.25">
      <c r="A2327" s="332" t="s">
        <v>5986</v>
      </c>
      <c r="B2327" s="93" t="str">
        <f t="shared" si="562"/>
        <v>YES</v>
      </c>
      <c r="C2327" t="s">
        <v>5505</v>
      </c>
      <c r="D2327" s="95">
        <v>42899</v>
      </c>
      <c r="E2327" s="95">
        <v>42948</v>
      </c>
      <c r="F2327" s="2">
        <f t="shared" ref="F2327:F2334" si="579">DATE(YEAR(E2327)+10,MONTH(E2327),DAY(E2327))</f>
        <v>46600</v>
      </c>
      <c r="G2327" s="155">
        <v>200</v>
      </c>
      <c r="H2327" s="93" t="s">
        <v>5987</v>
      </c>
      <c r="I2327" s="93" t="s">
        <v>5460</v>
      </c>
      <c r="J2327" s="166"/>
      <c r="K2327" s="266">
        <f t="shared" ref="K2327:K2334" si="580">YEAR(F2327)</f>
        <v>2027</v>
      </c>
      <c r="L2327" s="393" t="s">
        <v>5988</v>
      </c>
      <c r="M2327" s="393" t="s">
        <v>5840</v>
      </c>
      <c r="N2327" s="163" t="s">
        <v>5989</v>
      </c>
      <c r="Q2327" s="243" t="s">
        <v>8104</v>
      </c>
      <c r="R2327" s="92">
        <v>860</v>
      </c>
      <c r="S2327" s="92">
        <v>0</v>
      </c>
      <c r="T2327" s="92">
        <v>860</v>
      </c>
      <c r="U2327" s="201">
        <v>300</v>
      </c>
      <c r="V2327" s="287">
        <f t="shared" ref="V2327:V2334" ca="1" si="581">IF(YEAR($W$3)-YEAR(E2327)&gt;9,10,IF(MONTH($W$3)&lt;MONTH(E2327),YEAR($W$3)-YEAR(E2327),YEAR($W$3)-YEAR(E2327)+1))</f>
        <v>3</v>
      </c>
      <c r="W2327" s="75">
        <f t="shared" ref="W2327:W2334" ca="1" si="582">IF(V2327&lt;6, ROUNDUP(G2327,0)*$W$6*V2327, ROUNDUP(G2327,0)*($W$6*5 + (V2327-5)*$W$7))</f>
        <v>900</v>
      </c>
      <c r="X2327" s="200">
        <f t="shared" ref="X2327:X2334" ca="1" si="583">IF(V2327=0,T2327,((T2327-ROUNDUP(G2327,0)*1.5)+W2327))</f>
        <v>1460</v>
      </c>
      <c r="Y2327"/>
      <c r="Z2327" s="156">
        <v>0.1</v>
      </c>
      <c r="AA2327" s="227">
        <v>0.1</v>
      </c>
      <c r="AB2327" s="312" t="s">
        <v>8115</v>
      </c>
      <c r="AF2327">
        <f t="shared" si="563"/>
        <v>0</v>
      </c>
    </row>
    <row r="2328" spans="1:32" ht="30" hidden="1" x14ac:dyDescent="0.25">
      <c r="A2328" s="332" t="s">
        <v>5990</v>
      </c>
      <c r="B2328" s="93" t="str">
        <f t="shared" si="562"/>
        <v>YES</v>
      </c>
      <c r="C2328" t="s">
        <v>5505</v>
      </c>
      <c r="D2328" s="95">
        <v>42899</v>
      </c>
      <c r="E2328" s="95">
        <v>42948</v>
      </c>
      <c r="F2328" s="2">
        <f t="shared" si="579"/>
        <v>46600</v>
      </c>
      <c r="G2328" s="155">
        <v>346.74</v>
      </c>
      <c r="H2328" s="93" t="s">
        <v>5987</v>
      </c>
      <c r="I2328" s="93" t="s">
        <v>5460</v>
      </c>
      <c r="J2328" s="166"/>
      <c r="K2328" s="266">
        <f t="shared" si="580"/>
        <v>2027</v>
      </c>
      <c r="L2328" s="393" t="s">
        <v>5988</v>
      </c>
      <c r="M2328" s="393" t="s">
        <v>5840</v>
      </c>
      <c r="N2328" s="163" t="s">
        <v>5991</v>
      </c>
      <c r="Q2328" s="243" t="s">
        <v>8105</v>
      </c>
      <c r="R2328" s="92">
        <v>1374.5</v>
      </c>
      <c r="S2328" s="92">
        <v>0</v>
      </c>
      <c r="T2328" s="92">
        <v>1374.5</v>
      </c>
      <c r="U2328" s="201">
        <v>520.5</v>
      </c>
      <c r="V2328" s="287">
        <f t="shared" ca="1" si="581"/>
        <v>3</v>
      </c>
      <c r="W2328" s="75">
        <f t="shared" ca="1" si="582"/>
        <v>1561.5</v>
      </c>
      <c r="X2328" s="200">
        <f t="shared" ca="1" si="583"/>
        <v>2415.5</v>
      </c>
      <c r="Y2328"/>
      <c r="Z2328" s="156">
        <v>0.1</v>
      </c>
      <c r="AA2328" s="227">
        <v>0.1</v>
      </c>
      <c r="AB2328" s="312" t="s">
        <v>8115</v>
      </c>
      <c r="AF2328">
        <f t="shared" si="563"/>
        <v>0</v>
      </c>
    </row>
    <row r="2329" spans="1:32" hidden="1" x14ac:dyDescent="0.25">
      <c r="A2329" s="332" t="s">
        <v>5992</v>
      </c>
      <c r="B2329" s="93" t="str">
        <f t="shared" si="562"/>
        <v>YES</v>
      </c>
      <c r="C2329" t="s">
        <v>5505</v>
      </c>
      <c r="D2329" s="95">
        <v>42899</v>
      </c>
      <c r="E2329" s="95">
        <v>42948</v>
      </c>
      <c r="F2329" s="2">
        <f t="shared" si="579"/>
        <v>46600</v>
      </c>
      <c r="G2329" s="155">
        <v>200</v>
      </c>
      <c r="H2329" s="93" t="s">
        <v>5987</v>
      </c>
      <c r="I2329" s="93" t="s">
        <v>5460</v>
      </c>
      <c r="J2329" s="166"/>
      <c r="K2329" s="266">
        <f t="shared" si="580"/>
        <v>2027</v>
      </c>
      <c r="L2329" s="393" t="s">
        <v>5988</v>
      </c>
      <c r="M2329" s="393" t="s">
        <v>5840</v>
      </c>
      <c r="N2329" s="163" t="s">
        <v>5993</v>
      </c>
      <c r="Q2329" s="243" t="s">
        <v>8106</v>
      </c>
      <c r="R2329" s="92">
        <v>860</v>
      </c>
      <c r="S2329" s="92">
        <v>800</v>
      </c>
      <c r="T2329" s="92">
        <v>1660</v>
      </c>
      <c r="U2329" s="201">
        <v>300</v>
      </c>
      <c r="V2329" s="287">
        <f t="shared" ca="1" si="581"/>
        <v>3</v>
      </c>
      <c r="W2329" s="75">
        <f t="shared" ca="1" si="582"/>
        <v>900</v>
      </c>
      <c r="X2329" s="200">
        <f t="shared" ca="1" si="583"/>
        <v>2260</v>
      </c>
      <c r="Y2329"/>
      <c r="Z2329" s="156">
        <v>0.1</v>
      </c>
      <c r="AA2329" s="227">
        <v>0.1</v>
      </c>
      <c r="AB2329" s="312" t="s">
        <v>8115</v>
      </c>
      <c r="AF2329">
        <f t="shared" si="563"/>
        <v>0</v>
      </c>
    </row>
    <row r="2330" spans="1:32" ht="30" hidden="1" x14ac:dyDescent="0.25">
      <c r="A2330" s="332" t="s">
        <v>5994</v>
      </c>
      <c r="B2330" s="93" t="str">
        <f t="shared" si="562"/>
        <v>YES</v>
      </c>
      <c r="C2330" t="s">
        <v>5505</v>
      </c>
      <c r="D2330" s="95">
        <v>42899</v>
      </c>
      <c r="E2330" s="95">
        <v>42948</v>
      </c>
      <c r="F2330" s="2">
        <f t="shared" si="579"/>
        <v>46600</v>
      </c>
      <c r="G2330" s="155">
        <v>1482.76</v>
      </c>
      <c r="H2330" s="93" t="s">
        <v>5987</v>
      </c>
      <c r="I2330" s="93" t="s">
        <v>5460</v>
      </c>
      <c r="J2330" s="166"/>
      <c r="K2330" s="266">
        <f t="shared" si="580"/>
        <v>2027</v>
      </c>
      <c r="L2330" s="393" t="s">
        <v>5995</v>
      </c>
      <c r="M2330" s="393" t="s">
        <v>5840</v>
      </c>
      <c r="N2330" s="163" t="s">
        <v>5996</v>
      </c>
      <c r="Q2330" s="243" t="s">
        <v>8107</v>
      </c>
      <c r="R2330" s="92">
        <v>5350.5</v>
      </c>
      <c r="S2330" s="92">
        <v>0</v>
      </c>
      <c r="T2330" s="92">
        <v>5350.5</v>
      </c>
      <c r="U2330" s="201">
        <v>2224.5</v>
      </c>
      <c r="V2330" s="287">
        <f t="shared" ca="1" si="581"/>
        <v>3</v>
      </c>
      <c r="W2330" s="75">
        <f t="shared" ca="1" si="582"/>
        <v>6673.5</v>
      </c>
      <c r="X2330" s="200">
        <f t="shared" ca="1" si="583"/>
        <v>9799.5</v>
      </c>
      <c r="Y2330"/>
      <c r="Z2330" s="156">
        <v>0.1</v>
      </c>
      <c r="AA2330" s="227">
        <v>0.1</v>
      </c>
      <c r="AB2330" s="312" t="s">
        <v>8115</v>
      </c>
      <c r="AF2330">
        <f t="shared" si="563"/>
        <v>0</v>
      </c>
    </row>
    <row r="2331" spans="1:32" ht="30" hidden="1" x14ac:dyDescent="0.25">
      <c r="A2331" s="332" t="s">
        <v>5997</v>
      </c>
      <c r="B2331" s="93" t="str">
        <f t="shared" si="562"/>
        <v>YES</v>
      </c>
      <c r="C2331" t="s">
        <v>5505</v>
      </c>
      <c r="D2331" s="95">
        <v>42899</v>
      </c>
      <c r="E2331" s="95">
        <v>42948</v>
      </c>
      <c r="F2331" s="2">
        <f t="shared" si="579"/>
        <v>46600</v>
      </c>
      <c r="G2331" s="155">
        <v>2032.52</v>
      </c>
      <c r="H2331" s="93" t="s">
        <v>5987</v>
      </c>
      <c r="I2331" s="93" t="s">
        <v>5460</v>
      </c>
      <c r="J2331" s="166"/>
      <c r="K2331" s="266">
        <f t="shared" si="580"/>
        <v>2027</v>
      </c>
      <c r="L2331" s="393" t="s">
        <v>5995</v>
      </c>
      <c r="M2331" s="393" t="s">
        <v>5840</v>
      </c>
      <c r="N2331" s="163" t="s">
        <v>5998</v>
      </c>
      <c r="Q2331" s="243" t="s">
        <v>8108</v>
      </c>
      <c r="R2331" s="92">
        <v>7275.5</v>
      </c>
      <c r="S2331" s="92">
        <v>0</v>
      </c>
      <c r="T2331" s="92">
        <v>7275.5</v>
      </c>
      <c r="U2331" s="201">
        <v>3049.5</v>
      </c>
      <c r="V2331" s="287">
        <f t="shared" ca="1" si="581"/>
        <v>3</v>
      </c>
      <c r="W2331" s="75">
        <f t="shared" ca="1" si="582"/>
        <v>9148.5</v>
      </c>
      <c r="X2331" s="200">
        <f t="shared" ca="1" si="583"/>
        <v>13374.5</v>
      </c>
      <c r="Y2331"/>
      <c r="Z2331" s="156">
        <v>0.1</v>
      </c>
      <c r="AA2331" s="227">
        <v>0.1</v>
      </c>
      <c r="AB2331" s="312" t="s">
        <v>8115</v>
      </c>
      <c r="AF2331">
        <f t="shared" si="563"/>
        <v>0</v>
      </c>
    </row>
    <row r="2332" spans="1:32" hidden="1" x14ac:dyDescent="0.25">
      <c r="A2332" s="332" t="s">
        <v>5999</v>
      </c>
      <c r="B2332" s="93" t="str">
        <f t="shared" si="562"/>
        <v>YES</v>
      </c>
      <c r="C2332" t="s">
        <v>5505</v>
      </c>
      <c r="D2332" s="95">
        <v>42899</v>
      </c>
      <c r="E2332" s="95">
        <v>42948</v>
      </c>
      <c r="F2332" s="2">
        <f t="shared" si="579"/>
        <v>46600</v>
      </c>
      <c r="G2332" s="155">
        <v>677.6</v>
      </c>
      <c r="H2332" s="93" t="s">
        <v>5987</v>
      </c>
      <c r="I2332" s="93" t="s">
        <v>5460</v>
      </c>
      <c r="J2332" s="166"/>
      <c r="K2332" s="266">
        <f t="shared" si="580"/>
        <v>2027</v>
      </c>
      <c r="L2332" s="393" t="s">
        <v>5995</v>
      </c>
      <c r="M2332" s="393" t="s">
        <v>5840</v>
      </c>
      <c r="N2332" s="163" t="s">
        <v>6000</v>
      </c>
      <c r="Q2332" s="243" t="s">
        <v>8109</v>
      </c>
      <c r="R2332" s="92">
        <v>2533</v>
      </c>
      <c r="S2332" s="92">
        <v>2034</v>
      </c>
      <c r="T2332" s="92">
        <v>4567</v>
      </c>
      <c r="U2332" s="201">
        <v>1017</v>
      </c>
      <c r="V2332" s="287">
        <f t="shared" ca="1" si="581"/>
        <v>3</v>
      </c>
      <c r="W2332" s="75">
        <f t="shared" ca="1" si="582"/>
        <v>3051</v>
      </c>
      <c r="X2332" s="200">
        <f t="shared" ca="1" si="583"/>
        <v>6601</v>
      </c>
      <c r="Y2332"/>
      <c r="Z2332" s="156">
        <v>0.1</v>
      </c>
      <c r="AA2332" s="227">
        <v>0.1</v>
      </c>
      <c r="AB2332" s="312" t="s">
        <v>8115</v>
      </c>
      <c r="AF2332">
        <f t="shared" si="563"/>
        <v>0</v>
      </c>
    </row>
    <row r="2333" spans="1:32" ht="45" hidden="1" x14ac:dyDescent="0.25">
      <c r="A2333" s="332" t="s">
        <v>6001</v>
      </c>
      <c r="B2333" s="93" t="str">
        <f t="shared" si="562"/>
        <v>YES</v>
      </c>
      <c r="C2333" t="s">
        <v>5505</v>
      </c>
      <c r="D2333" s="95">
        <v>42899</v>
      </c>
      <c r="E2333" s="95">
        <v>42948</v>
      </c>
      <c r="F2333" s="2">
        <f t="shared" si="579"/>
        <v>46600</v>
      </c>
      <c r="G2333" s="155">
        <v>1239.2</v>
      </c>
      <c r="H2333" s="93" t="s">
        <v>6002</v>
      </c>
      <c r="I2333" s="93" t="s">
        <v>5460</v>
      </c>
      <c r="J2333" s="166"/>
      <c r="K2333" s="266">
        <f t="shared" si="580"/>
        <v>2027</v>
      </c>
      <c r="L2333" s="393" t="s">
        <v>6003</v>
      </c>
      <c r="M2333" s="393" t="s">
        <v>5683</v>
      </c>
      <c r="N2333" s="163" t="s">
        <v>6004</v>
      </c>
      <c r="Q2333" s="243"/>
      <c r="R2333" s="92">
        <v>4500</v>
      </c>
      <c r="S2333" s="92">
        <v>9920</v>
      </c>
      <c r="T2333" s="92">
        <v>14420</v>
      </c>
      <c r="U2333" s="201">
        <v>1816</v>
      </c>
      <c r="V2333" s="287">
        <f t="shared" ca="1" si="581"/>
        <v>3</v>
      </c>
      <c r="W2333" s="75">
        <f t="shared" ca="1" si="582"/>
        <v>5580</v>
      </c>
      <c r="X2333" s="200">
        <f t="shared" ca="1" si="583"/>
        <v>18140</v>
      </c>
      <c r="Y2333"/>
      <c r="Z2333" s="156">
        <v>0.1</v>
      </c>
      <c r="AA2333" s="227">
        <v>0.1</v>
      </c>
      <c r="AB2333" s="312" t="s">
        <v>7832</v>
      </c>
      <c r="AF2333">
        <f t="shared" si="563"/>
        <v>0</v>
      </c>
    </row>
    <row r="2334" spans="1:32" ht="60" hidden="1" x14ac:dyDescent="0.25">
      <c r="A2334" s="332" t="s">
        <v>6005</v>
      </c>
      <c r="B2334" s="93" t="str">
        <f t="shared" si="562"/>
        <v>YES</v>
      </c>
      <c r="C2334" t="s">
        <v>5505</v>
      </c>
      <c r="D2334" s="95">
        <v>42899</v>
      </c>
      <c r="E2334" s="95">
        <v>42948</v>
      </c>
      <c r="F2334" s="2">
        <f t="shared" si="579"/>
        <v>46600</v>
      </c>
      <c r="G2334" s="155">
        <v>1300.17</v>
      </c>
      <c r="H2334" s="93" t="s">
        <v>6002</v>
      </c>
      <c r="I2334" s="93" t="s">
        <v>5460</v>
      </c>
      <c r="J2334" s="166"/>
      <c r="K2334" s="266">
        <f t="shared" si="580"/>
        <v>2027</v>
      </c>
      <c r="L2334" s="393" t="s">
        <v>6006</v>
      </c>
      <c r="M2334" s="393" t="s">
        <v>5835</v>
      </c>
      <c r="N2334" s="163" t="s">
        <v>6007</v>
      </c>
      <c r="Q2334" s="243"/>
      <c r="R2334" s="182">
        <v>4713.5</v>
      </c>
      <c r="S2334" s="182">
        <v>7806</v>
      </c>
      <c r="T2334" s="182">
        <v>12519.5</v>
      </c>
      <c r="U2334" s="201">
        <v>1951.5</v>
      </c>
      <c r="V2334" s="287">
        <f t="shared" ca="1" si="581"/>
        <v>3</v>
      </c>
      <c r="W2334" s="75">
        <f t="shared" ca="1" si="582"/>
        <v>5854.5</v>
      </c>
      <c r="X2334" s="200">
        <f t="shared" ca="1" si="583"/>
        <v>16422.5</v>
      </c>
      <c r="Y2334"/>
      <c r="Z2334" s="156">
        <v>0.1</v>
      </c>
      <c r="AA2334" s="227">
        <v>0.1</v>
      </c>
      <c r="AB2334" s="312" t="s">
        <v>7832</v>
      </c>
      <c r="AF2334">
        <f t="shared" si="563"/>
        <v>0</v>
      </c>
    </row>
    <row r="2335" spans="1:32" hidden="1" x14ac:dyDescent="0.25">
      <c r="A2335" s="334"/>
      <c r="C2335"/>
      <c r="D2335" s="95"/>
      <c r="E2335" s="95"/>
      <c r="F2335" s="95"/>
      <c r="G2335" s="155"/>
      <c r="I2335" s="93"/>
      <c r="J2335" s="166"/>
      <c r="K2335" s="166"/>
      <c r="L2335" s="393"/>
      <c r="M2335" s="393"/>
      <c r="N2335" s="163" t="s">
        <v>5934</v>
      </c>
      <c r="Q2335" s="243"/>
      <c r="R2335" s="158">
        <v>27467</v>
      </c>
      <c r="S2335" s="158">
        <v>20560</v>
      </c>
      <c r="T2335" s="158">
        <v>48027</v>
      </c>
      <c r="Y2335"/>
      <c r="Z2335" s="156"/>
      <c r="AA2335" s="227"/>
      <c r="AF2335">
        <f t="shared" si="563"/>
        <v>0</v>
      </c>
    </row>
    <row r="2336" spans="1:32" ht="15.75" hidden="1" thickTop="1" x14ac:dyDescent="0.25">
      <c r="A2336" s="334"/>
      <c r="C2336"/>
      <c r="E2336" s="93"/>
      <c r="F2336" s="93"/>
      <c r="G2336" s="155"/>
      <c r="I2336" s="93"/>
      <c r="J2336" s="166"/>
      <c r="K2336" s="166"/>
      <c r="L2336" s="393"/>
      <c r="M2336" s="393"/>
      <c r="N2336" s="163" t="s">
        <v>5934</v>
      </c>
      <c r="Q2336" s="245"/>
      <c r="R2336" s="160"/>
      <c r="S2336" s="160"/>
      <c r="T2336" s="160"/>
      <c r="Y2336"/>
      <c r="Z2336" s="156"/>
      <c r="AA2336" s="227"/>
      <c r="AF2336">
        <f t="shared" si="563"/>
        <v>0</v>
      </c>
    </row>
    <row r="2337" spans="1:32" hidden="1" x14ac:dyDescent="0.25">
      <c r="A2337" s="332" t="s">
        <v>6008</v>
      </c>
      <c r="B2337" s="93" t="str">
        <f t="shared" ref="B2337:B2399" si="584">IF(COUNTIF(GIS,A2337),"YES","NO")</f>
        <v>YES</v>
      </c>
      <c r="C2337" t="s">
        <v>5505</v>
      </c>
      <c r="D2337" s="95">
        <v>42999</v>
      </c>
      <c r="E2337" s="95">
        <v>43070</v>
      </c>
      <c r="F2337" s="2">
        <f t="shared" ref="F2337:F2338" si="585">DATE(YEAR(E2337)+10,MONTH(E2337),DAY(E2337))</f>
        <v>46722</v>
      </c>
      <c r="G2337" s="155">
        <v>8.25</v>
      </c>
      <c r="H2337" s="93" t="s">
        <v>6010</v>
      </c>
      <c r="I2337" s="93" t="s">
        <v>79</v>
      </c>
      <c r="J2337" s="166"/>
      <c r="K2337" s="266">
        <f>YEAR(F2337)</f>
        <v>2027</v>
      </c>
      <c r="L2337" s="393" t="s">
        <v>5834</v>
      </c>
      <c r="M2337" s="393" t="s">
        <v>5562</v>
      </c>
      <c r="N2337" s="163" t="s">
        <v>6011</v>
      </c>
      <c r="Q2337" s="243"/>
      <c r="R2337" s="92">
        <v>236.5</v>
      </c>
      <c r="S2337" s="92" t="s">
        <v>6009</v>
      </c>
      <c r="T2337" s="92">
        <v>236.5</v>
      </c>
      <c r="U2337" s="201">
        <v>13.5</v>
      </c>
      <c r="V2337" s="287">
        <f ca="1">IF(YEAR($W$3)-YEAR(E2337)&gt;9,10,IF(MONTH($W$3)&lt;MONTH(E2337),YEAR($W$3)-YEAR(E2337),YEAR($W$3)-YEAR(E2337)+1))</f>
        <v>3</v>
      </c>
      <c r="W2337" s="75">
        <f t="shared" ref="W2337:W2338" ca="1" si="586">IF(V2337&lt;6, ROUNDUP(G2337,0)*$W$6*V2337, ROUNDUP(G2337,0)*($W$6*5 + (V2337-5)*$W$7))</f>
        <v>40.5</v>
      </c>
      <c r="X2337" s="200">
        <f t="shared" ref="X2337:X2338" ca="1" si="587">IF(V2337=0,T2337,((T2337-ROUNDUP(G2337,0)*1.5)+W2337))</f>
        <v>263.5</v>
      </c>
      <c r="Y2337"/>
      <c r="Z2337" s="156">
        <v>0.1</v>
      </c>
      <c r="AA2337" s="227">
        <v>0.1</v>
      </c>
      <c r="AB2337" s="312" t="s">
        <v>7825</v>
      </c>
      <c r="AF2337">
        <f t="shared" si="563"/>
        <v>0</v>
      </c>
    </row>
    <row r="2338" spans="1:32" hidden="1" x14ac:dyDescent="0.25">
      <c r="A2338" s="332" t="s">
        <v>6012</v>
      </c>
      <c r="B2338" s="93" t="str">
        <f t="shared" si="584"/>
        <v>YES</v>
      </c>
      <c r="C2338" t="s">
        <v>5505</v>
      </c>
      <c r="D2338" s="95">
        <v>42999</v>
      </c>
      <c r="E2338" s="95">
        <v>43070</v>
      </c>
      <c r="F2338" s="2">
        <f t="shared" si="585"/>
        <v>46722</v>
      </c>
      <c r="G2338" s="155">
        <v>2</v>
      </c>
      <c r="H2338" s="93" t="s">
        <v>6010</v>
      </c>
      <c r="I2338" s="93" t="s">
        <v>79</v>
      </c>
      <c r="J2338" s="166"/>
      <c r="K2338" s="266">
        <f>YEAR(F2338)</f>
        <v>2027</v>
      </c>
      <c r="L2338" s="393" t="s">
        <v>5834</v>
      </c>
      <c r="M2338" s="393" t="s">
        <v>5562</v>
      </c>
      <c r="N2338" s="163" t="s">
        <v>6013</v>
      </c>
      <c r="Q2338" s="243"/>
      <c r="R2338" s="182">
        <v>215</v>
      </c>
      <c r="S2338" s="182" t="s">
        <v>6009</v>
      </c>
      <c r="T2338" s="182">
        <v>215</v>
      </c>
      <c r="U2338" s="201">
        <v>3</v>
      </c>
      <c r="V2338" s="287">
        <f ca="1">IF(YEAR($W$3)-YEAR(E2338)&gt;9,10,IF(MONTH($W$3)&lt;MONTH(E2338),YEAR($W$3)-YEAR(E2338),YEAR($W$3)-YEAR(E2338)+1))</f>
        <v>3</v>
      </c>
      <c r="W2338" s="75">
        <f t="shared" ca="1" si="586"/>
        <v>9</v>
      </c>
      <c r="X2338" s="200">
        <f t="shared" ca="1" si="587"/>
        <v>221</v>
      </c>
      <c r="Y2338"/>
      <c r="Z2338" s="156">
        <v>0.1</v>
      </c>
      <c r="AA2338" s="227">
        <v>0.1</v>
      </c>
      <c r="AB2338" s="312" t="s">
        <v>7825</v>
      </c>
      <c r="AF2338">
        <f t="shared" si="563"/>
        <v>0</v>
      </c>
    </row>
    <row r="2339" spans="1:32" hidden="1" x14ac:dyDescent="0.25">
      <c r="A2339" s="334"/>
      <c r="C2339"/>
      <c r="D2339" s="95"/>
      <c r="E2339" s="95"/>
      <c r="F2339" s="95"/>
      <c r="G2339" s="155"/>
      <c r="I2339" s="93"/>
      <c r="J2339" s="166"/>
      <c r="K2339" s="166"/>
      <c r="L2339" s="393"/>
      <c r="M2339" s="393"/>
      <c r="N2339" s="163" t="s">
        <v>5934</v>
      </c>
      <c r="Q2339" s="243"/>
      <c r="R2339" s="158">
        <v>451.5</v>
      </c>
      <c r="S2339" s="158">
        <v>0</v>
      </c>
      <c r="T2339" s="158">
        <v>451.5</v>
      </c>
      <c r="Y2339"/>
      <c r="Z2339" s="156"/>
      <c r="AA2339" s="227"/>
      <c r="AF2339">
        <f t="shared" si="563"/>
        <v>0</v>
      </c>
    </row>
    <row r="2340" spans="1:32" ht="15.75" hidden="1" thickTop="1" x14ac:dyDescent="0.25">
      <c r="A2340" s="334"/>
      <c r="C2340"/>
      <c r="E2340" s="93"/>
      <c r="F2340" s="93"/>
      <c r="G2340" s="155"/>
      <c r="I2340" s="93"/>
      <c r="J2340" s="166"/>
      <c r="K2340" s="166"/>
      <c r="L2340" s="393"/>
      <c r="M2340" s="393"/>
      <c r="N2340" s="163" t="s">
        <v>5934</v>
      </c>
      <c r="Q2340" s="245"/>
      <c r="R2340" s="160"/>
      <c r="S2340" s="160"/>
      <c r="T2340" s="160"/>
      <c r="Y2340"/>
      <c r="Z2340" s="156"/>
      <c r="AA2340" s="227"/>
      <c r="AF2340">
        <f t="shared" si="563"/>
        <v>0</v>
      </c>
    </row>
    <row r="2341" spans="1:32" ht="45" hidden="1" x14ac:dyDescent="0.25">
      <c r="A2341" s="332" t="s">
        <v>6014</v>
      </c>
      <c r="B2341" s="93" t="str">
        <f t="shared" si="584"/>
        <v>YES</v>
      </c>
      <c r="C2341" t="s">
        <v>5505</v>
      </c>
      <c r="D2341" s="95">
        <v>43083</v>
      </c>
      <c r="E2341" s="95">
        <v>43132</v>
      </c>
      <c r="F2341" s="2">
        <f t="shared" ref="F2341" si="588">DATE(YEAR(E2341)+10,MONTH(E2341),DAY(E2341))</f>
        <v>46784</v>
      </c>
      <c r="G2341" s="155">
        <v>509.67</v>
      </c>
      <c r="H2341" s="93" t="s">
        <v>4141</v>
      </c>
      <c r="I2341" s="93" t="s">
        <v>79</v>
      </c>
      <c r="J2341" s="192" t="s">
        <v>7915</v>
      </c>
      <c r="K2341" s="266">
        <f>YEAR(F2341)</f>
        <v>2028</v>
      </c>
      <c r="L2341" s="393" t="s">
        <v>6015</v>
      </c>
      <c r="M2341" s="393" t="s">
        <v>6016</v>
      </c>
      <c r="N2341" s="163" t="s">
        <v>6017</v>
      </c>
      <c r="Q2341" s="243"/>
      <c r="R2341" s="92">
        <v>1945</v>
      </c>
      <c r="S2341" s="92">
        <v>22440</v>
      </c>
      <c r="T2341" s="92">
        <v>24385</v>
      </c>
      <c r="U2341" s="201">
        <v>765</v>
      </c>
      <c r="V2341" s="287">
        <f ca="1">IF(YEAR($W$3)-YEAR(E2341)&gt;9,10,IF(MONTH($W$3)&lt;MONTH(E2341),YEAR($W$3)-YEAR(E2341),YEAR($W$3)-YEAR(E2341)+1))</f>
        <v>2</v>
      </c>
      <c r="W2341" s="75">
        <f ca="1">IF(V2341&lt;6, ROUNDUP(G2341,0)*$W$6*V2341, ROUNDUP(G2341,0)*($W$6*5 + (V2341-5)*$W$7))</f>
        <v>1530</v>
      </c>
      <c r="X2341" s="200">
        <f ca="1">IF(V2341=0,T2341,((T2341-ROUNDUP(G2341,0)*1.5)+W2341))</f>
        <v>25150</v>
      </c>
      <c r="Y2341"/>
      <c r="Z2341" s="156">
        <v>0.1</v>
      </c>
      <c r="AA2341" s="227">
        <v>0.1</v>
      </c>
      <c r="AB2341" s="312" t="s">
        <v>7407</v>
      </c>
      <c r="AD2341" s="311">
        <v>0.25</v>
      </c>
      <c r="AE2341" s="310">
        <v>43451</v>
      </c>
      <c r="AF2341">
        <f t="shared" si="563"/>
        <v>0</v>
      </c>
    </row>
    <row r="2342" spans="1:32" hidden="1" x14ac:dyDescent="0.25">
      <c r="A2342" s="334"/>
      <c r="C2342"/>
      <c r="E2342" s="93"/>
      <c r="F2342" s="93"/>
      <c r="G2342" s="155"/>
      <c r="I2342" s="93"/>
      <c r="J2342" s="166"/>
      <c r="K2342" s="166"/>
      <c r="L2342" s="393"/>
      <c r="M2342" s="393"/>
      <c r="N2342" s="163" t="s">
        <v>5934</v>
      </c>
      <c r="Q2342" s="245"/>
      <c r="Y2342"/>
      <c r="Z2342" s="156"/>
      <c r="AA2342" s="227"/>
      <c r="AF2342">
        <f t="shared" si="563"/>
        <v>0</v>
      </c>
    </row>
    <row r="2343" spans="1:32" ht="26.25" hidden="1" x14ac:dyDescent="0.25">
      <c r="A2343" s="332" t="s">
        <v>6018</v>
      </c>
      <c r="B2343" s="93" t="str">
        <f t="shared" si="584"/>
        <v>YES</v>
      </c>
      <c r="C2343" t="s">
        <v>5503</v>
      </c>
      <c r="D2343" s="95">
        <v>43167</v>
      </c>
      <c r="E2343" s="95">
        <v>43191</v>
      </c>
      <c r="F2343" s="2">
        <f t="shared" ref="F2343:F2346" si="589">DATE(YEAR(E2343)+10,MONTH(E2343),DAY(E2343))</f>
        <v>46844</v>
      </c>
      <c r="G2343" s="155">
        <v>80</v>
      </c>
      <c r="H2343" s="93" t="s">
        <v>6019</v>
      </c>
      <c r="I2343" s="93" t="s">
        <v>5884</v>
      </c>
      <c r="J2343" s="192" t="s">
        <v>6284</v>
      </c>
      <c r="K2343" s="266">
        <f>YEAR(F2343)</f>
        <v>2028</v>
      </c>
      <c r="L2343" s="393" t="s">
        <v>5720</v>
      </c>
      <c r="M2343" s="393" t="s">
        <v>5790</v>
      </c>
      <c r="N2343" s="163" t="s">
        <v>6020</v>
      </c>
      <c r="Q2343" s="243"/>
      <c r="R2343" s="92">
        <v>600</v>
      </c>
      <c r="S2343" s="92">
        <v>0</v>
      </c>
      <c r="T2343" s="92">
        <v>600</v>
      </c>
      <c r="U2343" s="201">
        <v>120</v>
      </c>
      <c r="V2343" s="287">
        <f ca="1">IF(YEAR($W$3)-YEAR(E2343)&gt;9,10,IF(MONTH($W$3)&lt;MONTH(E2343),YEAR($W$3)-YEAR(E2343),YEAR($W$3)-YEAR(E2343)+1))</f>
        <v>2</v>
      </c>
      <c r="W2343" s="75">
        <f t="shared" ref="W2343:W2346" ca="1" si="590">IF(V2343&lt;6, ROUNDUP(G2343,0)*$W$6*V2343, ROUNDUP(G2343,0)*($W$6*5 + (V2343-5)*$W$7))</f>
        <v>240</v>
      </c>
      <c r="X2343" s="200">
        <f t="shared" ref="X2343:X2346" ca="1" si="591">IF(V2343=0,T2343,((T2343-ROUNDUP(G2343,0)*1.5)+W2343))</f>
        <v>720</v>
      </c>
      <c r="Y2343"/>
      <c r="Z2343" s="156">
        <v>0.1</v>
      </c>
      <c r="AA2343" s="227">
        <v>0.1</v>
      </c>
      <c r="AB2343" s="312" t="s">
        <v>7838</v>
      </c>
      <c r="AF2343">
        <f t="shared" si="563"/>
        <v>0</v>
      </c>
    </row>
    <row r="2344" spans="1:32" ht="30" hidden="1" x14ac:dyDescent="0.25">
      <c r="A2344" s="332" t="s">
        <v>6021</v>
      </c>
      <c r="B2344" s="93" t="str">
        <f t="shared" si="584"/>
        <v>YES</v>
      </c>
      <c r="C2344" t="s">
        <v>5503</v>
      </c>
      <c r="D2344" s="95">
        <v>43167</v>
      </c>
      <c r="E2344" s="95">
        <v>43191</v>
      </c>
      <c r="F2344" s="2">
        <f t="shared" si="589"/>
        <v>46844</v>
      </c>
      <c r="G2344" s="155">
        <v>320.31</v>
      </c>
      <c r="H2344" s="93" t="s">
        <v>6022</v>
      </c>
      <c r="I2344" s="93" t="s">
        <v>5884</v>
      </c>
      <c r="J2344" s="192" t="s">
        <v>6284</v>
      </c>
      <c r="K2344" s="266">
        <f>YEAR(F2344)</f>
        <v>2028</v>
      </c>
      <c r="L2344" s="393" t="s">
        <v>6023</v>
      </c>
      <c r="M2344" s="393" t="s">
        <v>5790</v>
      </c>
      <c r="N2344" s="163" t="s">
        <v>6024</v>
      </c>
      <c r="Q2344" s="243"/>
      <c r="R2344" s="92">
        <v>1283.5</v>
      </c>
      <c r="S2344" s="92" t="s">
        <v>6009</v>
      </c>
      <c r="T2344" s="92">
        <v>1283.5</v>
      </c>
      <c r="U2344" s="201">
        <v>481.5</v>
      </c>
      <c r="V2344" s="287">
        <f ca="1">IF(YEAR($W$3)-YEAR(E2344)&gt;9,10,IF(MONTH($W$3)&lt;MONTH(E2344),YEAR($W$3)-YEAR(E2344),YEAR($W$3)-YEAR(E2344)+1))</f>
        <v>2</v>
      </c>
      <c r="W2344" s="75">
        <f t="shared" ca="1" si="590"/>
        <v>963</v>
      </c>
      <c r="X2344" s="200">
        <f t="shared" ca="1" si="591"/>
        <v>1765</v>
      </c>
      <c r="Y2344"/>
      <c r="Z2344" s="156">
        <v>0.1</v>
      </c>
      <c r="AA2344" s="227">
        <v>0.1</v>
      </c>
      <c r="AB2344" s="312" t="s">
        <v>7834</v>
      </c>
      <c r="AF2344">
        <f t="shared" si="563"/>
        <v>0</v>
      </c>
    </row>
    <row r="2345" spans="1:32" ht="30" hidden="1" x14ac:dyDescent="0.25">
      <c r="A2345" s="332" t="s">
        <v>6025</v>
      </c>
      <c r="B2345" s="93" t="str">
        <f t="shared" si="584"/>
        <v>YES</v>
      </c>
      <c r="C2345" t="s">
        <v>5503</v>
      </c>
      <c r="D2345" s="95">
        <v>43167</v>
      </c>
      <c r="E2345" s="95">
        <v>43191</v>
      </c>
      <c r="F2345" s="2">
        <f t="shared" si="589"/>
        <v>46844</v>
      </c>
      <c r="G2345" s="155">
        <v>640</v>
      </c>
      <c r="H2345" s="93" t="s">
        <v>6022</v>
      </c>
      <c r="I2345" s="93" t="s">
        <v>5884</v>
      </c>
      <c r="J2345" s="192" t="s">
        <v>6284</v>
      </c>
      <c r="K2345" s="266">
        <f>YEAR(F2345)</f>
        <v>2028</v>
      </c>
      <c r="L2345" s="393" t="s">
        <v>6023</v>
      </c>
      <c r="M2345" s="393" t="s">
        <v>6026</v>
      </c>
      <c r="N2345" s="163" t="s">
        <v>6027</v>
      </c>
      <c r="Q2345" s="243"/>
      <c r="R2345" s="92">
        <v>4960</v>
      </c>
      <c r="S2345" s="92">
        <v>0</v>
      </c>
      <c r="T2345" s="92">
        <v>4960</v>
      </c>
      <c r="U2345" s="201">
        <v>960</v>
      </c>
      <c r="V2345" s="287">
        <f ca="1">IF(YEAR($W$3)-YEAR(E2345)&gt;9,10,IF(MONTH($W$3)&lt;MONTH(E2345),YEAR($W$3)-YEAR(E2345),YEAR($W$3)-YEAR(E2345)+1))</f>
        <v>2</v>
      </c>
      <c r="W2345" s="75">
        <f t="shared" ca="1" si="590"/>
        <v>1920</v>
      </c>
      <c r="X2345" s="200">
        <f t="shared" ca="1" si="591"/>
        <v>5920</v>
      </c>
      <c r="Y2345"/>
      <c r="Z2345" s="156">
        <v>0.1</v>
      </c>
      <c r="AA2345" s="227">
        <v>0.1</v>
      </c>
      <c r="AB2345" s="312" t="s">
        <v>7834</v>
      </c>
      <c r="AF2345">
        <f t="shared" si="563"/>
        <v>0</v>
      </c>
    </row>
    <row r="2346" spans="1:32" ht="30" hidden="1" x14ac:dyDescent="0.25">
      <c r="A2346" s="332" t="s">
        <v>6028</v>
      </c>
      <c r="B2346" s="93" t="str">
        <f t="shared" si="584"/>
        <v>YES</v>
      </c>
      <c r="C2346" t="s">
        <v>5503</v>
      </c>
      <c r="D2346" s="95">
        <v>43167</v>
      </c>
      <c r="E2346" s="95">
        <v>43191</v>
      </c>
      <c r="F2346" s="2">
        <f t="shared" si="589"/>
        <v>46844</v>
      </c>
      <c r="G2346" s="155">
        <v>360</v>
      </c>
      <c r="H2346" s="93" t="s">
        <v>6022</v>
      </c>
      <c r="I2346" s="93" t="s">
        <v>5884</v>
      </c>
      <c r="J2346" s="192" t="s">
        <v>6284</v>
      </c>
      <c r="K2346" s="266">
        <f>YEAR(F2346)</f>
        <v>2028</v>
      </c>
      <c r="L2346" s="393" t="s">
        <v>6029</v>
      </c>
      <c r="M2346" s="393" t="s">
        <v>5577</v>
      </c>
      <c r="N2346" s="163" t="s">
        <v>6030</v>
      </c>
      <c r="Q2346" s="243"/>
      <c r="R2346" s="182">
        <v>3220</v>
      </c>
      <c r="S2346" s="182">
        <v>0</v>
      </c>
      <c r="T2346" s="182">
        <v>3220</v>
      </c>
      <c r="U2346" s="201">
        <v>540</v>
      </c>
      <c r="V2346" s="287">
        <f ca="1">IF(YEAR($W$3)-YEAR(E2346)&gt;9,10,IF(MONTH($W$3)&lt;MONTH(E2346),YEAR($W$3)-YEAR(E2346),YEAR($W$3)-YEAR(E2346)+1))</f>
        <v>2</v>
      </c>
      <c r="W2346" s="75">
        <f t="shared" ca="1" si="590"/>
        <v>1080</v>
      </c>
      <c r="X2346" s="200">
        <f t="shared" ca="1" si="591"/>
        <v>3760</v>
      </c>
      <c r="Y2346"/>
      <c r="Z2346" s="156">
        <v>0.1</v>
      </c>
      <c r="AA2346" s="227">
        <v>0.1</v>
      </c>
      <c r="AB2346" s="312" t="s">
        <v>7834</v>
      </c>
      <c r="AF2346">
        <f t="shared" si="563"/>
        <v>0</v>
      </c>
    </row>
    <row r="2347" spans="1:32" hidden="1" x14ac:dyDescent="0.25">
      <c r="A2347" s="334"/>
      <c r="C2347"/>
      <c r="D2347" s="95"/>
      <c r="E2347" s="95"/>
      <c r="F2347" s="95"/>
      <c r="G2347" s="155"/>
      <c r="I2347" s="93"/>
      <c r="J2347" s="166"/>
      <c r="K2347" s="166"/>
      <c r="L2347" s="393"/>
      <c r="M2347" s="393"/>
      <c r="N2347" s="163" t="s">
        <v>5934</v>
      </c>
      <c r="Q2347" s="243"/>
      <c r="R2347" s="158">
        <v>10063.5</v>
      </c>
      <c r="S2347" s="158">
        <v>0</v>
      </c>
      <c r="T2347" s="158">
        <v>10063.5</v>
      </c>
      <c r="Y2347"/>
      <c r="Z2347" s="156"/>
      <c r="AA2347" s="227"/>
      <c r="AF2347">
        <f t="shared" si="563"/>
        <v>0</v>
      </c>
    </row>
    <row r="2348" spans="1:32" ht="15.75" hidden="1" thickTop="1" x14ac:dyDescent="0.25">
      <c r="A2348" s="334"/>
      <c r="C2348"/>
      <c r="E2348" s="93"/>
      <c r="F2348" s="93"/>
      <c r="G2348" s="155"/>
      <c r="I2348" s="93"/>
      <c r="J2348" s="166"/>
      <c r="K2348" s="166"/>
      <c r="L2348" s="393"/>
      <c r="M2348" s="393"/>
      <c r="N2348" s="163" t="s">
        <v>5934</v>
      </c>
      <c r="Q2348" s="245"/>
      <c r="R2348" s="160"/>
      <c r="S2348" s="160"/>
      <c r="T2348" s="160"/>
      <c r="Y2348"/>
      <c r="Z2348" s="156"/>
      <c r="AA2348" s="227"/>
      <c r="AF2348">
        <f t="shared" ref="AF2348:AF2411" si="592">COUNTIF(FilterList,A2348)</f>
        <v>0</v>
      </c>
    </row>
    <row r="2349" spans="1:32" ht="30" hidden="1" x14ac:dyDescent="0.25">
      <c r="A2349" s="332" t="s">
        <v>6031</v>
      </c>
      <c r="B2349" s="93" t="str">
        <f t="shared" si="584"/>
        <v>YES</v>
      </c>
      <c r="C2349" t="s">
        <v>5505</v>
      </c>
      <c r="D2349" s="95">
        <v>43181</v>
      </c>
      <c r="E2349" s="95">
        <v>43221</v>
      </c>
      <c r="F2349" s="2">
        <f t="shared" ref="F2349:F2350" si="593">DATE(YEAR(E2349)+10,MONTH(E2349),DAY(E2349))</f>
        <v>46874</v>
      </c>
      <c r="G2349" s="155">
        <v>39.65</v>
      </c>
      <c r="H2349" s="93" t="s">
        <v>6032</v>
      </c>
      <c r="I2349" s="93" t="s">
        <v>2748</v>
      </c>
      <c r="J2349" s="166"/>
      <c r="K2349" s="266">
        <f>YEAR(F2349)</f>
        <v>2028</v>
      </c>
      <c r="L2349" s="393" t="s">
        <v>5910</v>
      </c>
      <c r="M2349" s="393" t="s">
        <v>5508</v>
      </c>
      <c r="N2349" s="163" t="s">
        <v>6033</v>
      </c>
      <c r="Q2349" s="243"/>
      <c r="R2349" s="92">
        <v>300</v>
      </c>
      <c r="S2349" s="92" t="s">
        <v>6009</v>
      </c>
      <c r="T2349" s="92">
        <v>300</v>
      </c>
      <c r="U2349" s="201">
        <v>60</v>
      </c>
      <c r="V2349" s="287">
        <f ca="1">IF(YEAR($W$3)-YEAR(E2349)&gt;9,10,IF(MONTH($W$3)&lt;MONTH(E2349),YEAR($W$3)-YEAR(E2349),YEAR($W$3)-YEAR(E2349)+1))</f>
        <v>2</v>
      </c>
      <c r="W2349" s="75">
        <f t="shared" ref="W2349:W2350" ca="1" si="594">IF(V2349&lt;6, ROUNDUP(G2349,0)*$W$6*V2349, ROUNDUP(G2349,0)*($W$6*5 + (V2349-5)*$W$7))</f>
        <v>120</v>
      </c>
      <c r="X2349" s="200">
        <f t="shared" ref="X2349:X2350" ca="1" si="595">IF(V2349=0,T2349,((T2349-ROUNDUP(G2349,0)*1.5)+W2349))</f>
        <v>360</v>
      </c>
      <c r="Y2349"/>
      <c r="Z2349" s="156">
        <v>0.1</v>
      </c>
      <c r="AA2349" s="227">
        <v>0.1</v>
      </c>
      <c r="AB2349" s="312" t="s">
        <v>7853</v>
      </c>
      <c r="AF2349">
        <f t="shared" si="592"/>
        <v>0</v>
      </c>
    </row>
    <row r="2350" spans="1:32" ht="90" hidden="1" x14ac:dyDescent="0.25">
      <c r="A2350" s="332" t="s">
        <v>6034</v>
      </c>
      <c r="B2350" s="93" t="str">
        <f t="shared" si="584"/>
        <v>YES</v>
      </c>
      <c r="C2350" t="s">
        <v>5505</v>
      </c>
      <c r="D2350" s="95">
        <v>43181</v>
      </c>
      <c r="E2350" s="95">
        <v>43221</v>
      </c>
      <c r="F2350" s="2">
        <f t="shared" si="593"/>
        <v>46874</v>
      </c>
      <c r="G2350" s="155">
        <v>305.83999999999997</v>
      </c>
      <c r="H2350" s="93" t="s">
        <v>6035</v>
      </c>
      <c r="I2350" s="93" t="s">
        <v>2748</v>
      </c>
      <c r="J2350" s="166"/>
      <c r="K2350" s="266">
        <f>YEAR(F2350)</f>
        <v>2028</v>
      </c>
      <c r="L2350" s="393" t="s">
        <v>5514</v>
      </c>
      <c r="M2350" s="393" t="s">
        <v>5809</v>
      </c>
      <c r="N2350" s="163" t="s">
        <v>7644</v>
      </c>
      <c r="Q2350" s="243"/>
      <c r="R2350" s="182">
        <v>1537</v>
      </c>
      <c r="S2350" s="182" t="s">
        <v>6009</v>
      </c>
      <c r="T2350" s="182">
        <v>1537</v>
      </c>
      <c r="U2350" s="201">
        <v>459</v>
      </c>
      <c r="V2350" s="287">
        <f ca="1">IF(YEAR($W$3)-YEAR(E2350)&gt;9,10,IF(MONTH($W$3)&lt;MONTH(E2350),YEAR($W$3)-YEAR(E2350),YEAR($W$3)-YEAR(E2350)+1))</f>
        <v>2</v>
      </c>
      <c r="W2350" s="75">
        <f t="shared" ca="1" si="594"/>
        <v>918</v>
      </c>
      <c r="X2350" s="200">
        <f t="shared" ca="1" si="595"/>
        <v>1996</v>
      </c>
      <c r="Y2350"/>
      <c r="Z2350" s="156">
        <v>0.1</v>
      </c>
      <c r="AA2350" s="227">
        <v>0.1</v>
      </c>
      <c r="AB2350" s="312" t="s">
        <v>7716</v>
      </c>
      <c r="AF2350">
        <f t="shared" si="592"/>
        <v>0</v>
      </c>
    </row>
    <row r="2351" spans="1:32" hidden="1" x14ac:dyDescent="0.25">
      <c r="A2351" s="334"/>
      <c r="C2351"/>
      <c r="D2351" s="95"/>
      <c r="E2351" s="95"/>
      <c r="F2351" s="95"/>
      <c r="G2351" s="155"/>
      <c r="I2351" s="93"/>
      <c r="J2351" s="166"/>
      <c r="K2351" s="166"/>
      <c r="L2351" s="393"/>
      <c r="M2351" s="393"/>
      <c r="N2351" s="163" t="s">
        <v>5934</v>
      </c>
      <c r="Q2351" s="243"/>
      <c r="R2351" s="158">
        <v>1837</v>
      </c>
      <c r="S2351" s="158">
        <v>0</v>
      </c>
      <c r="T2351" s="158">
        <v>1837</v>
      </c>
      <c r="Y2351"/>
      <c r="Z2351" s="156"/>
      <c r="AA2351" s="227"/>
      <c r="AF2351">
        <f t="shared" si="592"/>
        <v>0</v>
      </c>
    </row>
    <row r="2352" spans="1:32" ht="15.75" hidden="1" thickTop="1" x14ac:dyDescent="0.25">
      <c r="A2352" s="334"/>
      <c r="C2352"/>
      <c r="E2352" s="93"/>
      <c r="F2352" s="93"/>
      <c r="G2352" s="155"/>
      <c r="I2352" s="93"/>
      <c r="J2352" s="166"/>
      <c r="K2352" s="166"/>
      <c r="L2352" s="393"/>
      <c r="M2352" s="393"/>
      <c r="N2352" s="163" t="s">
        <v>5934</v>
      </c>
      <c r="Q2352" s="245"/>
      <c r="R2352" s="160"/>
      <c r="S2352" s="160"/>
      <c r="T2352" s="160"/>
      <c r="Y2352"/>
      <c r="Z2352" s="156"/>
      <c r="AA2352" s="227"/>
      <c r="AF2352">
        <f t="shared" si="592"/>
        <v>0</v>
      </c>
    </row>
    <row r="2353" spans="1:32" ht="26.25" hidden="1" x14ac:dyDescent="0.25">
      <c r="A2353" s="332" t="s">
        <v>6036</v>
      </c>
      <c r="B2353" s="93" t="str">
        <f t="shared" si="584"/>
        <v>YES</v>
      </c>
      <c r="C2353" t="s">
        <v>5505</v>
      </c>
      <c r="D2353" s="95">
        <v>43180</v>
      </c>
      <c r="E2353" s="95">
        <v>43252</v>
      </c>
      <c r="F2353" s="2">
        <f t="shared" ref="F2353:F2362" si="596">DATE(YEAR(E2353)+10,MONTH(E2353),DAY(E2353))</f>
        <v>46905</v>
      </c>
      <c r="G2353" s="155">
        <v>83.67</v>
      </c>
      <c r="H2353" s="93" t="s">
        <v>5436</v>
      </c>
      <c r="I2353" s="93" t="s">
        <v>5437</v>
      </c>
      <c r="J2353" s="336" t="s">
        <v>6286</v>
      </c>
      <c r="K2353" s="266">
        <f t="shared" ref="K2353:K2362" si="597">YEAR(F2353)</f>
        <v>2028</v>
      </c>
      <c r="L2353" s="393" t="s">
        <v>6037</v>
      </c>
      <c r="M2353" s="393" t="s">
        <v>6038</v>
      </c>
      <c r="N2353" s="163" t="s">
        <v>6039</v>
      </c>
      <c r="Q2353" s="243"/>
      <c r="R2353" s="92">
        <v>454</v>
      </c>
      <c r="S2353" s="92">
        <v>3192</v>
      </c>
      <c r="T2353" s="92">
        <v>3646</v>
      </c>
      <c r="U2353" s="201">
        <v>126</v>
      </c>
      <c r="V2353" s="287">
        <f t="shared" ref="V2353:V2362" ca="1" si="598">IF(YEAR($W$3)-YEAR(E2353)&gt;9,10,IF(MONTH($W$3)&lt;MONTH(E2353),YEAR($W$3)-YEAR(E2353),YEAR($W$3)-YEAR(E2353)+1))</f>
        <v>2</v>
      </c>
      <c r="W2353" s="75">
        <f t="shared" ref="W2353:W2362" ca="1" si="599">IF(V2353&lt;6, ROUNDUP(G2353,0)*$W$6*V2353, ROUNDUP(G2353,0)*($W$6*5 + (V2353-5)*$W$7))</f>
        <v>252</v>
      </c>
      <c r="X2353" s="200">
        <f t="shared" ref="X2353:X2362" ca="1" si="600">IF(V2353=0,T2353,((T2353-ROUNDUP(G2353,0)*1.5)+W2353))</f>
        <v>3772</v>
      </c>
      <c r="Y2353"/>
      <c r="Z2353" s="156">
        <v>0.1</v>
      </c>
      <c r="AA2353" s="227">
        <v>0.1</v>
      </c>
      <c r="AB2353" s="312" t="s">
        <v>7892</v>
      </c>
      <c r="AC2353" s="310">
        <v>43703</v>
      </c>
      <c r="AD2353" s="311">
        <v>0.2</v>
      </c>
      <c r="AE2353" s="312" t="s">
        <v>7919</v>
      </c>
      <c r="AF2353">
        <f t="shared" si="592"/>
        <v>0</v>
      </c>
    </row>
    <row r="2354" spans="1:32" ht="30" hidden="1" x14ac:dyDescent="0.25">
      <c r="A2354" s="332" t="s">
        <v>6040</v>
      </c>
      <c r="B2354" s="93" t="str">
        <f t="shared" si="584"/>
        <v>YES</v>
      </c>
      <c r="C2354" t="s">
        <v>5505</v>
      </c>
      <c r="D2354" s="95">
        <v>43180</v>
      </c>
      <c r="E2354" s="95">
        <v>43252</v>
      </c>
      <c r="F2354" s="2">
        <f t="shared" si="596"/>
        <v>46905</v>
      </c>
      <c r="G2354" s="155">
        <v>326.75</v>
      </c>
      <c r="H2354" s="93" t="s">
        <v>5436</v>
      </c>
      <c r="I2354" s="93" t="s">
        <v>5437</v>
      </c>
      <c r="J2354" s="336" t="s">
        <v>6286</v>
      </c>
      <c r="K2354" s="266">
        <f t="shared" si="597"/>
        <v>2028</v>
      </c>
      <c r="L2354" s="393" t="s">
        <v>6041</v>
      </c>
      <c r="M2354" s="393" t="s">
        <v>6042</v>
      </c>
      <c r="N2354" s="163" t="s">
        <v>6043</v>
      </c>
      <c r="Q2354" s="243"/>
      <c r="R2354" s="92">
        <v>1304.5</v>
      </c>
      <c r="S2354" s="92">
        <v>2943</v>
      </c>
      <c r="T2354" s="92">
        <v>4247.5</v>
      </c>
      <c r="U2354" s="201">
        <v>490.5</v>
      </c>
      <c r="V2354" s="287">
        <f t="shared" ca="1" si="598"/>
        <v>2</v>
      </c>
      <c r="W2354" s="75">
        <f t="shared" ca="1" si="599"/>
        <v>981</v>
      </c>
      <c r="X2354" s="200">
        <f t="shared" ca="1" si="600"/>
        <v>4738</v>
      </c>
      <c r="Y2354"/>
      <c r="Z2354" s="156">
        <v>0.1</v>
      </c>
      <c r="AA2354" s="227">
        <v>0.1</v>
      </c>
      <c r="AB2354" s="312" t="s">
        <v>7893</v>
      </c>
      <c r="AC2354" s="310">
        <v>43703</v>
      </c>
      <c r="AD2354" s="311">
        <v>0.2</v>
      </c>
      <c r="AE2354" s="312" t="s">
        <v>7919</v>
      </c>
      <c r="AF2354">
        <f t="shared" si="592"/>
        <v>0</v>
      </c>
    </row>
    <row r="2355" spans="1:32" ht="30" hidden="1" x14ac:dyDescent="0.25">
      <c r="A2355" s="332" t="s">
        <v>6044</v>
      </c>
      <c r="B2355" s="93" t="str">
        <f t="shared" si="584"/>
        <v>YES</v>
      </c>
      <c r="C2355" t="s">
        <v>5505</v>
      </c>
      <c r="D2355" s="95">
        <v>43180</v>
      </c>
      <c r="E2355" s="95">
        <v>43252</v>
      </c>
      <c r="F2355" s="2">
        <f t="shared" si="596"/>
        <v>46905</v>
      </c>
      <c r="G2355" s="155">
        <v>156.38</v>
      </c>
      <c r="H2355" s="93" t="s">
        <v>5436</v>
      </c>
      <c r="I2355" s="93" t="s">
        <v>5437</v>
      </c>
      <c r="J2355" s="336" t="s">
        <v>6286</v>
      </c>
      <c r="K2355" s="266">
        <f t="shared" si="597"/>
        <v>2028</v>
      </c>
      <c r="L2355" s="393" t="s">
        <v>6045</v>
      </c>
      <c r="M2355" s="393" t="s">
        <v>6042</v>
      </c>
      <c r="N2355" s="163" t="s">
        <v>6046</v>
      </c>
      <c r="Q2355" s="243"/>
      <c r="R2355" s="92">
        <v>709.5</v>
      </c>
      <c r="S2355" s="92">
        <v>785</v>
      </c>
      <c r="T2355" s="92">
        <v>1494.5</v>
      </c>
      <c r="U2355" s="201">
        <v>235.5</v>
      </c>
      <c r="V2355" s="287">
        <f t="shared" ca="1" si="598"/>
        <v>2</v>
      </c>
      <c r="W2355" s="75">
        <f t="shared" ca="1" si="599"/>
        <v>471</v>
      </c>
      <c r="X2355" s="200">
        <f t="shared" ca="1" si="600"/>
        <v>1730</v>
      </c>
      <c r="Y2355"/>
      <c r="Z2355" s="156">
        <v>0.1</v>
      </c>
      <c r="AA2355" s="227">
        <v>0.1</v>
      </c>
      <c r="AB2355" s="312" t="s">
        <v>7894</v>
      </c>
      <c r="AC2355" s="310">
        <v>43703</v>
      </c>
      <c r="AD2355" s="311">
        <v>0.2</v>
      </c>
      <c r="AE2355" s="312" t="s">
        <v>7919</v>
      </c>
      <c r="AF2355">
        <f t="shared" si="592"/>
        <v>0</v>
      </c>
    </row>
    <row r="2356" spans="1:32" ht="60" hidden="1" x14ac:dyDescent="0.25">
      <c r="A2356" s="332" t="s">
        <v>6047</v>
      </c>
      <c r="B2356" s="93" t="str">
        <f t="shared" si="584"/>
        <v>YES</v>
      </c>
      <c r="C2356" t="s">
        <v>5505</v>
      </c>
      <c r="D2356" s="95">
        <v>43180</v>
      </c>
      <c r="E2356" s="95">
        <v>43252</v>
      </c>
      <c r="F2356" s="2">
        <f t="shared" si="596"/>
        <v>46905</v>
      </c>
      <c r="G2356" s="155">
        <v>866.8</v>
      </c>
      <c r="H2356" s="93" t="s">
        <v>5436</v>
      </c>
      <c r="I2356" s="93" t="s">
        <v>5437</v>
      </c>
      <c r="J2356" s="336" t="s">
        <v>6286</v>
      </c>
      <c r="K2356" s="266">
        <f t="shared" si="597"/>
        <v>2028</v>
      </c>
      <c r="L2356" s="393" t="s">
        <v>6037</v>
      </c>
      <c r="M2356" s="393" t="s">
        <v>5948</v>
      </c>
      <c r="N2356" s="163" t="s">
        <v>6048</v>
      </c>
      <c r="Q2356" s="243"/>
      <c r="R2356" s="92">
        <v>3194.5</v>
      </c>
      <c r="S2356" s="92">
        <v>17340</v>
      </c>
      <c r="T2356" s="92">
        <v>20534.5</v>
      </c>
      <c r="U2356" s="201">
        <v>1300.5</v>
      </c>
      <c r="V2356" s="287">
        <f t="shared" ca="1" si="598"/>
        <v>2</v>
      </c>
      <c r="W2356" s="75">
        <f t="shared" ca="1" si="599"/>
        <v>2601</v>
      </c>
      <c r="X2356" s="200">
        <f t="shared" ca="1" si="600"/>
        <v>21835</v>
      </c>
      <c r="Y2356"/>
      <c r="Z2356" s="156">
        <v>0.1</v>
      </c>
      <c r="AA2356" s="227">
        <v>0.1</v>
      </c>
      <c r="AB2356" s="312" t="s">
        <v>7895</v>
      </c>
      <c r="AC2356" s="310">
        <v>43703</v>
      </c>
      <c r="AD2356" s="311">
        <v>0.2</v>
      </c>
      <c r="AE2356" s="312" t="s">
        <v>7919</v>
      </c>
      <c r="AF2356">
        <f t="shared" si="592"/>
        <v>0</v>
      </c>
    </row>
    <row r="2357" spans="1:32" ht="45" hidden="1" x14ac:dyDescent="0.25">
      <c r="A2357" s="332" t="s">
        <v>6049</v>
      </c>
      <c r="B2357" s="93" t="str">
        <f t="shared" si="584"/>
        <v>YES</v>
      </c>
      <c r="C2357" t="s">
        <v>5505</v>
      </c>
      <c r="D2357" s="95">
        <v>43180</v>
      </c>
      <c r="E2357" s="95">
        <v>43252</v>
      </c>
      <c r="F2357" s="2">
        <f t="shared" si="596"/>
        <v>46905</v>
      </c>
      <c r="G2357" s="155">
        <v>428.66</v>
      </c>
      <c r="H2357" s="93" t="s">
        <v>5436</v>
      </c>
      <c r="I2357" s="93" t="s">
        <v>5437</v>
      </c>
      <c r="J2357" s="336" t="s">
        <v>6286</v>
      </c>
      <c r="K2357" s="266">
        <f t="shared" si="597"/>
        <v>2028</v>
      </c>
      <c r="L2357" s="393" t="s">
        <v>6050</v>
      </c>
      <c r="M2357" s="393" t="s">
        <v>5948</v>
      </c>
      <c r="N2357" s="163" t="s">
        <v>6051</v>
      </c>
      <c r="Q2357" s="243"/>
      <c r="R2357" s="92">
        <v>1661.5</v>
      </c>
      <c r="S2357" s="92">
        <v>5148</v>
      </c>
      <c r="T2357" s="92">
        <v>6809.5</v>
      </c>
      <c r="U2357" s="201">
        <v>643.5</v>
      </c>
      <c r="V2357" s="287">
        <f t="shared" ca="1" si="598"/>
        <v>2</v>
      </c>
      <c r="W2357" s="75">
        <f t="shared" ca="1" si="599"/>
        <v>1287</v>
      </c>
      <c r="X2357" s="200">
        <f t="shared" ca="1" si="600"/>
        <v>7453</v>
      </c>
      <c r="Y2357"/>
      <c r="Z2357" s="156">
        <v>0.1</v>
      </c>
      <c r="AA2357" s="227">
        <v>0.1</v>
      </c>
      <c r="AB2357" s="312" t="s">
        <v>7896</v>
      </c>
      <c r="AC2357" s="310">
        <v>43703</v>
      </c>
      <c r="AD2357" s="311">
        <v>0.2</v>
      </c>
      <c r="AE2357" s="312" t="s">
        <v>7919</v>
      </c>
      <c r="AF2357">
        <f t="shared" si="592"/>
        <v>0</v>
      </c>
    </row>
    <row r="2358" spans="1:32" ht="45" hidden="1" x14ac:dyDescent="0.25">
      <c r="A2358" s="332" t="s">
        <v>6052</v>
      </c>
      <c r="B2358" s="93" t="str">
        <f t="shared" si="584"/>
        <v>YES</v>
      </c>
      <c r="C2358" t="s">
        <v>5505</v>
      </c>
      <c r="D2358" s="95">
        <v>43180</v>
      </c>
      <c r="E2358" s="95">
        <v>43252</v>
      </c>
      <c r="F2358" s="2">
        <f t="shared" si="596"/>
        <v>46905</v>
      </c>
      <c r="G2358" s="155">
        <v>630.52</v>
      </c>
      <c r="H2358" s="93" t="s">
        <v>5436</v>
      </c>
      <c r="I2358" s="93" t="s">
        <v>5437</v>
      </c>
      <c r="J2358" s="336" t="s">
        <v>6286</v>
      </c>
      <c r="K2358" s="266">
        <f t="shared" si="597"/>
        <v>2028</v>
      </c>
      <c r="L2358" s="393" t="s">
        <v>6050</v>
      </c>
      <c r="M2358" s="393" t="s">
        <v>5948</v>
      </c>
      <c r="N2358" s="163" t="s">
        <v>6053</v>
      </c>
      <c r="Q2358" s="243"/>
      <c r="R2358" s="92">
        <v>2368.5</v>
      </c>
      <c r="S2358" s="92">
        <v>7572</v>
      </c>
      <c r="T2358" s="92">
        <v>9940.5</v>
      </c>
      <c r="U2358" s="201">
        <v>946.5</v>
      </c>
      <c r="V2358" s="287">
        <f t="shared" ca="1" si="598"/>
        <v>2</v>
      </c>
      <c r="W2358" s="75">
        <f t="shared" ca="1" si="599"/>
        <v>1893</v>
      </c>
      <c r="X2358" s="200">
        <f t="shared" ca="1" si="600"/>
        <v>10887</v>
      </c>
      <c r="Y2358"/>
      <c r="Z2358" s="156">
        <v>0.1</v>
      </c>
      <c r="AA2358" s="227">
        <v>0.1</v>
      </c>
      <c r="AB2358" s="312" t="s">
        <v>7897</v>
      </c>
      <c r="AC2358" s="310">
        <v>43703</v>
      </c>
      <c r="AD2358" s="311">
        <v>0.2</v>
      </c>
      <c r="AE2358" s="312" t="s">
        <v>7919</v>
      </c>
      <c r="AF2358">
        <f t="shared" si="592"/>
        <v>0</v>
      </c>
    </row>
    <row r="2359" spans="1:32" ht="30" hidden="1" x14ac:dyDescent="0.25">
      <c r="A2359" s="332" t="s">
        <v>6054</v>
      </c>
      <c r="B2359" s="93" t="str">
        <f t="shared" si="584"/>
        <v>YES</v>
      </c>
      <c r="C2359" t="s">
        <v>5505</v>
      </c>
      <c r="D2359" s="95">
        <v>43180</v>
      </c>
      <c r="E2359" s="95">
        <v>43252</v>
      </c>
      <c r="F2359" s="2">
        <f t="shared" si="596"/>
        <v>46905</v>
      </c>
      <c r="G2359" s="155">
        <v>160.16999999999999</v>
      </c>
      <c r="H2359" s="93" t="s">
        <v>5436</v>
      </c>
      <c r="I2359" s="93" t="s">
        <v>5437</v>
      </c>
      <c r="J2359" s="336" t="s">
        <v>6286</v>
      </c>
      <c r="K2359" s="266">
        <f t="shared" si="597"/>
        <v>2028</v>
      </c>
      <c r="L2359" s="393" t="s">
        <v>6055</v>
      </c>
      <c r="M2359" s="393" t="s">
        <v>5948</v>
      </c>
      <c r="N2359" s="163" t="s">
        <v>6056</v>
      </c>
      <c r="Q2359" s="243"/>
      <c r="R2359" s="92">
        <v>723.5</v>
      </c>
      <c r="S2359" s="92">
        <v>1449</v>
      </c>
      <c r="T2359" s="92">
        <v>2172.5</v>
      </c>
      <c r="U2359" s="201">
        <v>241.5</v>
      </c>
      <c r="V2359" s="287">
        <f t="shared" ca="1" si="598"/>
        <v>2</v>
      </c>
      <c r="W2359" s="75">
        <f t="shared" ca="1" si="599"/>
        <v>483</v>
      </c>
      <c r="X2359" s="200">
        <f t="shared" ca="1" si="600"/>
        <v>2414</v>
      </c>
      <c r="Y2359"/>
      <c r="Z2359" s="156">
        <v>0.1</v>
      </c>
      <c r="AA2359" s="227">
        <v>0.1</v>
      </c>
      <c r="AB2359" s="312" t="s">
        <v>7898</v>
      </c>
      <c r="AC2359" s="310">
        <v>43703</v>
      </c>
      <c r="AD2359" s="311">
        <v>0.2</v>
      </c>
      <c r="AE2359" s="312" t="s">
        <v>7919</v>
      </c>
      <c r="AF2359">
        <f t="shared" si="592"/>
        <v>0</v>
      </c>
    </row>
    <row r="2360" spans="1:32" ht="30" hidden="1" x14ac:dyDescent="0.25">
      <c r="A2360" s="332" t="s">
        <v>6057</v>
      </c>
      <c r="B2360" s="93" t="str">
        <f t="shared" si="584"/>
        <v>YES</v>
      </c>
      <c r="C2360" t="s">
        <v>5505</v>
      </c>
      <c r="D2360" s="95">
        <v>43180</v>
      </c>
      <c r="E2360" s="95">
        <v>43252</v>
      </c>
      <c r="F2360" s="2">
        <f t="shared" si="596"/>
        <v>46905</v>
      </c>
      <c r="G2360" s="155">
        <v>81.12</v>
      </c>
      <c r="H2360" s="93" t="s">
        <v>5436</v>
      </c>
      <c r="I2360" s="93" t="s">
        <v>5437</v>
      </c>
      <c r="J2360" s="336" t="s">
        <v>6286</v>
      </c>
      <c r="K2360" s="266">
        <f t="shared" si="597"/>
        <v>2028</v>
      </c>
      <c r="L2360" s="393" t="s">
        <v>6055</v>
      </c>
      <c r="M2360" s="393" t="s">
        <v>5948</v>
      </c>
      <c r="N2360" s="163" t="s">
        <v>6058</v>
      </c>
      <c r="Q2360" s="243"/>
      <c r="R2360" s="92">
        <v>447</v>
      </c>
      <c r="S2360" s="92">
        <v>902</v>
      </c>
      <c r="T2360" s="92">
        <v>1349</v>
      </c>
      <c r="U2360" s="201">
        <v>123</v>
      </c>
      <c r="V2360" s="287">
        <f t="shared" ca="1" si="598"/>
        <v>2</v>
      </c>
      <c r="W2360" s="75">
        <f t="shared" ca="1" si="599"/>
        <v>246</v>
      </c>
      <c r="X2360" s="200">
        <f t="shared" ca="1" si="600"/>
        <v>1472</v>
      </c>
      <c r="Y2360"/>
      <c r="Z2360" s="156">
        <v>0.1</v>
      </c>
      <c r="AA2360" s="227">
        <v>0.1</v>
      </c>
      <c r="AB2360" s="312" t="s">
        <v>7899</v>
      </c>
      <c r="AC2360" s="310">
        <v>43703</v>
      </c>
      <c r="AD2360" s="311">
        <v>0.2</v>
      </c>
      <c r="AE2360" s="312" t="s">
        <v>7919</v>
      </c>
      <c r="AF2360">
        <f t="shared" si="592"/>
        <v>0</v>
      </c>
    </row>
    <row r="2361" spans="1:32" ht="45" hidden="1" x14ac:dyDescent="0.25">
      <c r="A2361" s="332" t="s">
        <v>6059</v>
      </c>
      <c r="B2361" s="93" t="str">
        <f t="shared" si="584"/>
        <v>YES</v>
      </c>
      <c r="C2361" t="s">
        <v>5505</v>
      </c>
      <c r="D2361" s="95">
        <v>43180</v>
      </c>
      <c r="E2361" s="95">
        <v>43252</v>
      </c>
      <c r="F2361" s="2">
        <f t="shared" si="596"/>
        <v>46905</v>
      </c>
      <c r="G2361" s="155">
        <v>444.51</v>
      </c>
      <c r="H2361" s="93" t="s">
        <v>5436</v>
      </c>
      <c r="I2361" s="93" t="s">
        <v>5437</v>
      </c>
      <c r="J2361" s="336" t="s">
        <v>6286</v>
      </c>
      <c r="K2361" s="266">
        <f t="shared" si="597"/>
        <v>2028</v>
      </c>
      <c r="L2361" s="393" t="s">
        <v>6050</v>
      </c>
      <c r="M2361" s="393" t="s">
        <v>5957</v>
      </c>
      <c r="N2361" s="163" t="s">
        <v>6060</v>
      </c>
      <c r="Q2361" s="243"/>
      <c r="R2361" s="92">
        <v>1717.5</v>
      </c>
      <c r="S2361" s="92">
        <v>5340</v>
      </c>
      <c r="T2361" s="92">
        <v>7057.5</v>
      </c>
      <c r="U2361" s="201">
        <v>667.5</v>
      </c>
      <c r="V2361" s="287">
        <f t="shared" ca="1" si="598"/>
        <v>2</v>
      </c>
      <c r="W2361" s="75">
        <f t="shared" ca="1" si="599"/>
        <v>1335</v>
      </c>
      <c r="X2361" s="200">
        <f t="shared" ca="1" si="600"/>
        <v>7725</v>
      </c>
      <c r="Y2361"/>
      <c r="Z2361" s="156">
        <v>0.1</v>
      </c>
      <c r="AA2361" s="227">
        <v>0.1</v>
      </c>
      <c r="AB2361" s="312" t="s">
        <v>7900</v>
      </c>
      <c r="AC2361" s="310">
        <v>43703</v>
      </c>
      <c r="AD2361" s="311">
        <v>0.2</v>
      </c>
      <c r="AE2361" s="312" t="s">
        <v>7919</v>
      </c>
      <c r="AF2361">
        <f t="shared" si="592"/>
        <v>0</v>
      </c>
    </row>
    <row r="2362" spans="1:32" ht="45" hidden="1" x14ac:dyDescent="0.25">
      <c r="A2362" s="332" t="s">
        <v>6061</v>
      </c>
      <c r="B2362" s="93" t="str">
        <f t="shared" si="584"/>
        <v>YES</v>
      </c>
      <c r="C2362" t="s">
        <v>5505</v>
      </c>
      <c r="D2362" s="95">
        <v>43180</v>
      </c>
      <c r="E2362" s="95">
        <v>43252</v>
      </c>
      <c r="F2362" s="2">
        <f t="shared" si="596"/>
        <v>46905</v>
      </c>
      <c r="G2362" s="155">
        <v>320</v>
      </c>
      <c r="H2362" s="93" t="s">
        <v>6062</v>
      </c>
      <c r="I2362" s="93" t="s">
        <v>5437</v>
      </c>
      <c r="J2362" s="336" t="s">
        <v>6286</v>
      </c>
      <c r="K2362" s="266">
        <f t="shared" si="597"/>
        <v>2028</v>
      </c>
      <c r="L2362" s="393" t="s">
        <v>6063</v>
      </c>
      <c r="M2362" s="393" t="s">
        <v>6064</v>
      </c>
      <c r="N2362" s="163" t="s">
        <v>6065</v>
      </c>
      <c r="Q2362" s="243"/>
      <c r="R2362" s="182">
        <v>1280</v>
      </c>
      <c r="S2362" s="182">
        <v>320</v>
      </c>
      <c r="T2362" s="182">
        <v>1600</v>
      </c>
      <c r="U2362" s="201">
        <v>480</v>
      </c>
      <c r="V2362" s="287">
        <f t="shared" ca="1" si="598"/>
        <v>2</v>
      </c>
      <c r="W2362" s="75">
        <f t="shared" ca="1" si="599"/>
        <v>960</v>
      </c>
      <c r="X2362" s="200">
        <f t="shared" ca="1" si="600"/>
        <v>2080</v>
      </c>
      <c r="Y2362"/>
      <c r="Z2362" s="156">
        <v>0.1</v>
      </c>
      <c r="AA2362" s="227">
        <v>0.1</v>
      </c>
      <c r="AB2362" s="312" t="s">
        <v>7408</v>
      </c>
      <c r="AC2362" s="310">
        <v>43535</v>
      </c>
      <c r="AD2362" s="311">
        <v>0.25</v>
      </c>
      <c r="AE2362" s="312" t="s">
        <v>7513</v>
      </c>
      <c r="AF2362">
        <f t="shared" si="592"/>
        <v>0</v>
      </c>
    </row>
    <row r="2363" spans="1:32" hidden="1" x14ac:dyDescent="0.25">
      <c r="A2363" s="334"/>
      <c r="C2363"/>
      <c r="D2363" s="95"/>
      <c r="E2363" s="95"/>
      <c r="F2363" s="95"/>
      <c r="G2363" s="155"/>
      <c r="I2363" s="93"/>
      <c r="J2363" s="166"/>
      <c r="K2363" s="166"/>
      <c r="L2363" s="393"/>
      <c r="M2363" s="393"/>
      <c r="N2363" s="163" t="s">
        <v>5934</v>
      </c>
      <c r="Q2363" s="243"/>
      <c r="R2363" s="158">
        <v>13860.5</v>
      </c>
      <c r="S2363" s="158">
        <v>44991</v>
      </c>
      <c r="T2363" s="158">
        <v>58851.5</v>
      </c>
      <c r="Y2363"/>
      <c r="Z2363" s="156"/>
      <c r="AA2363" s="227"/>
      <c r="AF2363">
        <f t="shared" si="592"/>
        <v>0</v>
      </c>
    </row>
    <row r="2364" spans="1:32" ht="15.75" hidden="1" thickTop="1" x14ac:dyDescent="0.25">
      <c r="A2364" s="334"/>
      <c r="C2364"/>
      <c r="E2364" s="93"/>
      <c r="F2364" s="93"/>
      <c r="G2364" s="155"/>
      <c r="I2364" s="93"/>
      <c r="J2364" s="166"/>
      <c r="K2364" s="166"/>
      <c r="L2364" s="393"/>
      <c r="M2364" s="393"/>
      <c r="N2364" s="163" t="s">
        <v>5934</v>
      </c>
      <c r="Q2364" s="245"/>
      <c r="R2364" s="160"/>
      <c r="S2364" s="160"/>
      <c r="T2364" s="160"/>
      <c r="Y2364"/>
      <c r="Z2364" s="156"/>
      <c r="AA2364" s="227"/>
      <c r="AF2364">
        <f t="shared" si="592"/>
        <v>0</v>
      </c>
    </row>
    <row r="2365" spans="1:32" hidden="1" x14ac:dyDescent="0.25">
      <c r="A2365" s="332" t="s">
        <v>6066</v>
      </c>
      <c r="B2365" s="93" t="str">
        <f t="shared" si="584"/>
        <v>YES</v>
      </c>
      <c r="C2365" t="s">
        <v>5505</v>
      </c>
      <c r="D2365" s="95">
        <v>42985</v>
      </c>
      <c r="E2365" s="95">
        <v>43191</v>
      </c>
      <c r="F2365" s="2">
        <f t="shared" ref="F2365:F2375" si="601">DATE(YEAR(E2365)+10,MONTH(E2365),DAY(E2365))</f>
        <v>46844</v>
      </c>
      <c r="G2365" s="155">
        <v>320</v>
      </c>
      <c r="H2365" s="7" t="s">
        <v>892</v>
      </c>
      <c r="I2365" s="93" t="s">
        <v>512</v>
      </c>
      <c r="J2365" s="166"/>
      <c r="K2365" s="266">
        <f t="shared" ref="K2365:K2375" si="602">YEAR(F2365)</f>
        <v>2028</v>
      </c>
      <c r="L2365" s="393" t="s">
        <v>6067</v>
      </c>
      <c r="M2365" s="393" t="s">
        <v>6068</v>
      </c>
      <c r="N2365" s="163" t="s">
        <v>7545</v>
      </c>
      <c r="O2365" s="166" t="s">
        <v>7544</v>
      </c>
      <c r="Q2365" s="243" t="s">
        <v>7980</v>
      </c>
      <c r="R2365" s="144">
        <v>1280</v>
      </c>
      <c r="S2365" s="144">
        <v>640</v>
      </c>
      <c r="T2365" s="144">
        <v>1920</v>
      </c>
      <c r="U2365" s="201">
        <v>480</v>
      </c>
      <c r="V2365" s="287">
        <f t="shared" ref="V2365:V2375" ca="1" si="603">IF(YEAR($W$3)-YEAR(E2365)&gt;9,10,IF(MONTH($W$3)&lt;MONTH(E2365),YEAR($W$3)-YEAR(E2365),YEAR($W$3)-YEAR(E2365)+1))</f>
        <v>2</v>
      </c>
      <c r="W2365" s="75">
        <f t="shared" ref="W2365:W2375" ca="1" si="604">IF(V2365&lt;6, ROUNDUP(G2365,0)*$W$6*V2365, ROUNDUP(G2365,0)*($W$6*5 + (V2365-5)*$W$7))</f>
        <v>960</v>
      </c>
      <c r="X2365" s="200">
        <f t="shared" ref="X2365:X2375" ca="1" si="605">IF(V2365=0,T2365,((T2365-ROUNDUP(G2365,0)*1.5)+W2365))</f>
        <v>2400</v>
      </c>
      <c r="Y2365"/>
      <c r="Z2365" s="156">
        <v>0.1</v>
      </c>
      <c r="AA2365" s="227">
        <v>0.1</v>
      </c>
      <c r="AB2365" s="312" t="s">
        <v>7850</v>
      </c>
      <c r="AF2365">
        <f t="shared" si="592"/>
        <v>0</v>
      </c>
    </row>
    <row r="2366" spans="1:32" hidden="1" x14ac:dyDescent="0.25">
      <c r="A2366" s="332" t="s">
        <v>6069</v>
      </c>
      <c r="B2366" s="93" t="str">
        <f t="shared" si="584"/>
        <v>YES</v>
      </c>
      <c r="C2366" t="s">
        <v>5505</v>
      </c>
      <c r="D2366" s="95">
        <v>42985</v>
      </c>
      <c r="E2366" s="95">
        <v>43191</v>
      </c>
      <c r="F2366" s="2">
        <f t="shared" si="601"/>
        <v>46844</v>
      </c>
      <c r="G2366" s="155">
        <v>120</v>
      </c>
      <c r="H2366" s="7" t="s">
        <v>892</v>
      </c>
      <c r="I2366" s="93" t="s">
        <v>512</v>
      </c>
      <c r="J2366" s="166"/>
      <c r="K2366" s="266">
        <f t="shared" si="602"/>
        <v>2028</v>
      </c>
      <c r="L2366" s="393" t="s">
        <v>6070</v>
      </c>
      <c r="M2366" s="393" t="s">
        <v>6071</v>
      </c>
      <c r="N2366" s="163" t="s">
        <v>7546</v>
      </c>
      <c r="O2366" s="166" t="s">
        <v>7547</v>
      </c>
      <c r="Q2366" s="243" t="s">
        <v>7981</v>
      </c>
      <c r="R2366" s="144">
        <v>580</v>
      </c>
      <c r="S2366" s="144">
        <v>1800</v>
      </c>
      <c r="T2366" s="144">
        <v>2380</v>
      </c>
      <c r="U2366" s="201">
        <v>180</v>
      </c>
      <c r="V2366" s="287">
        <f t="shared" ca="1" si="603"/>
        <v>2</v>
      </c>
      <c r="W2366" s="75">
        <f t="shared" ca="1" si="604"/>
        <v>360</v>
      </c>
      <c r="X2366" s="200">
        <f t="shared" ca="1" si="605"/>
        <v>2560</v>
      </c>
      <c r="Y2366"/>
      <c r="Z2366" s="156">
        <v>0.1</v>
      </c>
      <c r="AA2366" s="227">
        <v>0.1</v>
      </c>
      <c r="AB2366" s="312" t="s">
        <v>7850</v>
      </c>
      <c r="AF2366">
        <f t="shared" si="592"/>
        <v>0</v>
      </c>
    </row>
    <row r="2367" spans="1:32" hidden="1" x14ac:dyDescent="0.25">
      <c r="A2367" s="332" t="s">
        <v>6072</v>
      </c>
      <c r="B2367" s="93" t="str">
        <f t="shared" si="584"/>
        <v>YES</v>
      </c>
      <c r="C2367" t="s">
        <v>5505</v>
      </c>
      <c r="D2367" s="95">
        <v>42985</v>
      </c>
      <c r="E2367" s="95">
        <v>43191</v>
      </c>
      <c r="F2367" s="2">
        <f t="shared" si="601"/>
        <v>46844</v>
      </c>
      <c r="G2367" s="155">
        <v>40</v>
      </c>
      <c r="H2367" s="7" t="s">
        <v>892</v>
      </c>
      <c r="I2367" s="93" t="s">
        <v>512</v>
      </c>
      <c r="J2367" s="166"/>
      <c r="K2367" s="266">
        <f t="shared" si="602"/>
        <v>2028</v>
      </c>
      <c r="L2367" s="393" t="s">
        <v>6070</v>
      </c>
      <c r="M2367" s="393" t="s">
        <v>6071</v>
      </c>
      <c r="N2367" s="163" t="s">
        <v>7548</v>
      </c>
      <c r="O2367" s="166" t="s">
        <v>7549</v>
      </c>
      <c r="Q2367" s="243" t="s">
        <v>7982</v>
      </c>
      <c r="R2367" s="144">
        <v>300</v>
      </c>
      <c r="S2367" s="144">
        <v>1040</v>
      </c>
      <c r="T2367" s="144">
        <v>1340</v>
      </c>
      <c r="U2367" s="201">
        <v>60</v>
      </c>
      <c r="V2367" s="287">
        <f t="shared" ca="1" si="603"/>
        <v>2</v>
      </c>
      <c r="W2367" s="75">
        <f t="shared" ca="1" si="604"/>
        <v>120</v>
      </c>
      <c r="X2367" s="200">
        <f t="shared" ca="1" si="605"/>
        <v>1400</v>
      </c>
      <c r="Y2367"/>
      <c r="Z2367" s="156">
        <v>0.1</v>
      </c>
      <c r="AA2367" s="227">
        <v>0.1</v>
      </c>
      <c r="AB2367" s="312" t="s">
        <v>7850</v>
      </c>
      <c r="AF2367">
        <f t="shared" si="592"/>
        <v>0</v>
      </c>
    </row>
    <row r="2368" spans="1:32" hidden="1" x14ac:dyDescent="0.25">
      <c r="A2368" s="332" t="s">
        <v>6073</v>
      </c>
      <c r="B2368" s="93" t="str">
        <f t="shared" si="584"/>
        <v>YES</v>
      </c>
      <c r="C2368" t="s">
        <v>5505</v>
      </c>
      <c r="D2368" s="95">
        <v>42985</v>
      </c>
      <c r="E2368" s="95">
        <v>43191</v>
      </c>
      <c r="F2368" s="2">
        <f t="shared" si="601"/>
        <v>46844</v>
      </c>
      <c r="G2368" s="155">
        <v>320.05</v>
      </c>
      <c r="H2368" s="7" t="s">
        <v>892</v>
      </c>
      <c r="I2368" s="93" t="s">
        <v>512</v>
      </c>
      <c r="J2368" s="166"/>
      <c r="K2368" s="266">
        <f t="shared" si="602"/>
        <v>2028</v>
      </c>
      <c r="L2368" s="393" t="s">
        <v>6074</v>
      </c>
      <c r="M2368" s="393" t="s">
        <v>6071</v>
      </c>
      <c r="N2368" s="163" t="s">
        <v>7550</v>
      </c>
      <c r="O2368" s="166" t="s">
        <v>7551</v>
      </c>
      <c r="Q2368" s="243" t="s">
        <v>7983</v>
      </c>
      <c r="R2368" s="144">
        <v>1283.5</v>
      </c>
      <c r="S2368" s="144">
        <v>7704</v>
      </c>
      <c r="T2368" s="144">
        <v>8987.5</v>
      </c>
      <c r="U2368" s="201">
        <v>481.5</v>
      </c>
      <c r="V2368" s="287">
        <f t="shared" ca="1" si="603"/>
        <v>2</v>
      </c>
      <c r="W2368" s="75">
        <f t="shared" ca="1" si="604"/>
        <v>963</v>
      </c>
      <c r="X2368" s="200">
        <f t="shared" ca="1" si="605"/>
        <v>9469</v>
      </c>
      <c r="Y2368"/>
      <c r="Z2368" s="156">
        <v>0.1</v>
      </c>
      <c r="AA2368" s="227">
        <v>0.1</v>
      </c>
      <c r="AB2368" s="312" t="s">
        <v>7850</v>
      </c>
      <c r="AF2368">
        <f t="shared" si="592"/>
        <v>0</v>
      </c>
    </row>
    <row r="2369" spans="1:32" hidden="1" x14ac:dyDescent="0.25">
      <c r="A2369" s="332" t="s">
        <v>6075</v>
      </c>
      <c r="B2369" s="93" t="str">
        <f t="shared" si="584"/>
        <v>YES</v>
      </c>
      <c r="C2369" t="s">
        <v>5505</v>
      </c>
      <c r="D2369" s="95">
        <v>42985</v>
      </c>
      <c r="E2369" s="95">
        <v>43191</v>
      </c>
      <c r="F2369" s="2">
        <f t="shared" si="601"/>
        <v>46844</v>
      </c>
      <c r="G2369" s="155">
        <v>80</v>
      </c>
      <c r="H2369" s="93" t="s">
        <v>899</v>
      </c>
      <c r="I2369" s="93" t="s">
        <v>512</v>
      </c>
      <c r="J2369" s="166"/>
      <c r="K2369" s="266">
        <f t="shared" si="602"/>
        <v>2028</v>
      </c>
      <c r="L2369" s="393" t="s">
        <v>6076</v>
      </c>
      <c r="M2369" s="393" t="s">
        <v>6077</v>
      </c>
      <c r="N2369" s="163" t="s">
        <v>7552</v>
      </c>
      <c r="O2369" s="166" t="s">
        <v>7553</v>
      </c>
      <c r="Q2369" s="243" t="s">
        <v>7984</v>
      </c>
      <c r="R2369" s="144">
        <v>440</v>
      </c>
      <c r="S2369" s="144">
        <v>25200</v>
      </c>
      <c r="T2369" s="144">
        <v>25640</v>
      </c>
      <c r="U2369" s="201">
        <v>120</v>
      </c>
      <c r="V2369" s="287">
        <f t="shared" ca="1" si="603"/>
        <v>2</v>
      </c>
      <c r="W2369" s="75">
        <f t="shared" ca="1" si="604"/>
        <v>240</v>
      </c>
      <c r="X2369" s="200">
        <f t="shared" ca="1" si="605"/>
        <v>25760</v>
      </c>
      <c r="Y2369"/>
      <c r="Z2369" s="156">
        <v>0.1</v>
      </c>
      <c r="AA2369" s="227">
        <v>0.1</v>
      </c>
      <c r="AB2369" s="312" t="s">
        <v>7848</v>
      </c>
      <c r="AC2369" s="310">
        <v>43843</v>
      </c>
      <c r="AD2369" s="311">
        <v>0.25</v>
      </c>
      <c r="AE2369" s="312" t="s">
        <v>8239</v>
      </c>
      <c r="AF2369">
        <f t="shared" si="592"/>
        <v>0</v>
      </c>
    </row>
    <row r="2370" spans="1:32" hidden="1" x14ac:dyDescent="0.25">
      <c r="A2370" s="332" t="s">
        <v>6078</v>
      </c>
      <c r="B2370" s="93" t="str">
        <f t="shared" si="584"/>
        <v>YES</v>
      </c>
      <c r="C2370" t="s">
        <v>5505</v>
      </c>
      <c r="D2370" s="95">
        <v>42985</v>
      </c>
      <c r="E2370" s="95">
        <v>43191</v>
      </c>
      <c r="F2370" s="2">
        <f t="shared" si="601"/>
        <v>46844</v>
      </c>
      <c r="G2370" s="155">
        <v>160</v>
      </c>
      <c r="H2370" s="93" t="s">
        <v>899</v>
      </c>
      <c r="I2370" s="93" t="s">
        <v>512</v>
      </c>
      <c r="J2370" s="166"/>
      <c r="K2370" s="266">
        <f t="shared" si="602"/>
        <v>2028</v>
      </c>
      <c r="L2370" s="393" t="s">
        <v>6079</v>
      </c>
      <c r="M2370" s="393" t="s">
        <v>6080</v>
      </c>
      <c r="N2370" s="163" t="s">
        <v>7554</v>
      </c>
      <c r="O2370" s="166" t="s">
        <v>7555</v>
      </c>
      <c r="Q2370" s="243" t="s">
        <v>7985</v>
      </c>
      <c r="R2370" s="144">
        <v>720</v>
      </c>
      <c r="S2370" s="144">
        <v>35200</v>
      </c>
      <c r="T2370" s="144">
        <v>35920</v>
      </c>
      <c r="U2370" s="201">
        <v>240</v>
      </c>
      <c r="V2370" s="287">
        <f t="shared" ca="1" si="603"/>
        <v>2</v>
      </c>
      <c r="W2370" s="75">
        <f t="shared" ca="1" si="604"/>
        <v>480</v>
      </c>
      <c r="X2370" s="200">
        <f t="shared" ca="1" si="605"/>
        <v>36160</v>
      </c>
      <c r="Y2370"/>
      <c r="Z2370" s="156">
        <v>0.1</v>
      </c>
      <c r="AA2370" s="227">
        <v>0.1</v>
      </c>
      <c r="AB2370" s="312" t="s">
        <v>7848</v>
      </c>
      <c r="AC2370" s="310">
        <v>43843</v>
      </c>
      <c r="AD2370" s="311">
        <v>0.25</v>
      </c>
      <c r="AE2370" s="312" t="s">
        <v>8239</v>
      </c>
      <c r="AF2370">
        <f t="shared" si="592"/>
        <v>0</v>
      </c>
    </row>
    <row r="2371" spans="1:32" hidden="1" x14ac:dyDescent="0.25">
      <c r="A2371" s="332" t="s">
        <v>6081</v>
      </c>
      <c r="B2371" s="93" t="str">
        <f t="shared" si="584"/>
        <v>YES</v>
      </c>
      <c r="C2371" t="s">
        <v>5505</v>
      </c>
      <c r="D2371" s="95">
        <v>42985</v>
      </c>
      <c r="E2371" s="95">
        <v>43191</v>
      </c>
      <c r="F2371" s="2">
        <f t="shared" si="601"/>
        <v>46844</v>
      </c>
      <c r="G2371" s="155">
        <v>240</v>
      </c>
      <c r="H2371" s="93" t="s">
        <v>899</v>
      </c>
      <c r="I2371" s="93" t="s">
        <v>512</v>
      </c>
      <c r="J2371" s="166"/>
      <c r="K2371" s="266">
        <f t="shared" si="602"/>
        <v>2028</v>
      </c>
      <c r="L2371" s="393" t="s">
        <v>6079</v>
      </c>
      <c r="M2371" s="393" t="s">
        <v>6080</v>
      </c>
      <c r="N2371" s="163" t="s">
        <v>7556</v>
      </c>
      <c r="O2371" s="166" t="s">
        <v>7557</v>
      </c>
      <c r="Q2371" s="243" t="s">
        <v>7986</v>
      </c>
      <c r="R2371" s="144">
        <v>1000</v>
      </c>
      <c r="S2371" s="144">
        <v>56880</v>
      </c>
      <c r="T2371" s="144">
        <v>57880</v>
      </c>
      <c r="U2371" s="201">
        <v>360</v>
      </c>
      <c r="V2371" s="287">
        <f t="shared" ca="1" si="603"/>
        <v>2</v>
      </c>
      <c r="W2371" s="75">
        <f t="shared" ca="1" si="604"/>
        <v>720</v>
      </c>
      <c r="X2371" s="200">
        <f t="shared" ca="1" si="605"/>
        <v>58240</v>
      </c>
      <c r="Y2371"/>
      <c r="Z2371" s="156">
        <v>0.1</v>
      </c>
      <c r="AA2371" s="227">
        <v>0.1</v>
      </c>
      <c r="AB2371" s="312" t="s">
        <v>7848</v>
      </c>
      <c r="AC2371" s="310">
        <v>43843</v>
      </c>
      <c r="AD2371" s="311">
        <v>0.25</v>
      </c>
      <c r="AE2371" s="312" t="s">
        <v>8239</v>
      </c>
      <c r="AF2371">
        <f t="shared" si="592"/>
        <v>0</v>
      </c>
    </row>
    <row r="2372" spans="1:32" hidden="1" x14ac:dyDescent="0.25">
      <c r="A2372" s="332" t="s">
        <v>6082</v>
      </c>
      <c r="B2372" s="93" t="str">
        <f t="shared" si="584"/>
        <v>YES</v>
      </c>
      <c r="C2372" t="s">
        <v>5505</v>
      </c>
      <c r="D2372" s="95">
        <v>42985</v>
      </c>
      <c r="E2372" s="95">
        <v>43191</v>
      </c>
      <c r="F2372" s="2">
        <f t="shared" si="601"/>
        <v>46844</v>
      </c>
      <c r="G2372" s="155">
        <v>200</v>
      </c>
      <c r="H2372" s="93" t="s">
        <v>899</v>
      </c>
      <c r="I2372" s="93" t="s">
        <v>512</v>
      </c>
      <c r="J2372" s="166"/>
      <c r="K2372" s="266">
        <f t="shared" si="602"/>
        <v>2028</v>
      </c>
      <c r="L2372" s="393" t="s">
        <v>6083</v>
      </c>
      <c r="M2372" s="393" t="s">
        <v>6080</v>
      </c>
      <c r="N2372" s="163" t="s">
        <v>7558</v>
      </c>
      <c r="O2372" s="166" t="s">
        <v>7559</v>
      </c>
      <c r="Q2372" s="243" t="s">
        <v>7987</v>
      </c>
      <c r="R2372" s="144">
        <v>860</v>
      </c>
      <c r="S2372" s="144">
        <v>59800</v>
      </c>
      <c r="T2372" s="144">
        <v>60660</v>
      </c>
      <c r="U2372" s="201">
        <v>300</v>
      </c>
      <c r="V2372" s="287">
        <f t="shared" ca="1" si="603"/>
        <v>2</v>
      </c>
      <c r="W2372" s="75">
        <f t="shared" ca="1" si="604"/>
        <v>600</v>
      </c>
      <c r="X2372" s="200">
        <f t="shared" ca="1" si="605"/>
        <v>60960</v>
      </c>
      <c r="Y2372"/>
      <c r="Z2372" s="156">
        <v>0.1</v>
      </c>
      <c r="AA2372" s="227">
        <v>0.1</v>
      </c>
      <c r="AB2372" s="312" t="s">
        <v>7848</v>
      </c>
      <c r="AC2372" s="310">
        <v>43843</v>
      </c>
      <c r="AD2372" s="311">
        <v>0.25</v>
      </c>
      <c r="AE2372" s="312" t="s">
        <v>8239</v>
      </c>
      <c r="AF2372">
        <f t="shared" si="592"/>
        <v>0</v>
      </c>
    </row>
    <row r="2373" spans="1:32" hidden="1" x14ac:dyDescent="0.25">
      <c r="A2373" s="332" t="s">
        <v>6084</v>
      </c>
      <c r="B2373" s="93" t="str">
        <f t="shared" si="584"/>
        <v>YES</v>
      </c>
      <c r="C2373" t="s">
        <v>5505</v>
      </c>
      <c r="D2373" s="95">
        <v>42985</v>
      </c>
      <c r="E2373" s="95">
        <v>43191</v>
      </c>
      <c r="F2373" s="2">
        <f t="shared" si="601"/>
        <v>46844</v>
      </c>
      <c r="G2373" s="155">
        <v>320</v>
      </c>
      <c r="H2373" s="93" t="s">
        <v>899</v>
      </c>
      <c r="I2373" s="93" t="s">
        <v>512</v>
      </c>
      <c r="J2373" s="166"/>
      <c r="K2373" s="266">
        <f t="shared" si="602"/>
        <v>2028</v>
      </c>
      <c r="L2373" s="393" t="s">
        <v>6083</v>
      </c>
      <c r="M2373" s="393" t="s">
        <v>6080</v>
      </c>
      <c r="N2373" s="163" t="s">
        <v>7560</v>
      </c>
      <c r="O2373" s="166" t="s">
        <v>7561</v>
      </c>
      <c r="Q2373" s="243" t="s">
        <v>7988</v>
      </c>
      <c r="R2373" s="144">
        <v>1280</v>
      </c>
      <c r="S2373" s="144">
        <v>127680</v>
      </c>
      <c r="T2373" s="144">
        <v>128960</v>
      </c>
      <c r="U2373" s="201">
        <v>480</v>
      </c>
      <c r="V2373" s="287">
        <f t="shared" ca="1" si="603"/>
        <v>2</v>
      </c>
      <c r="W2373" s="75">
        <f t="shared" ca="1" si="604"/>
        <v>960</v>
      </c>
      <c r="X2373" s="200">
        <f t="shared" ca="1" si="605"/>
        <v>129440</v>
      </c>
      <c r="Y2373"/>
      <c r="Z2373" s="156">
        <v>0.1</v>
      </c>
      <c r="AA2373" s="227">
        <v>0.1</v>
      </c>
      <c r="AB2373" s="312" t="s">
        <v>7848</v>
      </c>
      <c r="AC2373" s="310">
        <v>43843</v>
      </c>
      <c r="AD2373" s="311">
        <v>0.25</v>
      </c>
      <c r="AE2373" s="312" t="s">
        <v>8239</v>
      </c>
      <c r="AF2373">
        <f t="shared" si="592"/>
        <v>0</v>
      </c>
    </row>
    <row r="2374" spans="1:32" ht="26.25" hidden="1" x14ac:dyDescent="0.25">
      <c r="A2374" s="332" t="s">
        <v>6085</v>
      </c>
      <c r="B2374" s="93" t="str">
        <f t="shared" si="584"/>
        <v>YES</v>
      </c>
      <c r="C2374" t="s">
        <v>5505</v>
      </c>
      <c r="D2374" s="95">
        <v>42985</v>
      </c>
      <c r="E2374" s="95">
        <v>43191</v>
      </c>
      <c r="F2374" s="2">
        <f t="shared" si="601"/>
        <v>46844</v>
      </c>
      <c r="G2374" s="155">
        <v>376.15</v>
      </c>
      <c r="H2374" s="93" t="s">
        <v>899</v>
      </c>
      <c r="I2374" s="93" t="s">
        <v>512</v>
      </c>
      <c r="J2374" s="166"/>
      <c r="K2374" s="266">
        <f t="shared" si="602"/>
        <v>2028</v>
      </c>
      <c r="L2374" s="393" t="s">
        <v>6083</v>
      </c>
      <c r="M2374" s="393" t="s">
        <v>6080</v>
      </c>
      <c r="N2374" s="163" t="s">
        <v>7560</v>
      </c>
      <c r="O2374" s="166" t="s">
        <v>7562</v>
      </c>
      <c r="Q2374" s="243" t="s">
        <v>7989</v>
      </c>
      <c r="R2374" s="144">
        <v>1479.5</v>
      </c>
      <c r="S2374" s="144">
        <v>131573</v>
      </c>
      <c r="T2374" s="144">
        <v>133052.5</v>
      </c>
      <c r="U2374" s="201">
        <v>565.5</v>
      </c>
      <c r="V2374" s="287">
        <f t="shared" ca="1" si="603"/>
        <v>2</v>
      </c>
      <c r="W2374" s="75">
        <f t="shared" ca="1" si="604"/>
        <v>1131</v>
      </c>
      <c r="X2374" s="200">
        <f t="shared" ca="1" si="605"/>
        <v>133618</v>
      </c>
      <c r="Y2374"/>
      <c r="Z2374" s="156">
        <v>0.1</v>
      </c>
      <c r="AA2374" s="227">
        <v>0.1</v>
      </c>
      <c r="AB2374" s="312" t="s">
        <v>7848</v>
      </c>
      <c r="AC2374" s="310">
        <v>43843</v>
      </c>
      <c r="AD2374" s="311">
        <v>0.25</v>
      </c>
      <c r="AE2374" s="312" t="s">
        <v>8239</v>
      </c>
      <c r="AF2374">
        <f t="shared" si="592"/>
        <v>0</v>
      </c>
    </row>
    <row r="2375" spans="1:32" ht="26.25" hidden="1" x14ac:dyDescent="0.25">
      <c r="A2375" s="332" t="s">
        <v>6086</v>
      </c>
      <c r="B2375" s="93" t="str">
        <f t="shared" si="584"/>
        <v>YES</v>
      </c>
      <c r="C2375" t="s">
        <v>5505</v>
      </c>
      <c r="D2375" s="95">
        <v>42985</v>
      </c>
      <c r="E2375" s="95">
        <v>43191</v>
      </c>
      <c r="F2375" s="2">
        <f t="shared" si="601"/>
        <v>46844</v>
      </c>
      <c r="G2375" s="155">
        <v>275.8</v>
      </c>
      <c r="H2375" s="93" t="s">
        <v>899</v>
      </c>
      <c r="I2375" s="93" t="s">
        <v>512</v>
      </c>
      <c r="J2375" s="336" t="s">
        <v>7497</v>
      </c>
      <c r="K2375" s="266">
        <f t="shared" si="602"/>
        <v>2028</v>
      </c>
      <c r="L2375" s="393" t="s">
        <v>6083</v>
      </c>
      <c r="M2375" s="393" t="s">
        <v>6080</v>
      </c>
      <c r="N2375" s="163" t="s">
        <v>7991</v>
      </c>
      <c r="O2375" s="166" t="s">
        <v>7992</v>
      </c>
      <c r="Q2375" s="243" t="s">
        <v>7990</v>
      </c>
      <c r="R2375" s="183">
        <v>1126</v>
      </c>
      <c r="S2375" s="183">
        <v>110124</v>
      </c>
      <c r="T2375" s="183">
        <v>111250</v>
      </c>
      <c r="U2375" s="201">
        <v>414</v>
      </c>
      <c r="V2375" s="287">
        <f t="shared" ca="1" si="603"/>
        <v>2</v>
      </c>
      <c r="W2375" s="75">
        <f t="shared" ca="1" si="604"/>
        <v>828</v>
      </c>
      <c r="X2375" s="200">
        <f t="shared" ca="1" si="605"/>
        <v>111664</v>
      </c>
      <c r="Y2375"/>
      <c r="Z2375" s="156">
        <v>0.1</v>
      </c>
      <c r="AA2375" s="227">
        <v>0.1</v>
      </c>
      <c r="AB2375" s="312" t="s">
        <v>7848</v>
      </c>
      <c r="AF2375">
        <f t="shared" si="592"/>
        <v>0</v>
      </c>
    </row>
    <row r="2376" spans="1:32" hidden="1" x14ac:dyDescent="0.25">
      <c r="A2376" s="334"/>
      <c r="C2376"/>
      <c r="D2376" s="95"/>
      <c r="E2376" s="95"/>
      <c r="F2376" s="95"/>
      <c r="G2376" s="155"/>
      <c r="I2376" s="93"/>
      <c r="J2376" s="166"/>
      <c r="K2376" s="166"/>
      <c r="L2376" s="393"/>
      <c r="M2376" s="393"/>
      <c r="N2376" s="163" t="s">
        <v>5934</v>
      </c>
      <c r="Q2376" s="243"/>
      <c r="R2376" s="158">
        <v>10349</v>
      </c>
      <c r="S2376" s="158">
        <v>557641</v>
      </c>
      <c r="T2376" s="158">
        <v>567990</v>
      </c>
      <c r="Y2376"/>
      <c r="Z2376" s="156"/>
      <c r="AA2376" s="227"/>
      <c r="AF2376">
        <f t="shared" si="592"/>
        <v>0</v>
      </c>
    </row>
    <row r="2377" spans="1:32" ht="15.75" hidden="1" thickTop="1" x14ac:dyDescent="0.25">
      <c r="A2377" s="334"/>
      <c r="C2377"/>
      <c r="D2377" s="95"/>
      <c r="E2377" s="95"/>
      <c r="F2377" s="95"/>
      <c r="G2377" s="155"/>
      <c r="I2377" s="93"/>
      <c r="J2377" s="166"/>
      <c r="K2377" s="166"/>
      <c r="L2377" s="393"/>
      <c r="M2377" s="393"/>
      <c r="N2377" s="163" t="s">
        <v>5934</v>
      </c>
      <c r="Q2377" s="243"/>
      <c r="R2377" s="160"/>
      <c r="S2377" s="160"/>
      <c r="T2377" s="160"/>
      <c r="Y2377"/>
      <c r="Z2377" s="156"/>
      <c r="AA2377" s="227"/>
      <c r="AF2377">
        <f t="shared" si="592"/>
        <v>0</v>
      </c>
    </row>
    <row r="2378" spans="1:32" ht="30" hidden="1" x14ac:dyDescent="0.25">
      <c r="A2378" s="332" t="s">
        <v>6087</v>
      </c>
      <c r="B2378" s="93" t="str">
        <f t="shared" si="584"/>
        <v>YES</v>
      </c>
      <c r="C2378" t="s">
        <v>5505</v>
      </c>
      <c r="D2378" s="95">
        <v>43171</v>
      </c>
      <c r="E2378" s="95">
        <v>43221</v>
      </c>
      <c r="F2378" s="2">
        <f t="shared" ref="F2378:F2387" si="606">DATE(YEAR(E2378)+10,MONTH(E2378),DAY(E2378))</f>
        <v>46874</v>
      </c>
      <c r="G2378" s="155">
        <v>480</v>
      </c>
      <c r="H2378" s="93" t="s">
        <v>6088</v>
      </c>
      <c r="I2378" s="93" t="s">
        <v>5622</v>
      </c>
      <c r="J2378" s="337" t="s">
        <v>6285</v>
      </c>
      <c r="K2378" s="266">
        <f t="shared" ref="K2378:K2387" si="607">YEAR(F2378)</f>
        <v>2028</v>
      </c>
      <c r="L2378" s="393" t="s">
        <v>5863</v>
      </c>
      <c r="M2378" s="393" t="s">
        <v>6089</v>
      </c>
      <c r="N2378" s="163" t="s">
        <v>6090</v>
      </c>
      <c r="Q2378" s="243"/>
      <c r="R2378" s="92">
        <v>1840</v>
      </c>
      <c r="S2378" s="92">
        <v>4320</v>
      </c>
      <c r="T2378" s="92">
        <v>6160</v>
      </c>
      <c r="U2378" s="201">
        <v>720</v>
      </c>
      <c r="V2378" s="287">
        <f t="shared" ref="V2378:V2387" ca="1" si="608">IF(YEAR($W$3)-YEAR(E2378)&gt;9,10,IF(MONTH($W$3)&lt;MONTH(E2378),YEAR($W$3)-YEAR(E2378),YEAR($W$3)-YEAR(E2378)+1))</f>
        <v>2</v>
      </c>
      <c r="W2378" s="75">
        <f t="shared" ref="W2378:W2387" ca="1" si="609">IF(V2378&lt;6, ROUNDUP(G2378,0)*$W$6*V2378, ROUNDUP(G2378,0)*($W$6*5 + (V2378-5)*$W$7))</f>
        <v>1440</v>
      </c>
      <c r="X2378" s="200">
        <f t="shared" ref="X2378:X2387" ca="1" si="610">IF(V2378=0,T2378,((T2378-ROUNDUP(G2378,0)*1.5)+W2378))</f>
        <v>6880</v>
      </c>
      <c r="Y2378"/>
      <c r="Z2378" s="156">
        <v>0.1</v>
      </c>
      <c r="AA2378" s="227">
        <v>0.1</v>
      </c>
      <c r="AB2378" s="312" t="s">
        <v>8015</v>
      </c>
      <c r="AF2378">
        <f t="shared" si="592"/>
        <v>0</v>
      </c>
    </row>
    <row r="2379" spans="1:32" ht="30" hidden="1" x14ac:dyDescent="0.25">
      <c r="A2379" s="332" t="s">
        <v>6091</v>
      </c>
      <c r="B2379" s="93" t="str">
        <f t="shared" si="584"/>
        <v>YES</v>
      </c>
      <c r="C2379" t="s">
        <v>5505</v>
      </c>
      <c r="D2379" s="95">
        <v>43171</v>
      </c>
      <c r="E2379" s="95">
        <v>43221</v>
      </c>
      <c r="F2379" s="2">
        <f t="shared" si="606"/>
        <v>46874</v>
      </c>
      <c r="G2379" s="155">
        <v>160</v>
      </c>
      <c r="H2379" s="93" t="s">
        <v>6088</v>
      </c>
      <c r="I2379" s="93" t="s">
        <v>5622</v>
      </c>
      <c r="J2379" s="337" t="s">
        <v>6285</v>
      </c>
      <c r="K2379" s="266">
        <f t="shared" si="607"/>
        <v>2028</v>
      </c>
      <c r="L2379" s="393" t="s">
        <v>5863</v>
      </c>
      <c r="M2379" s="393" t="s">
        <v>6089</v>
      </c>
      <c r="N2379" s="163" t="s">
        <v>6092</v>
      </c>
      <c r="Q2379" s="243"/>
      <c r="R2379" s="92">
        <v>720</v>
      </c>
      <c r="S2379" s="92">
        <v>1600</v>
      </c>
      <c r="T2379" s="92">
        <v>2320</v>
      </c>
      <c r="U2379" s="201">
        <v>240</v>
      </c>
      <c r="V2379" s="287">
        <f t="shared" ca="1" si="608"/>
        <v>2</v>
      </c>
      <c r="W2379" s="75">
        <f t="shared" ca="1" si="609"/>
        <v>480</v>
      </c>
      <c r="X2379" s="200">
        <f t="shared" ca="1" si="610"/>
        <v>2560</v>
      </c>
      <c r="Y2379"/>
      <c r="Z2379" s="156">
        <v>0.1</v>
      </c>
      <c r="AA2379" s="227">
        <v>0.1</v>
      </c>
      <c r="AB2379" s="312" t="s">
        <v>8015</v>
      </c>
      <c r="AF2379">
        <f t="shared" si="592"/>
        <v>0</v>
      </c>
    </row>
    <row r="2380" spans="1:32" ht="26.25" hidden="1" x14ac:dyDescent="0.25">
      <c r="A2380" s="332" t="s">
        <v>6093</v>
      </c>
      <c r="B2380" s="93" t="str">
        <f t="shared" si="584"/>
        <v>YES</v>
      </c>
      <c r="C2380" t="s">
        <v>5505</v>
      </c>
      <c r="D2380" s="95">
        <v>43171</v>
      </c>
      <c r="E2380" s="95">
        <v>43221</v>
      </c>
      <c r="F2380" s="2">
        <f t="shared" si="606"/>
        <v>46874</v>
      </c>
      <c r="G2380" s="155">
        <v>160</v>
      </c>
      <c r="H2380" s="93" t="s">
        <v>6088</v>
      </c>
      <c r="I2380" s="93" t="s">
        <v>5622</v>
      </c>
      <c r="J2380" s="337" t="s">
        <v>6285</v>
      </c>
      <c r="K2380" s="266">
        <f t="shared" si="607"/>
        <v>2028</v>
      </c>
      <c r="L2380" s="393" t="s">
        <v>5863</v>
      </c>
      <c r="M2380" s="393" t="s">
        <v>5515</v>
      </c>
      <c r="N2380" s="163" t="s">
        <v>6094</v>
      </c>
      <c r="Q2380" s="243"/>
      <c r="R2380" s="92">
        <v>720</v>
      </c>
      <c r="S2380" s="92">
        <v>1600</v>
      </c>
      <c r="T2380" s="92">
        <v>2320</v>
      </c>
      <c r="U2380" s="201">
        <v>240</v>
      </c>
      <c r="V2380" s="287">
        <f t="shared" ca="1" si="608"/>
        <v>2</v>
      </c>
      <c r="W2380" s="75">
        <f t="shared" ca="1" si="609"/>
        <v>480</v>
      </c>
      <c r="X2380" s="200">
        <f t="shared" ca="1" si="610"/>
        <v>2560</v>
      </c>
      <c r="Y2380"/>
      <c r="Z2380" s="156">
        <v>0.1</v>
      </c>
      <c r="AA2380" s="227">
        <v>0.1</v>
      </c>
      <c r="AB2380" s="312" t="s">
        <v>8015</v>
      </c>
      <c r="AF2380">
        <f t="shared" si="592"/>
        <v>0</v>
      </c>
    </row>
    <row r="2381" spans="1:32" ht="26.25" hidden="1" x14ac:dyDescent="0.25">
      <c r="A2381" s="332" t="s">
        <v>6095</v>
      </c>
      <c r="B2381" s="93" t="str">
        <f t="shared" si="584"/>
        <v>YES</v>
      </c>
      <c r="C2381" t="s">
        <v>5505</v>
      </c>
      <c r="D2381" s="95">
        <v>43171</v>
      </c>
      <c r="E2381" s="95">
        <v>43221</v>
      </c>
      <c r="F2381" s="2">
        <f t="shared" si="606"/>
        <v>46874</v>
      </c>
      <c r="G2381" s="155">
        <v>160</v>
      </c>
      <c r="H2381" s="93" t="s">
        <v>6088</v>
      </c>
      <c r="I2381" s="93" t="s">
        <v>5622</v>
      </c>
      <c r="J2381" s="337" t="s">
        <v>6285</v>
      </c>
      <c r="K2381" s="266">
        <f t="shared" si="607"/>
        <v>2028</v>
      </c>
      <c r="L2381" s="393" t="s">
        <v>5863</v>
      </c>
      <c r="M2381" s="393" t="s">
        <v>5515</v>
      </c>
      <c r="N2381" s="163" t="s">
        <v>6096</v>
      </c>
      <c r="Q2381" s="243"/>
      <c r="R2381" s="92">
        <v>720</v>
      </c>
      <c r="S2381" s="92">
        <v>2400</v>
      </c>
      <c r="T2381" s="92">
        <v>3120</v>
      </c>
      <c r="U2381" s="201">
        <v>240</v>
      </c>
      <c r="V2381" s="287">
        <f t="shared" ca="1" si="608"/>
        <v>2</v>
      </c>
      <c r="W2381" s="75">
        <f t="shared" ca="1" si="609"/>
        <v>480</v>
      </c>
      <c r="X2381" s="200">
        <f t="shared" ca="1" si="610"/>
        <v>3360</v>
      </c>
      <c r="Y2381"/>
      <c r="Z2381" s="156">
        <v>0.1</v>
      </c>
      <c r="AA2381" s="227">
        <v>0.1</v>
      </c>
      <c r="AB2381" s="312" t="s">
        <v>8015</v>
      </c>
      <c r="AF2381">
        <f t="shared" si="592"/>
        <v>0</v>
      </c>
    </row>
    <row r="2382" spans="1:32" ht="26.25" hidden="1" x14ac:dyDescent="0.25">
      <c r="A2382" s="332" t="s">
        <v>6097</v>
      </c>
      <c r="B2382" s="93" t="str">
        <f t="shared" si="584"/>
        <v>YES</v>
      </c>
      <c r="C2382" t="s">
        <v>5505</v>
      </c>
      <c r="D2382" s="95">
        <v>43171</v>
      </c>
      <c r="E2382" s="95">
        <v>43221</v>
      </c>
      <c r="F2382" s="2">
        <f t="shared" si="606"/>
        <v>46874</v>
      </c>
      <c r="G2382" s="155">
        <v>640</v>
      </c>
      <c r="H2382" s="93" t="s">
        <v>6088</v>
      </c>
      <c r="I2382" s="93" t="s">
        <v>5622</v>
      </c>
      <c r="J2382" s="337" t="s">
        <v>6285</v>
      </c>
      <c r="K2382" s="266">
        <f t="shared" si="607"/>
        <v>2028</v>
      </c>
      <c r="L2382" s="393" t="s">
        <v>5875</v>
      </c>
      <c r="M2382" s="393" t="s">
        <v>5538</v>
      </c>
      <c r="N2382" s="163" t="s">
        <v>6098</v>
      </c>
      <c r="Q2382" s="243"/>
      <c r="R2382" s="92">
        <v>2400</v>
      </c>
      <c r="S2382" s="92">
        <v>0</v>
      </c>
      <c r="T2382" s="92">
        <v>2400</v>
      </c>
      <c r="U2382" s="201">
        <v>960</v>
      </c>
      <c r="V2382" s="287">
        <f t="shared" ca="1" si="608"/>
        <v>2</v>
      </c>
      <c r="W2382" s="75">
        <f t="shared" ca="1" si="609"/>
        <v>1920</v>
      </c>
      <c r="X2382" s="200">
        <f t="shared" ca="1" si="610"/>
        <v>3360</v>
      </c>
      <c r="Y2382"/>
      <c r="Z2382" s="156">
        <v>0.1</v>
      </c>
      <c r="AA2382" s="227">
        <v>0.1</v>
      </c>
      <c r="AB2382" s="312" t="s">
        <v>8015</v>
      </c>
      <c r="AF2382">
        <f t="shared" si="592"/>
        <v>0</v>
      </c>
    </row>
    <row r="2383" spans="1:32" ht="30" hidden="1" x14ac:dyDescent="0.25">
      <c r="A2383" s="332" t="s">
        <v>6099</v>
      </c>
      <c r="B2383" s="93" t="str">
        <f t="shared" si="584"/>
        <v>YES</v>
      </c>
      <c r="C2383" t="s">
        <v>5505</v>
      </c>
      <c r="D2383" s="95">
        <v>43171</v>
      </c>
      <c r="E2383" s="95">
        <v>43221</v>
      </c>
      <c r="F2383" s="2">
        <f t="shared" si="606"/>
        <v>46874</v>
      </c>
      <c r="G2383" s="155">
        <v>880</v>
      </c>
      <c r="H2383" s="93" t="s">
        <v>6088</v>
      </c>
      <c r="I2383" s="93" t="s">
        <v>5622</v>
      </c>
      <c r="J2383" s="337" t="s">
        <v>6285</v>
      </c>
      <c r="K2383" s="266">
        <f t="shared" si="607"/>
        <v>2028</v>
      </c>
      <c r="L2383" s="393" t="s">
        <v>5863</v>
      </c>
      <c r="M2383" s="393" t="s">
        <v>6100</v>
      </c>
      <c r="N2383" s="163" t="s">
        <v>6101</v>
      </c>
      <c r="Q2383" s="243"/>
      <c r="R2383" s="92">
        <v>3240</v>
      </c>
      <c r="S2383" s="92">
        <v>0</v>
      </c>
      <c r="T2383" s="92">
        <v>3240</v>
      </c>
      <c r="U2383" s="201">
        <v>1320</v>
      </c>
      <c r="V2383" s="287">
        <f t="shared" ca="1" si="608"/>
        <v>2</v>
      </c>
      <c r="W2383" s="75">
        <f t="shared" ca="1" si="609"/>
        <v>2640</v>
      </c>
      <c r="X2383" s="200">
        <f t="shared" ca="1" si="610"/>
        <v>4560</v>
      </c>
      <c r="Y2383"/>
      <c r="Z2383" s="156">
        <v>0.1</v>
      </c>
      <c r="AA2383" s="227">
        <v>0.1</v>
      </c>
      <c r="AB2383" s="312" t="s">
        <v>8015</v>
      </c>
      <c r="AF2383">
        <f t="shared" si="592"/>
        <v>0</v>
      </c>
    </row>
    <row r="2384" spans="1:32" ht="30" hidden="1" x14ac:dyDescent="0.25">
      <c r="A2384" s="332" t="s">
        <v>6102</v>
      </c>
      <c r="B2384" s="93" t="str">
        <f t="shared" si="584"/>
        <v>YES</v>
      </c>
      <c r="C2384" t="s">
        <v>5505</v>
      </c>
      <c r="D2384" s="95">
        <v>43171</v>
      </c>
      <c r="E2384" s="95">
        <v>43221</v>
      </c>
      <c r="F2384" s="2">
        <f t="shared" si="606"/>
        <v>46874</v>
      </c>
      <c r="G2384" s="155">
        <v>160</v>
      </c>
      <c r="H2384" s="93" t="s">
        <v>6088</v>
      </c>
      <c r="I2384" s="93" t="s">
        <v>5622</v>
      </c>
      <c r="J2384" s="337" t="s">
        <v>6285</v>
      </c>
      <c r="K2384" s="266">
        <f t="shared" si="607"/>
        <v>2028</v>
      </c>
      <c r="L2384" s="393" t="s">
        <v>5863</v>
      </c>
      <c r="M2384" s="393" t="s">
        <v>6100</v>
      </c>
      <c r="N2384" s="163" t="s">
        <v>6103</v>
      </c>
      <c r="Q2384" s="243"/>
      <c r="R2384" s="92">
        <v>720</v>
      </c>
      <c r="S2384" s="92">
        <v>0</v>
      </c>
      <c r="T2384" s="92">
        <v>720</v>
      </c>
      <c r="U2384" s="201">
        <v>240</v>
      </c>
      <c r="V2384" s="287">
        <f t="shared" ca="1" si="608"/>
        <v>2</v>
      </c>
      <c r="W2384" s="75">
        <f t="shared" ca="1" si="609"/>
        <v>480</v>
      </c>
      <c r="X2384" s="200">
        <f t="shared" ca="1" si="610"/>
        <v>960</v>
      </c>
      <c r="Y2384"/>
      <c r="Z2384" s="156">
        <v>0.1</v>
      </c>
      <c r="AA2384" s="227">
        <v>0.1</v>
      </c>
      <c r="AB2384" s="312" t="s">
        <v>8015</v>
      </c>
      <c r="AF2384">
        <f t="shared" si="592"/>
        <v>0</v>
      </c>
    </row>
    <row r="2385" spans="1:32" ht="30" hidden="1" x14ac:dyDescent="0.25">
      <c r="A2385" s="332" t="s">
        <v>6104</v>
      </c>
      <c r="B2385" s="93" t="str">
        <f t="shared" si="584"/>
        <v>YES</v>
      </c>
      <c r="C2385" t="s">
        <v>5505</v>
      </c>
      <c r="D2385" s="95">
        <v>43171</v>
      </c>
      <c r="E2385" s="95">
        <v>43221</v>
      </c>
      <c r="F2385" s="2">
        <f t="shared" si="606"/>
        <v>46874</v>
      </c>
      <c r="G2385" s="155">
        <v>1120</v>
      </c>
      <c r="H2385" s="93" t="s">
        <v>6088</v>
      </c>
      <c r="I2385" s="93" t="s">
        <v>5622</v>
      </c>
      <c r="J2385" s="337" t="s">
        <v>6285</v>
      </c>
      <c r="K2385" s="266">
        <f t="shared" si="607"/>
        <v>2028</v>
      </c>
      <c r="L2385" s="393" t="s">
        <v>5863</v>
      </c>
      <c r="M2385" s="393" t="s">
        <v>6100</v>
      </c>
      <c r="N2385" s="163" t="s">
        <v>6105</v>
      </c>
      <c r="Q2385" s="243"/>
      <c r="R2385" s="92">
        <v>4080</v>
      </c>
      <c r="S2385" s="92">
        <v>0</v>
      </c>
      <c r="T2385" s="92">
        <v>4080</v>
      </c>
      <c r="U2385" s="201">
        <v>1680</v>
      </c>
      <c r="V2385" s="287">
        <f t="shared" ca="1" si="608"/>
        <v>2</v>
      </c>
      <c r="W2385" s="75">
        <f t="shared" ca="1" si="609"/>
        <v>3360</v>
      </c>
      <c r="X2385" s="200">
        <f t="shared" ca="1" si="610"/>
        <v>5760</v>
      </c>
      <c r="Y2385"/>
      <c r="Z2385" s="156">
        <v>0.1</v>
      </c>
      <c r="AA2385" s="227">
        <v>0.1</v>
      </c>
      <c r="AB2385" s="312" t="s">
        <v>8015</v>
      </c>
      <c r="AF2385">
        <f t="shared" si="592"/>
        <v>0</v>
      </c>
    </row>
    <row r="2386" spans="1:32" ht="26.25" hidden="1" x14ac:dyDescent="0.25">
      <c r="A2386" s="332" t="s">
        <v>6106</v>
      </c>
      <c r="B2386" s="93" t="str">
        <f t="shared" si="584"/>
        <v>YES</v>
      </c>
      <c r="C2386" t="s">
        <v>5505</v>
      </c>
      <c r="D2386" s="95">
        <v>43171</v>
      </c>
      <c r="E2386" s="95">
        <v>43221</v>
      </c>
      <c r="F2386" s="2">
        <f t="shared" si="606"/>
        <v>46874</v>
      </c>
      <c r="G2386" s="155">
        <v>160</v>
      </c>
      <c r="H2386" s="93" t="s">
        <v>6088</v>
      </c>
      <c r="I2386" s="93" t="s">
        <v>5622</v>
      </c>
      <c r="J2386" s="337" t="s">
        <v>6285</v>
      </c>
      <c r="K2386" s="266">
        <f t="shared" si="607"/>
        <v>2028</v>
      </c>
      <c r="L2386" s="393" t="s">
        <v>5863</v>
      </c>
      <c r="M2386" s="393" t="s">
        <v>6100</v>
      </c>
      <c r="N2386" s="163" t="s">
        <v>6107</v>
      </c>
      <c r="Q2386" s="243"/>
      <c r="R2386" s="92">
        <v>720</v>
      </c>
      <c r="S2386" s="92">
        <v>0</v>
      </c>
      <c r="T2386" s="92">
        <v>720</v>
      </c>
      <c r="U2386" s="201">
        <v>240</v>
      </c>
      <c r="V2386" s="287">
        <f t="shared" ca="1" si="608"/>
        <v>2</v>
      </c>
      <c r="W2386" s="75">
        <f t="shared" ca="1" si="609"/>
        <v>480</v>
      </c>
      <c r="X2386" s="200">
        <f t="shared" ca="1" si="610"/>
        <v>960</v>
      </c>
      <c r="Y2386"/>
      <c r="Z2386" s="156">
        <v>0.1</v>
      </c>
      <c r="AA2386" s="227">
        <v>0.1</v>
      </c>
      <c r="AB2386" s="312" t="s">
        <v>8015</v>
      </c>
      <c r="AF2386">
        <f t="shared" si="592"/>
        <v>0</v>
      </c>
    </row>
    <row r="2387" spans="1:32" ht="30" hidden="1" x14ac:dyDescent="0.25">
      <c r="A2387" s="332" t="s">
        <v>6108</v>
      </c>
      <c r="B2387" s="93" t="str">
        <f t="shared" si="584"/>
        <v>YES</v>
      </c>
      <c r="C2387" t="s">
        <v>5505</v>
      </c>
      <c r="D2387" s="95">
        <v>43171</v>
      </c>
      <c r="E2387" s="95">
        <v>43221</v>
      </c>
      <c r="F2387" s="2">
        <f t="shared" si="606"/>
        <v>46874</v>
      </c>
      <c r="G2387" s="155">
        <v>800</v>
      </c>
      <c r="H2387" s="93" t="s">
        <v>6088</v>
      </c>
      <c r="I2387" s="93" t="s">
        <v>5622</v>
      </c>
      <c r="J2387" s="337" t="s">
        <v>6285</v>
      </c>
      <c r="K2387" s="266">
        <f t="shared" si="607"/>
        <v>2028</v>
      </c>
      <c r="L2387" s="393" t="s">
        <v>5789</v>
      </c>
      <c r="M2387" s="393" t="s">
        <v>5853</v>
      </c>
      <c r="N2387" s="163" t="s">
        <v>6109</v>
      </c>
      <c r="Q2387" s="243"/>
      <c r="R2387" s="92">
        <v>2960</v>
      </c>
      <c r="S2387" s="92">
        <v>1600</v>
      </c>
      <c r="T2387" s="92">
        <v>4560</v>
      </c>
      <c r="U2387" s="201">
        <v>1200</v>
      </c>
      <c r="V2387" s="287">
        <f t="shared" ca="1" si="608"/>
        <v>2</v>
      </c>
      <c r="W2387" s="75">
        <f t="shared" ca="1" si="609"/>
        <v>2400</v>
      </c>
      <c r="X2387" s="200">
        <f t="shared" ca="1" si="610"/>
        <v>5760</v>
      </c>
      <c r="Y2387"/>
      <c r="Z2387" s="156">
        <v>0.1</v>
      </c>
      <c r="AA2387" s="227">
        <v>0.1</v>
      </c>
      <c r="AB2387" s="312" t="s">
        <v>8015</v>
      </c>
      <c r="AF2387">
        <f t="shared" si="592"/>
        <v>0</v>
      </c>
    </row>
    <row r="2388" spans="1:32" hidden="1" x14ac:dyDescent="0.25">
      <c r="A2388" s="334"/>
      <c r="C2388"/>
      <c r="D2388" s="95"/>
      <c r="E2388" s="95"/>
      <c r="F2388" s="95"/>
      <c r="G2388" s="155"/>
      <c r="I2388" s="93"/>
      <c r="J2388" s="337"/>
      <c r="K2388" s="166"/>
      <c r="L2388" s="393"/>
      <c r="M2388" s="393"/>
      <c r="N2388" s="163" t="s">
        <v>5934</v>
      </c>
      <c r="Q2388" s="243"/>
      <c r="R2388" s="158">
        <v>18120</v>
      </c>
      <c r="S2388" s="158">
        <v>11520</v>
      </c>
      <c r="T2388" s="158">
        <v>29640</v>
      </c>
      <c r="Y2388"/>
      <c r="Z2388" s="156"/>
      <c r="AA2388" s="227"/>
      <c r="AF2388">
        <f t="shared" si="592"/>
        <v>0</v>
      </c>
    </row>
    <row r="2389" spans="1:32" ht="15.75" hidden="1" thickTop="1" x14ac:dyDescent="0.25">
      <c r="A2389" s="334"/>
      <c r="C2389"/>
      <c r="D2389" s="95"/>
      <c r="E2389" s="95"/>
      <c r="F2389" s="95"/>
      <c r="G2389" s="155"/>
      <c r="I2389" s="93"/>
      <c r="J2389" s="337"/>
      <c r="K2389" s="166"/>
      <c r="L2389" s="393"/>
      <c r="M2389" s="393"/>
      <c r="N2389" s="163" t="s">
        <v>5934</v>
      </c>
      <c r="Q2389" s="243"/>
      <c r="R2389" s="160"/>
      <c r="S2389" s="160"/>
      <c r="T2389" s="160"/>
      <c r="Y2389"/>
      <c r="Z2389" s="156"/>
      <c r="AA2389" s="227"/>
      <c r="AF2389">
        <f t="shared" si="592"/>
        <v>0</v>
      </c>
    </row>
    <row r="2390" spans="1:32" ht="30" hidden="1" x14ac:dyDescent="0.25">
      <c r="A2390" s="332" t="s">
        <v>6110</v>
      </c>
      <c r="B2390" s="93" t="str">
        <f t="shared" si="584"/>
        <v>YES</v>
      </c>
      <c r="C2390" t="s">
        <v>5505</v>
      </c>
      <c r="D2390" s="95">
        <v>43172</v>
      </c>
      <c r="E2390" s="95">
        <v>43221</v>
      </c>
      <c r="F2390" s="2">
        <f t="shared" ref="F2390:F2399" si="611">DATE(YEAR(E2390)+10,MONTH(E2390),DAY(E2390))</f>
        <v>46874</v>
      </c>
      <c r="G2390" s="155">
        <v>2559.56</v>
      </c>
      <c r="H2390" s="93" t="s">
        <v>6111</v>
      </c>
      <c r="I2390" s="93" t="s">
        <v>5622</v>
      </c>
      <c r="J2390" s="337" t="s">
        <v>6285</v>
      </c>
      <c r="K2390" s="266">
        <f t="shared" ref="K2390:K2400" si="612">YEAR(F2390)</f>
        <v>2028</v>
      </c>
      <c r="L2390" s="393" t="s">
        <v>6112</v>
      </c>
      <c r="M2390" s="393" t="s">
        <v>5549</v>
      </c>
      <c r="N2390" s="163" t="s">
        <v>6113</v>
      </c>
      <c r="Q2390" s="243"/>
      <c r="R2390" s="92">
        <v>9120</v>
      </c>
      <c r="S2390" s="92">
        <v>0</v>
      </c>
      <c r="T2390" s="92">
        <v>9120</v>
      </c>
      <c r="U2390" s="201">
        <v>3840</v>
      </c>
      <c r="V2390" s="287">
        <f t="shared" ref="V2390:V2400" ca="1" si="613">IF(YEAR($W$3)-YEAR(E2390)&gt;9,10,IF(MONTH($W$3)&lt;MONTH(E2390),YEAR($W$3)-YEAR(E2390),YEAR($W$3)-YEAR(E2390)+1))</f>
        <v>2</v>
      </c>
      <c r="W2390" s="75">
        <f t="shared" ref="W2390:W2400" ca="1" si="614">IF(V2390&lt;6, ROUNDUP(G2390,0)*$W$6*V2390, ROUNDUP(G2390,0)*($W$6*5 + (V2390-5)*$W$7))</f>
        <v>7680</v>
      </c>
      <c r="X2390" s="200">
        <f t="shared" ref="X2390:X2400" ca="1" si="615">IF(V2390=0,T2390,((T2390-ROUNDUP(G2390,0)*1.5)+W2390))</f>
        <v>12960</v>
      </c>
      <c r="Y2390"/>
      <c r="Z2390" s="156">
        <v>0.1</v>
      </c>
      <c r="AA2390" s="227">
        <v>0.1</v>
      </c>
      <c r="AB2390" s="312" t="s">
        <v>7839</v>
      </c>
      <c r="AF2390">
        <f t="shared" si="592"/>
        <v>0</v>
      </c>
    </row>
    <row r="2391" spans="1:32" ht="60" hidden="1" x14ac:dyDescent="0.25">
      <c r="A2391" s="332" t="s">
        <v>6114</v>
      </c>
      <c r="B2391" s="93" t="str">
        <f t="shared" si="584"/>
        <v>YES</v>
      </c>
      <c r="C2391" t="s">
        <v>5505</v>
      </c>
      <c r="D2391" s="95">
        <v>43172</v>
      </c>
      <c r="E2391" s="95">
        <v>43221</v>
      </c>
      <c r="F2391" s="2">
        <f t="shared" si="611"/>
        <v>46874</v>
      </c>
      <c r="G2391" s="155">
        <v>2359.6999999999998</v>
      </c>
      <c r="H2391" s="93" t="s">
        <v>6111</v>
      </c>
      <c r="I2391" s="93" t="s">
        <v>5622</v>
      </c>
      <c r="J2391" s="337" t="s">
        <v>6285</v>
      </c>
      <c r="K2391" s="266">
        <f t="shared" si="612"/>
        <v>2028</v>
      </c>
      <c r="L2391" s="393" t="s">
        <v>6112</v>
      </c>
      <c r="M2391" s="393" t="s">
        <v>5549</v>
      </c>
      <c r="N2391" s="163" t="s">
        <v>6115</v>
      </c>
      <c r="Q2391" s="243"/>
      <c r="R2391" s="92">
        <v>8420</v>
      </c>
      <c r="S2391" s="92">
        <v>4720</v>
      </c>
      <c r="T2391" s="92">
        <v>13140</v>
      </c>
      <c r="U2391" s="201">
        <v>3540</v>
      </c>
      <c r="V2391" s="287">
        <f t="shared" ca="1" si="613"/>
        <v>2</v>
      </c>
      <c r="W2391" s="75">
        <f t="shared" ca="1" si="614"/>
        <v>7080</v>
      </c>
      <c r="X2391" s="200">
        <f t="shared" ca="1" si="615"/>
        <v>16680</v>
      </c>
      <c r="Y2391"/>
      <c r="Z2391" s="156">
        <v>0.1</v>
      </c>
      <c r="AA2391" s="227">
        <v>0.1</v>
      </c>
      <c r="AB2391" s="312" t="s">
        <v>7839</v>
      </c>
      <c r="AF2391">
        <f t="shared" si="592"/>
        <v>0</v>
      </c>
    </row>
    <row r="2392" spans="1:32" ht="45" hidden="1" x14ac:dyDescent="0.25">
      <c r="A2392" s="332" t="s">
        <v>6116</v>
      </c>
      <c r="B2392" s="93" t="str">
        <f t="shared" si="584"/>
        <v>YES</v>
      </c>
      <c r="C2392" t="s">
        <v>5505</v>
      </c>
      <c r="D2392" s="95">
        <v>43172</v>
      </c>
      <c r="E2392" s="95">
        <v>43221</v>
      </c>
      <c r="F2392" s="2">
        <f t="shared" si="611"/>
        <v>46874</v>
      </c>
      <c r="G2392" s="155">
        <v>1120</v>
      </c>
      <c r="H2392" s="93" t="s">
        <v>6111</v>
      </c>
      <c r="I2392" s="93" t="s">
        <v>5622</v>
      </c>
      <c r="J2392" s="337" t="s">
        <v>6285</v>
      </c>
      <c r="K2392" s="266">
        <f>YEAR(F2392)</f>
        <v>2028</v>
      </c>
      <c r="L2392" s="393" t="s">
        <v>6112</v>
      </c>
      <c r="M2392" s="393" t="s">
        <v>5549</v>
      </c>
      <c r="N2392" s="163" t="s">
        <v>6117</v>
      </c>
      <c r="Q2392" s="243"/>
      <c r="R2392" s="92">
        <v>4080</v>
      </c>
      <c r="S2392" s="92">
        <v>0</v>
      </c>
      <c r="T2392" s="92">
        <v>4080</v>
      </c>
      <c r="U2392" s="201">
        <v>1680</v>
      </c>
      <c r="V2392" s="287">
        <f t="shared" ca="1" si="613"/>
        <v>2</v>
      </c>
      <c r="W2392" s="75">
        <f t="shared" ca="1" si="614"/>
        <v>3360</v>
      </c>
      <c r="X2392" s="200">
        <f t="shared" ca="1" si="615"/>
        <v>5760</v>
      </c>
      <c r="Y2392"/>
      <c r="Z2392" s="156">
        <v>0.1</v>
      </c>
      <c r="AA2392" s="227">
        <v>0.1</v>
      </c>
      <c r="AB2392" s="312" t="s">
        <v>7839</v>
      </c>
      <c r="AF2392">
        <f t="shared" si="592"/>
        <v>0</v>
      </c>
    </row>
    <row r="2393" spans="1:32" ht="30" hidden="1" x14ac:dyDescent="0.25">
      <c r="A2393" s="332" t="s">
        <v>6118</v>
      </c>
      <c r="B2393" s="93" t="str">
        <f t="shared" si="584"/>
        <v>YES</v>
      </c>
      <c r="C2393" t="s">
        <v>5505</v>
      </c>
      <c r="D2393" s="95">
        <v>43172</v>
      </c>
      <c r="E2393" s="95">
        <v>43221</v>
      </c>
      <c r="F2393" s="2">
        <f t="shared" si="611"/>
        <v>46874</v>
      </c>
      <c r="G2393" s="155">
        <v>560</v>
      </c>
      <c r="H2393" s="93" t="s">
        <v>6111</v>
      </c>
      <c r="I2393" s="93" t="s">
        <v>5622</v>
      </c>
      <c r="J2393" s="337" t="s">
        <v>6285</v>
      </c>
      <c r="K2393" s="266">
        <f t="shared" si="612"/>
        <v>2028</v>
      </c>
      <c r="L2393" s="393" t="s">
        <v>6112</v>
      </c>
      <c r="M2393" s="393" t="s">
        <v>5549</v>
      </c>
      <c r="N2393" s="163" t="s">
        <v>6119</v>
      </c>
      <c r="Q2393" s="243"/>
      <c r="R2393" s="92">
        <v>2120</v>
      </c>
      <c r="S2393" s="92">
        <v>0</v>
      </c>
      <c r="T2393" s="92">
        <v>2120</v>
      </c>
      <c r="U2393" s="201">
        <v>840</v>
      </c>
      <c r="V2393" s="287">
        <f t="shared" ca="1" si="613"/>
        <v>2</v>
      </c>
      <c r="W2393" s="75">
        <f t="shared" ca="1" si="614"/>
        <v>1680</v>
      </c>
      <c r="X2393" s="200">
        <f t="shared" ca="1" si="615"/>
        <v>2960</v>
      </c>
      <c r="Y2393"/>
      <c r="Z2393" s="156">
        <v>0.1</v>
      </c>
      <c r="AA2393" s="227">
        <v>0.1</v>
      </c>
      <c r="AB2393" s="312" t="s">
        <v>7839</v>
      </c>
      <c r="AF2393">
        <f t="shared" si="592"/>
        <v>0</v>
      </c>
    </row>
    <row r="2394" spans="1:32" ht="60" hidden="1" x14ac:dyDescent="0.25">
      <c r="A2394" s="332" t="s">
        <v>6120</v>
      </c>
      <c r="B2394" s="93" t="str">
        <f t="shared" si="584"/>
        <v>YES</v>
      </c>
      <c r="C2394" t="s">
        <v>5505</v>
      </c>
      <c r="D2394" s="95">
        <v>43172</v>
      </c>
      <c r="E2394" s="95">
        <v>43221</v>
      </c>
      <c r="F2394" s="2">
        <f t="shared" si="611"/>
        <v>46874</v>
      </c>
      <c r="G2394" s="155">
        <v>1184.33</v>
      </c>
      <c r="H2394" s="93" t="s">
        <v>6111</v>
      </c>
      <c r="I2394" s="93" t="s">
        <v>5622</v>
      </c>
      <c r="J2394" s="337" t="s">
        <v>6285</v>
      </c>
      <c r="K2394" s="266">
        <f t="shared" si="612"/>
        <v>2028</v>
      </c>
      <c r="L2394" s="393" t="s">
        <v>6112</v>
      </c>
      <c r="M2394" s="393" t="s">
        <v>5549</v>
      </c>
      <c r="N2394" s="163" t="s">
        <v>6121</v>
      </c>
      <c r="Q2394" s="243"/>
      <c r="R2394" s="92">
        <v>4307.5</v>
      </c>
      <c r="S2394" s="92">
        <v>18960</v>
      </c>
      <c r="T2394" s="92">
        <v>23267.5</v>
      </c>
      <c r="U2394" s="201">
        <v>1777.5</v>
      </c>
      <c r="V2394" s="287">
        <f t="shared" ca="1" si="613"/>
        <v>2</v>
      </c>
      <c r="W2394" s="75">
        <f t="shared" ca="1" si="614"/>
        <v>3555</v>
      </c>
      <c r="X2394" s="200">
        <f t="shared" ca="1" si="615"/>
        <v>25045</v>
      </c>
      <c r="Y2394"/>
      <c r="Z2394" s="156">
        <v>0.1</v>
      </c>
      <c r="AA2394" s="227">
        <v>0.1</v>
      </c>
      <c r="AB2394" s="312" t="s">
        <v>7839</v>
      </c>
      <c r="AF2394">
        <f t="shared" si="592"/>
        <v>0</v>
      </c>
    </row>
    <row r="2395" spans="1:32" ht="30" hidden="1" x14ac:dyDescent="0.25">
      <c r="A2395" s="332" t="s">
        <v>6122</v>
      </c>
      <c r="B2395" s="93" t="str">
        <f t="shared" si="584"/>
        <v>YES</v>
      </c>
      <c r="C2395" t="s">
        <v>5505</v>
      </c>
      <c r="D2395" s="95">
        <v>43172</v>
      </c>
      <c r="E2395" s="95">
        <v>43221</v>
      </c>
      <c r="F2395" s="2">
        <f>DATE(YEAR(E2395)+10,MONTH(E2395),DAY(E2395))</f>
        <v>46874</v>
      </c>
      <c r="G2395" s="155">
        <v>1000</v>
      </c>
      <c r="H2395" s="93" t="s">
        <v>6111</v>
      </c>
      <c r="I2395" s="93" t="s">
        <v>5622</v>
      </c>
      <c r="J2395" s="337" t="s">
        <v>6285</v>
      </c>
      <c r="K2395" s="266">
        <f t="shared" si="612"/>
        <v>2028</v>
      </c>
      <c r="L2395" s="393" t="s">
        <v>6112</v>
      </c>
      <c r="M2395" s="393" t="s">
        <v>5549</v>
      </c>
      <c r="N2395" s="163" t="s">
        <v>6123</v>
      </c>
      <c r="Q2395" s="243"/>
      <c r="R2395" s="92">
        <v>3660</v>
      </c>
      <c r="S2395" s="92">
        <v>26000</v>
      </c>
      <c r="T2395" s="92">
        <v>29660</v>
      </c>
      <c r="U2395" s="201">
        <v>1500</v>
      </c>
      <c r="V2395" s="287">
        <f t="shared" ca="1" si="613"/>
        <v>2</v>
      </c>
      <c r="W2395" s="75">
        <f t="shared" ca="1" si="614"/>
        <v>3000</v>
      </c>
      <c r="X2395" s="200">
        <f t="shared" ca="1" si="615"/>
        <v>31160</v>
      </c>
      <c r="Y2395"/>
      <c r="Z2395" s="156">
        <v>0.1</v>
      </c>
      <c r="AA2395" s="227">
        <v>0.1</v>
      </c>
      <c r="AB2395" s="312" t="s">
        <v>7839</v>
      </c>
      <c r="AF2395">
        <f t="shared" si="592"/>
        <v>0</v>
      </c>
    </row>
    <row r="2396" spans="1:32" ht="75" hidden="1" x14ac:dyDescent="0.25">
      <c r="A2396" s="332" t="s">
        <v>6124</v>
      </c>
      <c r="B2396" s="93" t="str">
        <f t="shared" si="584"/>
        <v>YES</v>
      </c>
      <c r="C2396" t="s">
        <v>5505</v>
      </c>
      <c r="D2396" s="95">
        <v>43172</v>
      </c>
      <c r="E2396" s="95">
        <v>43221</v>
      </c>
      <c r="F2396" s="2">
        <f>DATE(YEAR(E2396)+10,MONTH(E2396),DAY(E2396))</f>
        <v>46874</v>
      </c>
      <c r="G2396" s="155">
        <v>880</v>
      </c>
      <c r="H2396" s="93" t="s">
        <v>6111</v>
      </c>
      <c r="I2396" s="93" t="s">
        <v>5622</v>
      </c>
      <c r="J2396" s="337" t="s">
        <v>6285</v>
      </c>
      <c r="K2396" s="266">
        <f t="shared" si="612"/>
        <v>2028</v>
      </c>
      <c r="L2396" s="393" t="s">
        <v>6125</v>
      </c>
      <c r="M2396" s="393" t="s">
        <v>6089</v>
      </c>
      <c r="N2396" s="163" t="s">
        <v>6126</v>
      </c>
      <c r="Q2396" s="243"/>
      <c r="R2396" s="92">
        <v>3240</v>
      </c>
      <c r="S2396" s="92">
        <v>0</v>
      </c>
      <c r="T2396" s="92">
        <v>3240</v>
      </c>
      <c r="U2396" s="201">
        <v>1320</v>
      </c>
      <c r="V2396" s="287">
        <f t="shared" ca="1" si="613"/>
        <v>2</v>
      </c>
      <c r="W2396" s="75">
        <f t="shared" ca="1" si="614"/>
        <v>2640</v>
      </c>
      <c r="X2396" s="200">
        <f t="shared" ca="1" si="615"/>
        <v>4560</v>
      </c>
      <c r="Y2396"/>
      <c r="Z2396" s="156">
        <v>0.1</v>
      </c>
      <c r="AA2396" s="227">
        <v>0.1</v>
      </c>
      <c r="AB2396" s="312" t="s">
        <v>7839</v>
      </c>
      <c r="AF2396">
        <f t="shared" si="592"/>
        <v>0</v>
      </c>
    </row>
    <row r="2397" spans="1:32" ht="105" hidden="1" x14ac:dyDescent="0.25">
      <c r="A2397" s="332" t="s">
        <v>6127</v>
      </c>
      <c r="B2397" s="93" t="str">
        <f t="shared" si="584"/>
        <v>YES</v>
      </c>
      <c r="C2397" t="s">
        <v>5505</v>
      </c>
      <c r="D2397" s="95">
        <v>43172</v>
      </c>
      <c r="E2397" s="95">
        <v>43221</v>
      </c>
      <c r="F2397" s="2">
        <f t="shared" si="611"/>
        <v>46874</v>
      </c>
      <c r="G2397" s="155">
        <v>2000</v>
      </c>
      <c r="H2397" s="93" t="s">
        <v>6111</v>
      </c>
      <c r="I2397" s="93" t="s">
        <v>5622</v>
      </c>
      <c r="J2397" s="337" t="s">
        <v>6285</v>
      </c>
      <c r="K2397" s="266">
        <f t="shared" si="612"/>
        <v>2028</v>
      </c>
      <c r="L2397" s="393" t="s">
        <v>6125</v>
      </c>
      <c r="M2397" s="393" t="s">
        <v>6089</v>
      </c>
      <c r="N2397" s="163" t="s">
        <v>6128</v>
      </c>
      <c r="Q2397" s="243"/>
      <c r="R2397" s="92">
        <v>7160</v>
      </c>
      <c r="S2397" s="92">
        <v>0</v>
      </c>
      <c r="T2397" s="92">
        <v>7160</v>
      </c>
      <c r="U2397" s="201">
        <v>3000</v>
      </c>
      <c r="V2397" s="287">
        <f t="shared" ca="1" si="613"/>
        <v>2</v>
      </c>
      <c r="W2397" s="75">
        <f t="shared" ca="1" si="614"/>
        <v>6000</v>
      </c>
      <c r="X2397" s="200">
        <f t="shared" ca="1" si="615"/>
        <v>10160</v>
      </c>
      <c r="Y2397"/>
      <c r="Z2397" s="156">
        <v>0.1</v>
      </c>
      <c r="AA2397" s="227">
        <v>0.1</v>
      </c>
      <c r="AB2397" s="312" t="s">
        <v>7839</v>
      </c>
      <c r="AF2397">
        <f t="shared" si="592"/>
        <v>0</v>
      </c>
    </row>
    <row r="2398" spans="1:32" ht="75" hidden="1" x14ac:dyDescent="0.25">
      <c r="A2398" s="332" t="s">
        <v>6129</v>
      </c>
      <c r="B2398" s="93" t="str">
        <f t="shared" si="584"/>
        <v>YES</v>
      </c>
      <c r="C2398" t="s">
        <v>5505</v>
      </c>
      <c r="D2398" s="95">
        <v>43172</v>
      </c>
      <c r="E2398" s="95">
        <v>43221</v>
      </c>
      <c r="F2398" s="2">
        <f t="shared" si="611"/>
        <v>46874</v>
      </c>
      <c r="G2398" s="155">
        <v>2320</v>
      </c>
      <c r="H2398" s="93" t="s">
        <v>6111</v>
      </c>
      <c r="I2398" s="93" t="s">
        <v>5622</v>
      </c>
      <c r="J2398" s="337" t="s">
        <v>6285</v>
      </c>
      <c r="K2398" s="266">
        <f t="shared" si="612"/>
        <v>2028</v>
      </c>
      <c r="L2398" s="393" t="s">
        <v>5878</v>
      </c>
      <c r="M2398" s="393" t="s">
        <v>6089</v>
      </c>
      <c r="N2398" s="163" t="s">
        <v>6130</v>
      </c>
      <c r="O2398" s="347" t="s">
        <v>7503</v>
      </c>
      <c r="Q2398" s="243"/>
      <c r="R2398" s="92">
        <v>8280</v>
      </c>
      <c r="S2398" s="92">
        <v>0</v>
      </c>
      <c r="T2398" s="92">
        <v>8280</v>
      </c>
      <c r="U2398" s="201">
        <v>3480</v>
      </c>
      <c r="V2398" s="287">
        <f t="shared" ca="1" si="613"/>
        <v>2</v>
      </c>
      <c r="W2398" s="75">
        <f t="shared" ca="1" si="614"/>
        <v>6960</v>
      </c>
      <c r="X2398" s="200">
        <f t="shared" ca="1" si="615"/>
        <v>11760</v>
      </c>
      <c r="Y2398"/>
      <c r="Z2398" s="156">
        <v>0.1</v>
      </c>
      <c r="AA2398" s="227">
        <v>0.1</v>
      </c>
      <c r="AB2398" s="312" t="s">
        <v>7839</v>
      </c>
      <c r="AF2398">
        <f t="shared" si="592"/>
        <v>0</v>
      </c>
    </row>
    <row r="2399" spans="1:32" ht="45" hidden="1" x14ac:dyDescent="0.25">
      <c r="A2399" s="332" t="s">
        <v>6131</v>
      </c>
      <c r="B2399" s="93" t="str">
        <f t="shared" si="584"/>
        <v>YES</v>
      </c>
      <c r="C2399" t="s">
        <v>5505</v>
      </c>
      <c r="D2399" s="95">
        <v>43172</v>
      </c>
      <c r="E2399" s="95">
        <v>43221</v>
      </c>
      <c r="F2399" s="2">
        <f t="shared" si="611"/>
        <v>46874</v>
      </c>
      <c r="G2399" s="155">
        <v>240</v>
      </c>
      <c r="H2399" s="93" t="s">
        <v>6132</v>
      </c>
      <c r="I2399" s="93" t="s">
        <v>5622</v>
      </c>
      <c r="J2399" s="337" t="s">
        <v>6285</v>
      </c>
      <c r="K2399" s="266">
        <f t="shared" si="612"/>
        <v>2028</v>
      </c>
      <c r="L2399" s="393" t="s">
        <v>5623</v>
      </c>
      <c r="M2399" s="393" t="s">
        <v>6133</v>
      </c>
      <c r="N2399" s="163" t="s">
        <v>6134</v>
      </c>
      <c r="Q2399" s="243"/>
      <c r="R2399" s="92">
        <v>1000</v>
      </c>
      <c r="S2399" s="92">
        <v>0</v>
      </c>
      <c r="T2399" s="92">
        <v>1000</v>
      </c>
      <c r="U2399" s="201">
        <v>360</v>
      </c>
      <c r="V2399" s="287">
        <f t="shared" ca="1" si="613"/>
        <v>2</v>
      </c>
      <c r="W2399" s="75">
        <f t="shared" ca="1" si="614"/>
        <v>720</v>
      </c>
      <c r="X2399" s="200">
        <f t="shared" ca="1" si="615"/>
        <v>1360</v>
      </c>
      <c r="Y2399"/>
      <c r="Z2399" s="156">
        <v>0.1</v>
      </c>
      <c r="AA2399" s="227">
        <v>0.1</v>
      </c>
      <c r="AB2399" s="312" t="s">
        <v>7669</v>
      </c>
      <c r="AF2399">
        <f t="shared" si="592"/>
        <v>0</v>
      </c>
    </row>
    <row r="2400" spans="1:32" ht="30" hidden="1" x14ac:dyDescent="0.25">
      <c r="A2400" s="332" t="s">
        <v>6135</v>
      </c>
      <c r="B2400" s="93" t="str">
        <f t="shared" ref="B2400:B2429" si="616">IF(COUNTIF(GIS,A2400),"YES","NO")</f>
        <v>YES</v>
      </c>
      <c r="C2400" t="s">
        <v>5505</v>
      </c>
      <c r="D2400" s="95">
        <v>43172</v>
      </c>
      <c r="E2400" s="95">
        <v>43221</v>
      </c>
      <c r="F2400" s="2">
        <f>DATE(YEAR(E2400)+10,MONTH(E2400),DAY(E2400))</f>
        <v>46874</v>
      </c>
      <c r="G2400" s="155">
        <v>280</v>
      </c>
      <c r="H2400" s="93" t="s">
        <v>6136</v>
      </c>
      <c r="I2400" s="93" t="s">
        <v>5622</v>
      </c>
      <c r="J2400" s="166"/>
      <c r="K2400" s="266">
        <f t="shared" si="612"/>
        <v>2028</v>
      </c>
      <c r="L2400" s="393" t="s">
        <v>6137</v>
      </c>
      <c r="M2400" s="393" t="s">
        <v>6016</v>
      </c>
      <c r="N2400" s="163" t="s">
        <v>6138</v>
      </c>
      <c r="Q2400" s="243"/>
      <c r="R2400" s="182">
        <v>1140</v>
      </c>
      <c r="S2400" s="182">
        <v>8680</v>
      </c>
      <c r="T2400" s="182">
        <v>9820</v>
      </c>
      <c r="U2400" s="201">
        <v>420</v>
      </c>
      <c r="V2400" s="287">
        <f t="shared" ca="1" si="613"/>
        <v>2</v>
      </c>
      <c r="W2400" s="75">
        <f t="shared" ca="1" si="614"/>
        <v>840</v>
      </c>
      <c r="X2400" s="200">
        <f t="shared" ca="1" si="615"/>
        <v>10240</v>
      </c>
      <c r="Y2400"/>
      <c r="Z2400" s="156">
        <v>0.1</v>
      </c>
      <c r="AA2400" s="227">
        <v>0.1</v>
      </c>
      <c r="AB2400" s="312" t="s">
        <v>7714</v>
      </c>
      <c r="AF2400">
        <f t="shared" si="592"/>
        <v>0</v>
      </c>
    </row>
    <row r="2401" spans="1:32" hidden="1" x14ac:dyDescent="0.25">
      <c r="A2401" s="334"/>
      <c r="C2401"/>
      <c r="E2401" s="93"/>
      <c r="F2401" s="93"/>
      <c r="G2401" s="155"/>
      <c r="I2401" s="93"/>
      <c r="J2401" s="166"/>
      <c r="K2401" s="166"/>
      <c r="L2401" s="393"/>
      <c r="M2401" s="393"/>
      <c r="N2401" s="163" t="s">
        <v>5934</v>
      </c>
      <c r="Q2401" s="245"/>
      <c r="R2401" s="158">
        <v>52527.5</v>
      </c>
      <c r="S2401" s="158">
        <v>58360</v>
      </c>
      <c r="T2401" s="158">
        <v>110887.5</v>
      </c>
      <c r="Y2401"/>
      <c r="Z2401" s="156"/>
      <c r="AA2401" s="227"/>
      <c r="AF2401">
        <f t="shared" si="592"/>
        <v>0</v>
      </c>
    </row>
    <row r="2402" spans="1:32" ht="15.75" hidden="1" thickTop="1" x14ac:dyDescent="0.25">
      <c r="A2402" s="334"/>
      <c r="C2402"/>
      <c r="E2402" s="93"/>
      <c r="F2402" s="93"/>
      <c r="G2402" s="155"/>
      <c r="I2402" s="93"/>
      <c r="J2402" s="166"/>
      <c r="K2402" s="166"/>
      <c r="L2402" s="393"/>
      <c r="M2402" s="393"/>
      <c r="N2402" s="163" t="s">
        <v>5934</v>
      </c>
      <c r="Q2402" s="245"/>
      <c r="R2402" s="160"/>
      <c r="S2402" s="160"/>
      <c r="T2402" s="160"/>
      <c r="Y2402"/>
      <c r="Z2402" s="156"/>
      <c r="AA2402" s="227"/>
      <c r="AF2402">
        <f t="shared" si="592"/>
        <v>0</v>
      </c>
    </row>
    <row r="2403" spans="1:32" ht="60" hidden="1" x14ac:dyDescent="0.25">
      <c r="A2403" s="332" t="s">
        <v>6139</v>
      </c>
      <c r="B2403" s="93" t="str">
        <f t="shared" si="616"/>
        <v>YES</v>
      </c>
      <c r="C2403" t="s">
        <v>5505</v>
      </c>
      <c r="D2403" s="95">
        <v>43272</v>
      </c>
      <c r="E2403" s="95">
        <v>43313</v>
      </c>
      <c r="F2403" s="2">
        <f t="shared" ref="F2403:F2420" si="617">DATE(YEAR(E2403)+10,MONTH(E2403),DAY(E2403))</f>
        <v>46966</v>
      </c>
      <c r="G2403" s="155">
        <v>205</v>
      </c>
      <c r="H2403" s="93" t="s">
        <v>5366</v>
      </c>
      <c r="I2403" s="93" t="s">
        <v>72</v>
      </c>
      <c r="J2403" s="166"/>
      <c r="K2403" s="266">
        <f t="shared" ref="K2403:K2420" si="618">YEAR(F2403)</f>
        <v>2028</v>
      </c>
      <c r="L2403" s="393" t="s">
        <v>5507</v>
      </c>
      <c r="M2403" s="393" t="s">
        <v>6140</v>
      </c>
      <c r="N2403" s="163" t="s">
        <v>6141</v>
      </c>
      <c r="Q2403" s="243" t="s">
        <v>7748</v>
      </c>
      <c r="R2403" s="92">
        <v>877.5</v>
      </c>
      <c r="S2403" s="92">
        <f>T2403-R2403</f>
        <v>0</v>
      </c>
      <c r="T2403" s="92">
        <f>410+160+307.5</f>
        <v>877.5</v>
      </c>
      <c r="U2403" s="201">
        <v>307.5</v>
      </c>
      <c r="V2403" s="287">
        <f t="shared" ref="V2403:V2420" ca="1" si="619">IF(YEAR($W$3)-YEAR(E2403)&gt;9,10,IF(MONTH($W$3)&lt;MONTH(E2403),YEAR($W$3)-YEAR(E2403),YEAR($W$3)-YEAR(E2403)+1))</f>
        <v>2</v>
      </c>
      <c r="W2403" s="75">
        <f t="shared" ref="W2403:W2420" ca="1" si="620">IF(V2403&lt;6, ROUNDUP(G2403,0)*$W$6*V2403, ROUNDUP(G2403,0)*($W$6*5 + (V2403-5)*$W$7))</f>
        <v>615</v>
      </c>
      <c r="X2403" s="200">
        <f t="shared" ref="X2403:X2420" ca="1" si="621">IF(V2403=0,T2403,((T2403-ROUNDUP(G2403,0)*1.5)+W2403))</f>
        <v>1185</v>
      </c>
      <c r="Y2403"/>
      <c r="Z2403" s="156">
        <v>0.1</v>
      </c>
      <c r="AA2403" s="227">
        <v>0.1</v>
      </c>
      <c r="AB2403" s="312" t="s">
        <v>7844</v>
      </c>
      <c r="AF2403">
        <f t="shared" si="592"/>
        <v>0</v>
      </c>
    </row>
    <row r="2404" spans="1:32" ht="30" hidden="1" x14ac:dyDescent="0.25">
      <c r="A2404" s="332" t="s">
        <v>6142</v>
      </c>
      <c r="B2404" s="93" t="str">
        <f t="shared" si="616"/>
        <v>YES</v>
      </c>
      <c r="C2404" t="s">
        <v>5505</v>
      </c>
      <c r="D2404" s="95">
        <v>43272</v>
      </c>
      <c r="E2404" s="95">
        <v>43313</v>
      </c>
      <c r="F2404" s="2">
        <f>DATE(YEAR(E2404)+10,MONTH(E2404),DAY(E2404))</f>
        <v>46966</v>
      </c>
      <c r="G2404" s="155">
        <v>120</v>
      </c>
      <c r="H2404" s="93" t="s">
        <v>5366</v>
      </c>
      <c r="I2404" s="93" t="s">
        <v>72</v>
      </c>
      <c r="J2404" s="166"/>
      <c r="K2404" s="266">
        <f t="shared" si="618"/>
        <v>2028</v>
      </c>
      <c r="L2404" s="393" t="s">
        <v>5507</v>
      </c>
      <c r="M2404" s="393" t="s">
        <v>6140</v>
      </c>
      <c r="N2404" s="163" t="s">
        <v>6143</v>
      </c>
      <c r="Q2404" s="243" t="s">
        <v>7749</v>
      </c>
      <c r="R2404" s="92">
        <v>580</v>
      </c>
      <c r="S2404" s="92">
        <f t="shared" ref="S2404:S2420" si="622">T2404-R2404</f>
        <v>0</v>
      </c>
      <c r="T2404" s="92">
        <f>240+160+180</f>
        <v>580</v>
      </c>
      <c r="U2404" s="201">
        <v>180</v>
      </c>
      <c r="V2404" s="287">
        <f t="shared" ca="1" si="619"/>
        <v>2</v>
      </c>
      <c r="W2404" s="75">
        <f t="shared" ca="1" si="620"/>
        <v>360</v>
      </c>
      <c r="X2404" s="200">
        <f t="shared" ca="1" si="621"/>
        <v>760</v>
      </c>
      <c r="Y2404"/>
      <c r="Z2404" s="156">
        <v>0.1</v>
      </c>
      <c r="AA2404" s="227">
        <v>0.1</v>
      </c>
      <c r="AB2404" s="312" t="s">
        <v>7844</v>
      </c>
      <c r="AF2404">
        <f t="shared" si="592"/>
        <v>0</v>
      </c>
    </row>
    <row r="2405" spans="1:32" hidden="1" x14ac:dyDescent="0.25">
      <c r="A2405" s="332" t="s">
        <v>6144</v>
      </c>
      <c r="B2405" s="93" t="str">
        <f t="shared" si="616"/>
        <v>YES</v>
      </c>
      <c r="C2405" t="s">
        <v>5505</v>
      </c>
      <c r="D2405" s="95">
        <v>43272</v>
      </c>
      <c r="E2405" s="95">
        <v>43313</v>
      </c>
      <c r="F2405" s="2">
        <f t="shared" si="617"/>
        <v>46966</v>
      </c>
      <c r="G2405" s="155">
        <v>40</v>
      </c>
      <c r="H2405" s="93" t="s">
        <v>5366</v>
      </c>
      <c r="I2405" s="93" t="s">
        <v>72</v>
      </c>
      <c r="J2405" s="166"/>
      <c r="K2405" s="266">
        <f t="shared" si="618"/>
        <v>2028</v>
      </c>
      <c r="L2405" s="393" t="s">
        <v>5507</v>
      </c>
      <c r="M2405" s="393" t="s">
        <v>6145</v>
      </c>
      <c r="N2405" s="163" t="s">
        <v>6146</v>
      </c>
      <c r="Q2405" s="243" t="s">
        <v>7750</v>
      </c>
      <c r="R2405" s="92">
        <v>300</v>
      </c>
      <c r="S2405" s="92">
        <f t="shared" si="622"/>
        <v>0</v>
      </c>
      <c r="T2405" s="92">
        <f>80+160+60</f>
        <v>300</v>
      </c>
      <c r="U2405" s="201">
        <v>60</v>
      </c>
      <c r="V2405" s="287">
        <f t="shared" ca="1" si="619"/>
        <v>2</v>
      </c>
      <c r="W2405" s="75">
        <f t="shared" ca="1" si="620"/>
        <v>120</v>
      </c>
      <c r="X2405" s="200">
        <f t="shared" ca="1" si="621"/>
        <v>360</v>
      </c>
      <c r="Y2405"/>
      <c r="Z2405" s="156">
        <v>0.1</v>
      </c>
      <c r="AA2405" s="227">
        <v>0.1</v>
      </c>
      <c r="AB2405" s="312" t="s">
        <v>7844</v>
      </c>
      <c r="AF2405">
        <f t="shared" si="592"/>
        <v>0</v>
      </c>
    </row>
    <row r="2406" spans="1:32" ht="30" hidden="1" x14ac:dyDescent="0.25">
      <c r="A2406" s="332" t="s">
        <v>6147</v>
      </c>
      <c r="B2406" s="93" t="str">
        <f t="shared" si="616"/>
        <v>YES</v>
      </c>
      <c r="C2406" t="s">
        <v>5505</v>
      </c>
      <c r="D2406" s="95">
        <v>43272</v>
      </c>
      <c r="E2406" s="95">
        <v>43313</v>
      </c>
      <c r="F2406" s="2">
        <f t="shared" si="617"/>
        <v>46966</v>
      </c>
      <c r="G2406" s="155">
        <v>65</v>
      </c>
      <c r="H2406" s="93" t="s">
        <v>1034</v>
      </c>
      <c r="I2406" s="93" t="s">
        <v>72</v>
      </c>
      <c r="J2406" s="336" t="s">
        <v>7831</v>
      </c>
      <c r="K2406" s="266">
        <f t="shared" si="618"/>
        <v>2028</v>
      </c>
      <c r="L2406" s="393" t="s">
        <v>5863</v>
      </c>
      <c r="M2406" s="393" t="s">
        <v>6145</v>
      </c>
      <c r="N2406" s="163" t="s">
        <v>6148</v>
      </c>
      <c r="Q2406" s="243" t="s">
        <v>7751</v>
      </c>
      <c r="R2406" s="92">
        <v>387.5</v>
      </c>
      <c r="S2406" s="92">
        <f t="shared" si="622"/>
        <v>0</v>
      </c>
      <c r="T2406" s="92">
        <f>130+160+97.5</f>
        <v>387.5</v>
      </c>
      <c r="U2406" s="201">
        <v>97.5</v>
      </c>
      <c r="V2406" s="287">
        <f t="shared" ca="1" si="619"/>
        <v>2</v>
      </c>
      <c r="W2406" s="75">
        <f t="shared" ca="1" si="620"/>
        <v>195</v>
      </c>
      <c r="X2406" s="200">
        <f t="shared" ca="1" si="621"/>
        <v>485</v>
      </c>
      <c r="Y2406"/>
      <c r="Z2406" s="156">
        <v>0.1</v>
      </c>
      <c r="AA2406" s="227">
        <v>0.1</v>
      </c>
      <c r="AB2406" s="312" t="s">
        <v>7843</v>
      </c>
      <c r="AF2406">
        <f t="shared" si="592"/>
        <v>0</v>
      </c>
    </row>
    <row r="2407" spans="1:32" hidden="1" x14ac:dyDescent="0.25">
      <c r="A2407" s="332" t="s">
        <v>6149</v>
      </c>
      <c r="B2407" s="93" t="str">
        <f t="shared" si="616"/>
        <v>YES</v>
      </c>
      <c r="C2407" t="s">
        <v>5505</v>
      </c>
      <c r="D2407" s="95">
        <v>43272</v>
      </c>
      <c r="E2407" s="95">
        <v>43313</v>
      </c>
      <c r="F2407" s="2">
        <f t="shared" si="617"/>
        <v>46966</v>
      </c>
      <c r="G2407" s="155">
        <v>39.799999999999997</v>
      </c>
      <c r="H2407" s="93" t="s">
        <v>1034</v>
      </c>
      <c r="I2407" s="93" t="s">
        <v>72</v>
      </c>
      <c r="J2407" s="166"/>
      <c r="K2407" s="266">
        <f t="shared" si="618"/>
        <v>2028</v>
      </c>
      <c r="L2407" s="393" t="s">
        <v>5789</v>
      </c>
      <c r="M2407" s="393" t="s">
        <v>6026</v>
      </c>
      <c r="N2407" s="163" t="s">
        <v>6150</v>
      </c>
      <c r="Q2407" s="243" t="s">
        <v>7752</v>
      </c>
      <c r="R2407" s="92">
        <v>300</v>
      </c>
      <c r="S2407" s="92">
        <f t="shared" si="622"/>
        <v>0</v>
      </c>
      <c r="T2407" s="92">
        <f>80+160+60</f>
        <v>300</v>
      </c>
      <c r="U2407" s="201">
        <v>60</v>
      </c>
      <c r="V2407" s="287">
        <f t="shared" ca="1" si="619"/>
        <v>2</v>
      </c>
      <c r="W2407" s="75">
        <f t="shared" ca="1" si="620"/>
        <v>120</v>
      </c>
      <c r="X2407" s="200">
        <f t="shared" ca="1" si="621"/>
        <v>360</v>
      </c>
      <c r="Y2407"/>
      <c r="Z2407" s="156">
        <v>0.1</v>
      </c>
      <c r="AA2407" s="227">
        <v>0.1</v>
      </c>
      <c r="AB2407" s="312" t="s">
        <v>7843</v>
      </c>
      <c r="AF2407">
        <f t="shared" si="592"/>
        <v>0</v>
      </c>
    </row>
    <row r="2408" spans="1:32" hidden="1" x14ac:dyDescent="0.25">
      <c r="A2408" s="332" t="s">
        <v>6151</v>
      </c>
      <c r="B2408" s="93" t="str">
        <f t="shared" si="616"/>
        <v>YES</v>
      </c>
      <c r="C2408" t="s">
        <v>5505</v>
      </c>
      <c r="D2408" s="95">
        <v>43272</v>
      </c>
      <c r="E2408" s="95">
        <v>43313</v>
      </c>
      <c r="F2408" s="2">
        <f t="shared" si="617"/>
        <v>46966</v>
      </c>
      <c r="G2408" s="155">
        <v>80</v>
      </c>
      <c r="H2408" s="93" t="s">
        <v>1034</v>
      </c>
      <c r="I2408" s="93" t="s">
        <v>72</v>
      </c>
      <c r="J2408" s="166"/>
      <c r="K2408" s="266">
        <f t="shared" si="618"/>
        <v>2028</v>
      </c>
      <c r="L2408" s="393" t="s">
        <v>5789</v>
      </c>
      <c r="M2408" s="393" t="s">
        <v>6026</v>
      </c>
      <c r="N2408" s="163" t="s">
        <v>6152</v>
      </c>
      <c r="Q2408" s="243" t="s">
        <v>7753</v>
      </c>
      <c r="R2408" s="92">
        <v>440</v>
      </c>
      <c r="S2408" s="92">
        <f t="shared" si="622"/>
        <v>0</v>
      </c>
      <c r="T2408" s="92">
        <f>160+160+120</f>
        <v>440</v>
      </c>
      <c r="U2408" s="201">
        <v>120</v>
      </c>
      <c r="V2408" s="287">
        <f t="shared" ca="1" si="619"/>
        <v>2</v>
      </c>
      <c r="W2408" s="75">
        <f t="shared" ca="1" si="620"/>
        <v>240</v>
      </c>
      <c r="X2408" s="200">
        <f t="shared" ca="1" si="621"/>
        <v>560</v>
      </c>
      <c r="Y2408"/>
      <c r="Z2408" s="156">
        <v>0.1</v>
      </c>
      <c r="AA2408" s="227">
        <v>0.1</v>
      </c>
      <c r="AB2408" s="312" t="s">
        <v>7843</v>
      </c>
      <c r="AF2408">
        <f t="shared" si="592"/>
        <v>0</v>
      </c>
    </row>
    <row r="2409" spans="1:32" ht="30" hidden="1" x14ac:dyDescent="0.25">
      <c r="A2409" s="332" t="s">
        <v>6153</v>
      </c>
      <c r="B2409" s="93" t="str">
        <f t="shared" si="616"/>
        <v>YES</v>
      </c>
      <c r="C2409" t="s">
        <v>5505</v>
      </c>
      <c r="D2409" s="95">
        <v>43272</v>
      </c>
      <c r="E2409" s="95">
        <v>43313</v>
      </c>
      <c r="F2409" s="2">
        <f t="shared" si="617"/>
        <v>46966</v>
      </c>
      <c r="G2409" s="155">
        <v>364.38</v>
      </c>
      <c r="H2409" s="93" t="s">
        <v>1034</v>
      </c>
      <c r="I2409" s="93" t="s">
        <v>72</v>
      </c>
      <c r="J2409" s="166"/>
      <c r="K2409" s="266">
        <f t="shared" si="618"/>
        <v>2028</v>
      </c>
      <c r="L2409" s="393" t="s">
        <v>5789</v>
      </c>
      <c r="M2409" s="393" t="s">
        <v>6026</v>
      </c>
      <c r="N2409" s="163" t="s">
        <v>6154</v>
      </c>
      <c r="Q2409" s="243" t="s">
        <v>7754</v>
      </c>
      <c r="R2409" s="92">
        <v>1437.5</v>
      </c>
      <c r="S2409" s="92">
        <f t="shared" si="622"/>
        <v>2555</v>
      </c>
      <c r="T2409" s="92">
        <f>3285+160+547.5</f>
        <v>3992.5</v>
      </c>
      <c r="U2409" s="201">
        <v>547.5</v>
      </c>
      <c r="V2409" s="287">
        <f t="shared" ca="1" si="619"/>
        <v>2</v>
      </c>
      <c r="W2409" s="75">
        <f t="shared" ca="1" si="620"/>
        <v>1095</v>
      </c>
      <c r="X2409" s="200">
        <f t="shared" ca="1" si="621"/>
        <v>4540</v>
      </c>
      <c r="Y2409"/>
      <c r="Z2409" s="156">
        <v>0.1</v>
      </c>
      <c r="AA2409" s="227">
        <v>0.1</v>
      </c>
      <c r="AB2409" s="312" t="s">
        <v>7843</v>
      </c>
      <c r="AF2409">
        <f t="shared" si="592"/>
        <v>0</v>
      </c>
    </row>
    <row r="2410" spans="1:32" hidden="1" x14ac:dyDescent="0.25">
      <c r="A2410" s="332" t="s">
        <v>6155</v>
      </c>
      <c r="B2410" s="93" t="str">
        <f t="shared" si="616"/>
        <v>YES</v>
      </c>
      <c r="C2410" t="s">
        <v>5505</v>
      </c>
      <c r="D2410" s="95">
        <v>43272</v>
      </c>
      <c r="E2410" s="95">
        <v>43313</v>
      </c>
      <c r="F2410" s="2">
        <f t="shared" si="617"/>
        <v>46966</v>
      </c>
      <c r="G2410" s="155">
        <v>122.38</v>
      </c>
      <c r="H2410" s="93" t="s">
        <v>1034</v>
      </c>
      <c r="I2410" s="93" t="s">
        <v>72</v>
      </c>
      <c r="J2410" s="166"/>
      <c r="K2410" s="266">
        <f t="shared" si="618"/>
        <v>2028</v>
      </c>
      <c r="L2410" s="393" t="s">
        <v>5789</v>
      </c>
      <c r="M2410" s="393" t="s">
        <v>6026</v>
      </c>
      <c r="N2410" s="163" t="s">
        <v>6156</v>
      </c>
      <c r="Q2410" s="243" t="s">
        <v>7755</v>
      </c>
      <c r="R2410" s="92">
        <v>590.5</v>
      </c>
      <c r="S2410" s="92">
        <f t="shared" si="622"/>
        <v>0</v>
      </c>
      <c r="T2410" s="92">
        <f>246+160+184.5</f>
        <v>590.5</v>
      </c>
      <c r="U2410" s="201">
        <v>184.5</v>
      </c>
      <c r="V2410" s="287">
        <f t="shared" ca="1" si="619"/>
        <v>2</v>
      </c>
      <c r="W2410" s="75">
        <f t="shared" ca="1" si="620"/>
        <v>369</v>
      </c>
      <c r="X2410" s="200">
        <f t="shared" ca="1" si="621"/>
        <v>775</v>
      </c>
      <c r="Y2410"/>
      <c r="Z2410" s="156">
        <v>0.1</v>
      </c>
      <c r="AA2410" s="227">
        <v>0.1</v>
      </c>
      <c r="AB2410" s="312" t="s">
        <v>7843</v>
      </c>
      <c r="AF2410">
        <f t="shared" si="592"/>
        <v>0</v>
      </c>
    </row>
    <row r="2411" spans="1:32" hidden="1" x14ac:dyDescent="0.25">
      <c r="A2411" s="332" t="s">
        <v>6157</v>
      </c>
      <c r="B2411" s="93" t="str">
        <f t="shared" si="616"/>
        <v>YES</v>
      </c>
      <c r="C2411" t="s">
        <v>5505</v>
      </c>
      <c r="D2411" s="95">
        <v>43272</v>
      </c>
      <c r="E2411" s="95">
        <v>43313</v>
      </c>
      <c r="F2411" s="2">
        <f t="shared" si="617"/>
        <v>46966</v>
      </c>
      <c r="G2411" s="155">
        <v>40</v>
      </c>
      <c r="H2411" s="93" t="s">
        <v>1034</v>
      </c>
      <c r="I2411" s="93" t="s">
        <v>72</v>
      </c>
      <c r="J2411" s="166"/>
      <c r="K2411" s="266">
        <f t="shared" si="618"/>
        <v>2028</v>
      </c>
      <c r="L2411" s="393" t="s">
        <v>5789</v>
      </c>
      <c r="M2411" s="393" t="s">
        <v>5577</v>
      </c>
      <c r="N2411" s="163" t="s">
        <v>6158</v>
      </c>
      <c r="Q2411" s="243" t="s">
        <v>7756</v>
      </c>
      <c r="R2411" s="92">
        <v>300</v>
      </c>
      <c r="S2411" s="92">
        <f t="shared" si="622"/>
        <v>0</v>
      </c>
      <c r="T2411" s="92">
        <f>80+160+60</f>
        <v>300</v>
      </c>
      <c r="U2411" s="201">
        <v>60</v>
      </c>
      <c r="V2411" s="287">
        <f t="shared" ca="1" si="619"/>
        <v>2</v>
      </c>
      <c r="W2411" s="75">
        <f t="shared" ca="1" si="620"/>
        <v>120</v>
      </c>
      <c r="X2411" s="200">
        <f t="shared" ca="1" si="621"/>
        <v>360</v>
      </c>
      <c r="Y2411"/>
      <c r="Z2411" s="156">
        <v>0.1</v>
      </c>
      <c r="AA2411" s="227">
        <v>0.1</v>
      </c>
      <c r="AB2411" s="312" t="s">
        <v>7843</v>
      </c>
      <c r="AF2411">
        <f t="shared" si="592"/>
        <v>0</v>
      </c>
    </row>
    <row r="2412" spans="1:32" ht="45" hidden="1" x14ac:dyDescent="0.25">
      <c r="A2412" s="332" t="s">
        <v>6159</v>
      </c>
      <c r="B2412" s="93" t="str">
        <f t="shared" si="616"/>
        <v>YES</v>
      </c>
      <c r="C2412" t="s">
        <v>5505</v>
      </c>
      <c r="D2412" s="95">
        <v>43272</v>
      </c>
      <c r="E2412" s="95">
        <v>43313</v>
      </c>
      <c r="F2412" s="2">
        <f t="shared" si="617"/>
        <v>46966</v>
      </c>
      <c r="G2412" s="155">
        <v>67.5</v>
      </c>
      <c r="H2412" s="93" t="s">
        <v>1034</v>
      </c>
      <c r="I2412" s="93" t="s">
        <v>72</v>
      </c>
      <c r="J2412" s="166"/>
      <c r="K2412" s="266">
        <f t="shared" si="618"/>
        <v>2028</v>
      </c>
      <c r="L2412" s="393" t="s">
        <v>5789</v>
      </c>
      <c r="M2412" s="393" t="s">
        <v>5577</v>
      </c>
      <c r="N2412" s="163" t="s">
        <v>6160</v>
      </c>
      <c r="Q2412" s="243" t="s">
        <v>7757</v>
      </c>
      <c r="R2412" s="92">
        <v>398</v>
      </c>
      <c r="S2412" s="92">
        <f t="shared" si="622"/>
        <v>0</v>
      </c>
      <c r="T2412" s="92">
        <f>136+160+102</f>
        <v>398</v>
      </c>
      <c r="U2412" s="201">
        <v>102</v>
      </c>
      <c r="V2412" s="287">
        <f t="shared" ca="1" si="619"/>
        <v>2</v>
      </c>
      <c r="W2412" s="75">
        <f t="shared" ca="1" si="620"/>
        <v>204</v>
      </c>
      <c r="X2412" s="200">
        <f t="shared" ca="1" si="621"/>
        <v>500</v>
      </c>
      <c r="Y2412"/>
      <c r="Z2412" s="156">
        <v>0.1</v>
      </c>
      <c r="AA2412" s="227">
        <v>0.1</v>
      </c>
      <c r="AB2412" s="312" t="s">
        <v>7843</v>
      </c>
      <c r="AF2412">
        <f t="shared" ref="AF2412:AF2431" si="623">COUNTIF(FilterList,A2412)</f>
        <v>0</v>
      </c>
    </row>
    <row r="2413" spans="1:32" hidden="1" x14ac:dyDescent="0.25">
      <c r="A2413" s="332" t="s">
        <v>6161</v>
      </c>
      <c r="B2413" s="93" t="str">
        <f t="shared" si="616"/>
        <v>YES</v>
      </c>
      <c r="C2413" t="s">
        <v>5505</v>
      </c>
      <c r="D2413" s="95">
        <v>43272</v>
      </c>
      <c r="E2413" s="95">
        <v>43313</v>
      </c>
      <c r="F2413" s="2">
        <f t="shared" si="617"/>
        <v>46966</v>
      </c>
      <c r="G2413" s="155">
        <v>40</v>
      </c>
      <c r="H2413" s="93" t="s">
        <v>1034</v>
      </c>
      <c r="I2413" s="93" t="s">
        <v>72</v>
      </c>
      <c r="J2413" s="166"/>
      <c r="K2413" s="266">
        <f t="shared" si="618"/>
        <v>2028</v>
      </c>
      <c r="L2413" s="393" t="s">
        <v>5789</v>
      </c>
      <c r="M2413" s="393" t="s">
        <v>5577</v>
      </c>
      <c r="N2413" s="163" t="s">
        <v>6162</v>
      </c>
      <c r="Q2413" s="243" t="s">
        <v>7758</v>
      </c>
      <c r="R2413" s="92">
        <v>300</v>
      </c>
      <c r="S2413" s="92">
        <f t="shared" si="622"/>
        <v>0</v>
      </c>
      <c r="T2413" s="92">
        <f>80+160+60</f>
        <v>300</v>
      </c>
      <c r="U2413" s="208">
        <v>60</v>
      </c>
      <c r="V2413" s="287">
        <f t="shared" ca="1" si="619"/>
        <v>2</v>
      </c>
      <c r="W2413" s="75">
        <f t="shared" ca="1" si="620"/>
        <v>120</v>
      </c>
      <c r="X2413" s="200">
        <f t="shared" ca="1" si="621"/>
        <v>360</v>
      </c>
      <c r="Y2413"/>
      <c r="Z2413" s="156">
        <v>0.1</v>
      </c>
      <c r="AA2413" s="227">
        <v>0.1</v>
      </c>
      <c r="AB2413" s="312" t="s">
        <v>7843</v>
      </c>
      <c r="AF2413">
        <f t="shared" si="623"/>
        <v>0</v>
      </c>
    </row>
    <row r="2414" spans="1:32" hidden="1" x14ac:dyDescent="0.25">
      <c r="A2414" s="332" t="s">
        <v>6163</v>
      </c>
      <c r="B2414" s="93" t="str">
        <f t="shared" si="616"/>
        <v>YES</v>
      </c>
      <c r="C2414" t="s">
        <v>5505</v>
      </c>
      <c r="D2414" s="95">
        <v>43272</v>
      </c>
      <c r="E2414" s="95">
        <v>43313</v>
      </c>
      <c r="F2414" s="2">
        <f t="shared" si="617"/>
        <v>46966</v>
      </c>
      <c r="G2414" s="155">
        <v>40</v>
      </c>
      <c r="H2414" s="93" t="s">
        <v>1034</v>
      </c>
      <c r="I2414" s="93" t="s">
        <v>72</v>
      </c>
      <c r="J2414" s="166"/>
      <c r="K2414" s="266">
        <f t="shared" si="618"/>
        <v>2028</v>
      </c>
      <c r="L2414" s="393" t="s">
        <v>5789</v>
      </c>
      <c r="M2414" s="393" t="s">
        <v>5577</v>
      </c>
      <c r="N2414" s="163" t="s">
        <v>6164</v>
      </c>
      <c r="Q2414" s="243" t="s">
        <v>7759</v>
      </c>
      <c r="R2414" s="92">
        <v>300</v>
      </c>
      <c r="S2414" s="92">
        <f t="shared" si="622"/>
        <v>0</v>
      </c>
      <c r="T2414" s="92">
        <f>80+160+60</f>
        <v>300</v>
      </c>
      <c r="U2414" s="201">
        <v>60</v>
      </c>
      <c r="V2414" s="287">
        <f t="shared" ca="1" si="619"/>
        <v>2</v>
      </c>
      <c r="W2414" s="75">
        <f t="shared" ca="1" si="620"/>
        <v>120</v>
      </c>
      <c r="X2414" s="200">
        <f t="shared" ca="1" si="621"/>
        <v>360</v>
      </c>
      <c r="Y2414"/>
      <c r="Z2414" s="156">
        <v>0.1</v>
      </c>
      <c r="AA2414" s="227">
        <v>0.1</v>
      </c>
      <c r="AB2414" s="312" t="s">
        <v>7843</v>
      </c>
      <c r="AF2414">
        <f t="shared" si="623"/>
        <v>0</v>
      </c>
    </row>
    <row r="2415" spans="1:32" hidden="1" x14ac:dyDescent="0.25">
      <c r="A2415" s="332" t="s">
        <v>6165</v>
      </c>
      <c r="B2415" s="93" t="str">
        <f t="shared" si="616"/>
        <v>YES</v>
      </c>
      <c r="C2415" t="s">
        <v>5505</v>
      </c>
      <c r="D2415" s="95">
        <v>43272</v>
      </c>
      <c r="E2415" s="95">
        <v>43313</v>
      </c>
      <c r="F2415" s="2">
        <f t="shared" si="617"/>
        <v>46966</v>
      </c>
      <c r="G2415" s="155">
        <v>80</v>
      </c>
      <c r="H2415" s="93" t="s">
        <v>1034</v>
      </c>
      <c r="I2415" s="93" t="s">
        <v>72</v>
      </c>
      <c r="J2415" s="166"/>
      <c r="K2415" s="266">
        <f t="shared" si="618"/>
        <v>2028</v>
      </c>
      <c r="L2415" s="393" t="s">
        <v>5789</v>
      </c>
      <c r="M2415" s="393" t="s">
        <v>5577</v>
      </c>
      <c r="N2415" s="163" t="s">
        <v>6166</v>
      </c>
      <c r="Q2415" s="243" t="s">
        <v>7760</v>
      </c>
      <c r="R2415" s="92">
        <v>440</v>
      </c>
      <c r="S2415" s="92">
        <f t="shared" si="622"/>
        <v>0</v>
      </c>
      <c r="T2415" s="92">
        <f>160+160+120</f>
        <v>440</v>
      </c>
      <c r="U2415" s="201">
        <v>120</v>
      </c>
      <c r="V2415" s="287">
        <f t="shared" ca="1" si="619"/>
        <v>2</v>
      </c>
      <c r="W2415" s="75">
        <f t="shared" ca="1" si="620"/>
        <v>240</v>
      </c>
      <c r="X2415" s="200">
        <f t="shared" ca="1" si="621"/>
        <v>560</v>
      </c>
      <c r="Y2415"/>
      <c r="Z2415" s="156">
        <v>0.1</v>
      </c>
      <c r="AA2415" s="227">
        <v>0.1</v>
      </c>
      <c r="AB2415" s="312" t="s">
        <v>7843</v>
      </c>
      <c r="AF2415">
        <f t="shared" si="623"/>
        <v>0</v>
      </c>
    </row>
    <row r="2416" spans="1:32" hidden="1" x14ac:dyDescent="0.25">
      <c r="A2416" s="332" t="s">
        <v>6167</v>
      </c>
      <c r="B2416" s="93" t="str">
        <f t="shared" si="616"/>
        <v>YES</v>
      </c>
      <c r="C2416" t="s">
        <v>5505</v>
      </c>
      <c r="D2416" s="95">
        <v>43272</v>
      </c>
      <c r="E2416" s="95">
        <v>43313</v>
      </c>
      <c r="F2416" s="2">
        <f t="shared" si="617"/>
        <v>46966</v>
      </c>
      <c r="G2416" s="155">
        <v>120</v>
      </c>
      <c r="H2416" s="93" t="s">
        <v>1034</v>
      </c>
      <c r="I2416" s="93" t="s">
        <v>72</v>
      </c>
      <c r="J2416" s="166"/>
      <c r="K2416" s="266">
        <f t="shared" si="618"/>
        <v>2028</v>
      </c>
      <c r="L2416" s="393" t="s">
        <v>5789</v>
      </c>
      <c r="M2416" s="393" t="s">
        <v>5577</v>
      </c>
      <c r="N2416" s="163" t="s">
        <v>6168</v>
      </c>
      <c r="Q2416" s="243" t="s">
        <v>7761</v>
      </c>
      <c r="R2416" s="92">
        <v>1300</v>
      </c>
      <c r="S2416" s="92">
        <f t="shared" si="622"/>
        <v>0</v>
      </c>
      <c r="T2416" s="92">
        <f>960+160+180</f>
        <v>1300</v>
      </c>
      <c r="U2416" s="201">
        <v>180</v>
      </c>
      <c r="V2416" s="287">
        <f t="shared" ca="1" si="619"/>
        <v>2</v>
      </c>
      <c r="W2416" s="75">
        <f t="shared" ca="1" si="620"/>
        <v>360</v>
      </c>
      <c r="X2416" s="200">
        <f t="shared" ca="1" si="621"/>
        <v>1480</v>
      </c>
      <c r="Y2416"/>
      <c r="Z2416" s="156">
        <v>0.1</v>
      </c>
      <c r="AA2416" s="227">
        <v>0.1</v>
      </c>
      <c r="AB2416" s="312" t="s">
        <v>7843</v>
      </c>
      <c r="AF2416">
        <f t="shared" si="623"/>
        <v>0</v>
      </c>
    </row>
    <row r="2417" spans="1:32" hidden="1" x14ac:dyDescent="0.25">
      <c r="A2417" s="332" t="s">
        <v>6169</v>
      </c>
      <c r="B2417" s="93" t="str">
        <f t="shared" si="616"/>
        <v>YES</v>
      </c>
      <c r="C2417" t="s">
        <v>5505</v>
      </c>
      <c r="D2417" s="95">
        <v>43272</v>
      </c>
      <c r="E2417" s="95">
        <v>43313</v>
      </c>
      <c r="F2417" s="2">
        <f t="shared" si="617"/>
        <v>46966</v>
      </c>
      <c r="G2417" s="155">
        <v>80</v>
      </c>
      <c r="H2417" s="93" t="s">
        <v>1034</v>
      </c>
      <c r="I2417" s="93" t="s">
        <v>72</v>
      </c>
      <c r="J2417" s="166"/>
      <c r="K2417" s="266">
        <f t="shared" si="618"/>
        <v>2028</v>
      </c>
      <c r="L2417" s="393" t="s">
        <v>5507</v>
      </c>
      <c r="M2417" s="393" t="s">
        <v>5577</v>
      </c>
      <c r="N2417" s="163" t="s">
        <v>6170</v>
      </c>
      <c r="Q2417" s="243" t="s">
        <v>7762</v>
      </c>
      <c r="R2417" s="92">
        <v>440</v>
      </c>
      <c r="S2417" s="92">
        <f t="shared" si="622"/>
        <v>0</v>
      </c>
      <c r="T2417" s="92">
        <f>160+160+120</f>
        <v>440</v>
      </c>
      <c r="U2417" s="201">
        <v>120</v>
      </c>
      <c r="V2417" s="287">
        <f t="shared" ca="1" si="619"/>
        <v>2</v>
      </c>
      <c r="W2417" s="75">
        <f t="shared" ca="1" si="620"/>
        <v>240</v>
      </c>
      <c r="X2417" s="200">
        <f t="shared" ca="1" si="621"/>
        <v>560</v>
      </c>
      <c r="Y2417"/>
      <c r="Z2417" s="156">
        <v>0.1</v>
      </c>
      <c r="AA2417" s="227">
        <v>0.1</v>
      </c>
      <c r="AB2417" s="312" t="s">
        <v>7843</v>
      </c>
      <c r="AF2417">
        <f t="shared" si="623"/>
        <v>0</v>
      </c>
    </row>
    <row r="2418" spans="1:32" hidden="1" x14ac:dyDescent="0.25">
      <c r="A2418" s="332" t="s">
        <v>6171</v>
      </c>
      <c r="B2418" s="93" t="str">
        <f t="shared" si="616"/>
        <v>YES</v>
      </c>
      <c r="C2418" t="s">
        <v>5505</v>
      </c>
      <c r="D2418" s="95">
        <v>43272</v>
      </c>
      <c r="E2418" s="95">
        <v>43313</v>
      </c>
      <c r="F2418" s="2">
        <f t="shared" si="617"/>
        <v>46966</v>
      </c>
      <c r="G2418" s="155">
        <v>40</v>
      </c>
      <c r="H2418" s="93" t="s">
        <v>1034</v>
      </c>
      <c r="I2418" s="93" t="s">
        <v>72</v>
      </c>
      <c r="J2418" s="166"/>
      <c r="K2418" s="266">
        <f t="shared" si="618"/>
        <v>2028</v>
      </c>
      <c r="L2418" s="393" t="s">
        <v>5507</v>
      </c>
      <c r="M2418" s="393" t="s">
        <v>5577</v>
      </c>
      <c r="N2418" s="163" t="s">
        <v>6172</v>
      </c>
      <c r="Q2418" s="243" t="s">
        <v>7763</v>
      </c>
      <c r="R2418" s="92">
        <v>300</v>
      </c>
      <c r="S2418" s="92">
        <f t="shared" si="622"/>
        <v>0</v>
      </c>
      <c r="T2418" s="92">
        <f>80+160+60</f>
        <v>300</v>
      </c>
      <c r="U2418" s="201">
        <v>60</v>
      </c>
      <c r="V2418" s="287">
        <f t="shared" ca="1" si="619"/>
        <v>2</v>
      </c>
      <c r="W2418" s="75">
        <f t="shared" ca="1" si="620"/>
        <v>120</v>
      </c>
      <c r="X2418" s="200">
        <f t="shared" ca="1" si="621"/>
        <v>360</v>
      </c>
      <c r="Y2418"/>
      <c r="Z2418" s="156">
        <v>0.1</v>
      </c>
      <c r="AA2418" s="227">
        <v>0.1</v>
      </c>
      <c r="AB2418" s="312" t="s">
        <v>7843</v>
      </c>
      <c r="AF2418">
        <f t="shared" si="623"/>
        <v>0</v>
      </c>
    </row>
    <row r="2419" spans="1:32" hidden="1" x14ac:dyDescent="0.25">
      <c r="A2419" s="332" t="s">
        <v>6173</v>
      </c>
      <c r="B2419" s="93" t="str">
        <f t="shared" si="616"/>
        <v>YES</v>
      </c>
      <c r="C2419" t="s">
        <v>5505</v>
      </c>
      <c r="D2419" s="95">
        <v>43272</v>
      </c>
      <c r="E2419" s="95">
        <v>43313</v>
      </c>
      <c r="F2419" s="2">
        <f t="shared" si="617"/>
        <v>46966</v>
      </c>
      <c r="G2419" s="155">
        <v>86.03</v>
      </c>
      <c r="H2419" s="93" t="s">
        <v>5366</v>
      </c>
      <c r="I2419" s="93" t="s">
        <v>72</v>
      </c>
      <c r="J2419" s="166"/>
      <c r="K2419" s="266">
        <f t="shared" si="618"/>
        <v>2028</v>
      </c>
      <c r="L2419" s="393" t="s">
        <v>5863</v>
      </c>
      <c r="M2419" s="393" t="s">
        <v>5790</v>
      </c>
      <c r="N2419" s="163" t="s">
        <v>6174</v>
      </c>
      <c r="Q2419" s="243" t="s">
        <v>7764</v>
      </c>
      <c r="R2419" s="92">
        <v>464.5</v>
      </c>
      <c r="S2419" s="92">
        <f t="shared" si="622"/>
        <v>0</v>
      </c>
      <c r="T2419" s="92">
        <f>174+160+130.5</f>
        <v>464.5</v>
      </c>
      <c r="U2419" s="201">
        <v>130.5</v>
      </c>
      <c r="V2419" s="287">
        <f t="shared" ca="1" si="619"/>
        <v>2</v>
      </c>
      <c r="W2419" s="75">
        <f t="shared" ca="1" si="620"/>
        <v>261</v>
      </c>
      <c r="X2419" s="200">
        <f t="shared" ca="1" si="621"/>
        <v>595</v>
      </c>
      <c r="Y2419"/>
      <c r="Z2419" s="156">
        <v>0.1</v>
      </c>
      <c r="AA2419" s="227">
        <v>0.1</v>
      </c>
      <c r="AB2419" s="312" t="s">
        <v>7921</v>
      </c>
      <c r="AF2419">
        <f t="shared" si="623"/>
        <v>0</v>
      </c>
    </row>
    <row r="2420" spans="1:32" hidden="1" x14ac:dyDescent="0.25">
      <c r="A2420" s="332" t="s">
        <v>6175</v>
      </c>
      <c r="B2420" s="93" t="str">
        <f t="shared" si="616"/>
        <v>YES</v>
      </c>
      <c r="C2420" t="s">
        <v>5505</v>
      </c>
      <c r="D2420" s="95">
        <v>43272</v>
      </c>
      <c r="E2420" s="95">
        <v>43313</v>
      </c>
      <c r="F2420" s="2">
        <f t="shared" si="617"/>
        <v>46966</v>
      </c>
      <c r="G2420" s="155">
        <v>39.590000000000003</v>
      </c>
      <c r="H2420" s="93" t="s">
        <v>1034</v>
      </c>
      <c r="I2420" s="93" t="s">
        <v>72</v>
      </c>
      <c r="J2420" s="166"/>
      <c r="K2420" s="266">
        <f t="shared" si="618"/>
        <v>2028</v>
      </c>
      <c r="L2420" s="393" t="s">
        <v>5789</v>
      </c>
      <c r="M2420" s="393" t="s">
        <v>6026</v>
      </c>
      <c r="N2420" s="163" t="s">
        <v>6176</v>
      </c>
      <c r="Q2420" s="243" t="s">
        <v>7765</v>
      </c>
      <c r="R2420" s="182">
        <v>300</v>
      </c>
      <c r="S2420" s="92">
        <f t="shared" si="622"/>
        <v>0</v>
      </c>
      <c r="T2420" s="182">
        <f>80+160+60</f>
        <v>300</v>
      </c>
      <c r="U2420" s="201">
        <v>60</v>
      </c>
      <c r="V2420" s="287">
        <f t="shared" ca="1" si="619"/>
        <v>2</v>
      </c>
      <c r="W2420" s="75">
        <f t="shared" ca="1" si="620"/>
        <v>120</v>
      </c>
      <c r="X2420" s="200">
        <f t="shared" ca="1" si="621"/>
        <v>360</v>
      </c>
      <c r="Y2420"/>
      <c r="Z2420" s="156">
        <v>0.1</v>
      </c>
      <c r="AA2420" s="227">
        <v>0.1</v>
      </c>
      <c r="AB2420" s="312" t="s">
        <v>7843</v>
      </c>
      <c r="AF2420">
        <f t="shared" si="623"/>
        <v>0</v>
      </c>
    </row>
    <row r="2421" spans="1:32" hidden="1" x14ac:dyDescent="0.25">
      <c r="A2421" s="334"/>
      <c r="C2421"/>
      <c r="E2421" s="93"/>
      <c r="F2421" s="93"/>
      <c r="G2421" s="155"/>
      <c r="I2421" s="93"/>
      <c r="J2421" s="166"/>
      <c r="K2421" s="166"/>
      <c r="L2421" s="393"/>
      <c r="M2421" s="393"/>
      <c r="N2421" s="163" t="s">
        <v>5934</v>
      </c>
      <c r="Q2421" s="245"/>
      <c r="R2421" s="158">
        <f>SUM(R2403:R2420)</f>
        <v>9455.5</v>
      </c>
      <c r="S2421" s="158">
        <f t="shared" ref="S2421:T2421" si="624">SUM(S2403:S2420)</f>
        <v>2555</v>
      </c>
      <c r="T2421" s="158">
        <f t="shared" si="624"/>
        <v>12010.5</v>
      </c>
      <c r="Y2421"/>
      <c r="Z2421" s="156"/>
      <c r="AA2421" s="227"/>
      <c r="AF2421">
        <f t="shared" si="623"/>
        <v>0</v>
      </c>
    </row>
    <row r="2422" spans="1:32" ht="15.75" hidden="1" thickTop="1" x14ac:dyDescent="0.25">
      <c r="A2422" s="334"/>
      <c r="C2422"/>
      <c r="E2422" s="93"/>
      <c r="F2422" s="93"/>
      <c r="G2422" s="155"/>
      <c r="I2422" s="93"/>
      <c r="J2422" s="166"/>
      <c r="K2422" s="166"/>
      <c r="L2422" s="393"/>
      <c r="M2422" s="393"/>
      <c r="N2422" s="163" t="s">
        <v>5934</v>
      </c>
      <c r="Q2422" s="245"/>
      <c r="R2422" s="160"/>
      <c r="S2422" s="160"/>
      <c r="T2422" s="160"/>
      <c r="Y2422"/>
      <c r="Z2422" s="156"/>
      <c r="AA2422" s="227"/>
      <c r="AF2422">
        <f t="shared" si="623"/>
        <v>0</v>
      </c>
    </row>
    <row r="2423" spans="1:32" hidden="1" x14ac:dyDescent="0.25">
      <c r="A2423" s="332" t="s">
        <v>6177</v>
      </c>
      <c r="B2423" s="93" t="str">
        <f t="shared" si="616"/>
        <v>YES</v>
      </c>
      <c r="C2423" t="s">
        <v>5505</v>
      </c>
      <c r="D2423" s="95">
        <v>43348</v>
      </c>
      <c r="E2423" s="96">
        <v>43405</v>
      </c>
      <c r="F2423" s="2">
        <f t="shared" ref="F2423:F2429" si="625">DATE(YEAR(E2423)+10,MONTH(E2423),DAY(E2423))</f>
        <v>47058</v>
      </c>
      <c r="G2423" s="155">
        <v>640</v>
      </c>
      <c r="H2423" s="7" t="s">
        <v>892</v>
      </c>
      <c r="I2423" s="93" t="s">
        <v>512</v>
      </c>
      <c r="J2423" s="166"/>
      <c r="K2423" s="266">
        <f t="shared" ref="K2423:K2429" si="626">YEAR(F2423)</f>
        <v>2028</v>
      </c>
      <c r="L2423" s="393" t="s">
        <v>6178</v>
      </c>
      <c r="M2423" s="393" t="s">
        <v>5549</v>
      </c>
      <c r="N2423" s="163" t="s">
        <v>7563</v>
      </c>
      <c r="O2423" s="166" t="s">
        <v>5065</v>
      </c>
      <c r="Q2423" s="243" t="s">
        <v>7637</v>
      </c>
      <c r="R2423" s="92">
        <v>2400</v>
      </c>
      <c r="S2423" s="92">
        <f>T2423-R2423</f>
        <v>4480</v>
      </c>
      <c r="T2423" s="92">
        <f>5760+160+960</f>
        <v>6880</v>
      </c>
      <c r="U2423" s="201">
        <v>960</v>
      </c>
      <c r="V2423" s="287">
        <f t="shared" ref="V2423:V2429" ca="1" si="627">IF(YEAR($W$3)-YEAR(E2423)&gt;9,10,IF(MONTH($W$3)&lt;MONTH(E2423),YEAR($W$3)-YEAR(E2423),YEAR($W$3)-YEAR(E2423)+1))</f>
        <v>2</v>
      </c>
      <c r="W2423" s="75">
        <f t="shared" ref="W2423:W2429" ca="1" si="628">IF(V2423&lt;6, ROUNDUP(G2423,0)*$W$6*V2423, ROUNDUP(G2423,0)*($W$6*5 + (V2423-5)*$W$7))</f>
        <v>1920</v>
      </c>
      <c r="X2423" s="200">
        <f t="shared" ref="X2423:X2429" ca="1" si="629">IF(V2423=0,T2423,((T2423-ROUNDUP(G2423,0)*1.5)+W2423))</f>
        <v>7840</v>
      </c>
      <c r="Y2423"/>
      <c r="Z2423" s="156">
        <v>0.1</v>
      </c>
      <c r="AA2423" s="227">
        <v>0.1</v>
      </c>
      <c r="AB2423" s="312" t="s">
        <v>7850</v>
      </c>
      <c r="AF2423">
        <f t="shared" si="623"/>
        <v>0</v>
      </c>
    </row>
    <row r="2424" spans="1:32" hidden="1" x14ac:dyDescent="0.25">
      <c r="A2424" s="332" t="s">
        <v>6179</v>
      </c>
      <c r="B2424" s="93" t="str">
        <f t="shared" si="616"/>
        <v>YES</v>
      </c>
      <c r="C2424" t="s">
        <v>5505</v>
      </c>
      <c r="D2424" s="95">
        <v>43348</v>
      </c>
      <c r="E2424" s="96">
        <v>43405</v>
      </c>
      <c r="F2424" s="2">
        <f t="shared" si="625"/>
        <v>47058</v>
      </c>
      <c r="G2424" s="155">
        <v>40</v>
      </c>
      <c r="H2424" s="93" t="s">
        <v>511</v>
      </c>
      <c r="I2424" s="93" t="s">
        <v>512</v>
      </c>
      <c r="J2424" s="166"/>
      <c r="K2424" s="266">
        <f t="shared" si="626"/>
        <v>2028</v>
      </c>
      <c r="L2424" s="393" t="s">
        <v>6180</v>
      </c>
      <c r="M2424" s="393" t="s">
        <v>6089</v>
      </c>
      <c r="N2424" s="163" t="s">
        <v>7564</v>
      </c>
      <c r="O2424" s="166" t="s">
        <v>7565</v>
      </c>
      <c r="Q2424" s="243" t="s">
        <v>7638</v>
      </c>
      <c r="R2424" s="92">
        <v>300</v>
      </c>
      <c r="S2424" s="92">
        <f t="shared" ref="S2424:S2429" si="630">T2424-R2424</f>
        <v>2960</v>
      </c>
      <c r="T2424" s="92">
        <f>3040+160+60</f>
        <v>3260</v>
      </c>
      <c r="U2424" s="201">
        <v>60</v>
      </c>
      <c r="V2424" s="287">
        <f t="shared" ca="1" si="627"/>
        <v>2</v>
      </c>
      <c r="W2424" s="75">
        <f t="shared" ca="1" si="628"/>
        <v>120</v>
      </c>
      <c r="X2424" s="200">
        <f t="shared" ca="1" si="629"/>
        <v>3320</v>
      </c>
      <c r="Y2424"/>
      <c r="Z2424" s="156">
        <v>0.1</v>
      </c>
      <c r="AA2424" s="227">
        <v>0.1</v>
      </c>
      <c r="AB2424" s="312" t="s">
        <v>7849</v>
      </c>
      <c r="AC2424" s="310">
        <v>43843</v>
      </c>
      <c r="AD2424" s="311">
        <v>0.25</v>
      </c>
      <c r="AE2424" s="312" t="s">
        <v>8238</v>
      </c>
      <c r="AF2424">
        <f t="shared" si="623"/>
        <v>0</v>
      </c>
    </row>
    <row r="2425" spans="1:32" hidden="1" x14ac:dyDescent="0.25">
      <c r="A2425" s="332" t="s">
        <v>6181</v>
      </c>
      <c r="B2425" s="93" t="str">
        <f t="shared" si="616"/>
        <v>YES</v>
      </c>
      <c r="C2425" t="s">
        <v>5505</v>
      </c>
      <c r="D2425" s="95">
        <v>43348</v>
      </c>
      <c r="E2425" s="96">
        <v>43405</v>
      </c>
      <c r="F2425" s="2">
        <f t="shared" si="625"/>
        <v>47058</v>
      </c>
      <c r="G2425" s="155">
        <v>400</v>
      </c>
      <c r="H2425" s="93" t="s">
        <v>892</v>
      </c>
      <c r="I2425" s="93" t="s">
        <v>512</v>
      </c>
      <c r="J2425" s="166"/>
      <c r="K2425" s="266">
        <f t="shared" si="626"/>
        <v>2028</v>
      </c>
      <c r="L2425" s="393" t="s">
        <v>5741</v>
      </c>
      <c r="M2425" s="393" t="s">
        <v>6182</v>
      </c>
      <c r="N2425" s="163" t="s">
        <v>7566</v>
      </c>
      <c r="O2425" s="166" t="s">
        <v>7567</v>
      </c>
      <c r="Q2425" s="243" t="s">
        <v>7639</v>
      </c>
      <c r="R2425" s="92">
        <v>1560</v>
      </c>
      <c r="S2425" s="92">
        <f t="shared" si="630"/>
        <v>60400</v>
      </c>
      <c r="T2425" s="92">
        <f>61200+160+600</f>
        <v>61960</v>
      </c>
      <c r="U2425" s="201">
        <v>600</v>
      </c>
      <c r="V2425" s="287">
        <f t="shared" ca="1" si="627"/>
        <v>2</v>
      </c>
      <c r="W2425" s="75">
        <f t="shared" ca="1" si="628"/>
        <v>1200</v>
      </c>
      <c r="X2425" s="200">
        <f t="shared" ca="1" si="629"/>
        <v>62560</v>
      </c>
      <c r="Y2425"/>
      <c r="Z2425" s="156">
        <v>0.1</v>
      </c>
      <c r="AA2425" s="227">
        <v>0.1</v>
      </c>
      <c r="AB2425" s="312" t="s">
        <v>7850</v>
      </c>
      <c r="AF2425">
        <f t="shared" si="623"/>
        <v>0</v>
      </c>
    </row>
    <row r="2426" spans="1:32" hidden="1" x14ac:dyDescent="0.25">
      <c r="A2426" s="332" t="s">
        <v>6183</v>
      </c>
      <c r="B2426" s="93" t="str">
        <f t="shared" si="616"/>
        <v>YES</v>
      </c>
      <c r="C2426" t="s">
        <v>5505</v>
      </c>
      <c r="D2426" s="95">
        <v>43348</v>
      </c>
      <c r="E2426" s="96">
        <v>43405</v>
      </c>
      <c r="F2426" s="2">
        <f t="shared" si="625"/>
        <v>47058</v>
      </c>
      <c r="G2426" s="155">
        <v>408.68</v>
      </c>
      <c r="H2426" s="93" t="s">
        <v>892</v>
      </c>
      <c r="I2426" s="93" t="s">
        <v>512</v>
      </c>
      <c r="J2426" s="166"/>
      <c r="K2426" s="266">
        <f t="shared" si="626"/>
        <v>2028</v>
      </c>
      <c r="L2426" s="393" t="s">
        <v>5741</v>
      </c>
      <c r="M2426" s="393" t="s">
        <v>6182</v>
      </c>
      <c r="N2426" s="163" t="s">
        <v>7568</v>
      </c>
      <c r="O2426" s="166" t="s">
        <v>7569</v>
      </c>
      <c r="Q2426" s="243" t="s">
        <v>7640</v>
      </c>
      <c r="R2426" s="92">
        <v>1591.5</v>
      </c>
      <c r="S2426" s="92">
        <f t="shared" si="630"/>
        <v>15951</v>
      </c>
      <c r="T2426" s="92">
        <f>16769+160+613.5</f>
        <v>17542.5</v>
      </c>
      <c r="U2426" s="201">
        <v>613.5</v>
      </c>
      <c r="V2426" s="287">
        <f t="shared" ca="1" si="627"/>
        <v>2</v>
      </c>
      <c r="W2426" s="75">
        <f t="shared" ca="1" si="628"/>
        <v>1227</v>
      </c>
      <c r="X2426" s="200">
        <f t="shared" ca="1" si="629"/>
        <v>18156</v>
      </c>
      <c r="Y2426"/>
      <c r="Z2426" s="156">
        <v>0.1</v>
      </c>
      <c r="AA2426" s="227">
        <v>0.1</v>
      </c>
      <c r="AB2426" s="312" t="s">
        <v>7850</v>
      </c>
      <c r="AF2426">
        <f t="shared" si="623"/>
        <v>0</v>
      </c>
    </row>
    <row r="2427" spans="1:32" hidden="1" x14ac:dyDescent="0.25">
      <c r="A2427" s="332" t="s">
        <v>6184</v>
      </c>
      <c r="B2427" s="93" t="str">
        <f t="shared" si="616"/>
        <v>YES</v>
      </c>
      <c r="C2427" t="s">
        <v>5505</v>
      </c>
      <c r="D2427" s="95">
        <v>43348</v>
      </c>
      <c r="E2427" s="96">
        <v>43405</v>
      </c>
      <c r="F2427" s="2">
        <f t="shared" si="625"/>
        <v>47058</v>
      </c>
      <c r="G2427" s="155">
        <v>600</v>
      </c>
      <c r="H2427" s="93" t="s">
        <v>892</v>
      </c>
      <c r="I2427" s="93" t="s">
        <v>512</v>
      </c>
      <c r="J2427" s="166"/>
      <c r="K2427" s="266">
        <f t="shared" si="626"/>
        <v>2028</v>
      </c>
      <c r="L2427" s="393" t="s">
        <v>5741</v>
      </c>
      <c r="M2427" s="393" t="s">
        <v>6182</v>
      </c>
      <c r="N2427" s="163" t="s">
        <v>7568</v>
      </c>
      <c r="O2427" s="166" t="s">
        <v>7570</v>
      </c>
      <c r="Q2427" s="243" t="s">
        <v>7641</v>
      </c>
      <c r="R2427" s="92">
        <v>2260</v>
      </c>
      <c r="S2427" s="92">
        <f t="shared" si="630"/>
        <v>32400</v>
      </c>
      <c r="T2427" s="92">
        <f>33600+160+900</f>
        <v>34660</v>
      </c>
      <c r="U2427" s="201">
        <v>900</v>
      </c>
      <c r="V2427" s="287">
        <f t="shared" ca="1" si="627"/>
        <v>2</v>
      </c>
      <c r="W2427" s="75">
        <f t="shared" ca="1" si="628"/>
        <v>1800</v>
      </c>
      <c r="X2427" s="200">
        <f t="shared" ca="1" si="629"/>
        <v>35560</v>
      </c>
      <c r="Y2427"/>
      <c r="Z2427" s="156">
        <v>0.1</v>
      </c>
      <c r="AA2427" s="227">
        <v>0.1</v>
      </c>
      <c r="AB2427" s="312" t="s">
        <v>7850</v>
      </c>
      <c r="AF2427">
        <f t="shared" si="623"/>
        <v>0</v>
      </c>
    </row>
    <row r="2428" spans="1:32" hidden="1" x14ac:dyDescent="0.25">
      <c r="A2428" s="332" t="s">
        <v>6185</v>
      </c>
      <c r="B2428" s="93" t="str">
        <f t="shared" si="616"/>
        <v>YES</v>
      </c>
      <c r="C2428" t="s">
        <v>5505</v>
      </c>
      <c r="D2428" s="95">
        <v>43348</v>
      </c>
      <c r="E2428" s="96">
        <v>43405</v>
      </c>
      <c r="F2428" s="2">
        <f t="shared" si="625"/>
        <v>47058</v>
      </c>
      <c r="G2428" s="155">
        <v>240</v>
      </c>
      <c r="H2428" s="93" t="s">
        <v>892</v>
      </c>
      <c r="I2428" s="93" t="s">
        <v>512</v>
      </c>
      <c r="J2428" s="166"/>
      <c r="K2428" s="266">
        <f t="shared" si="626"/>
        <v>2028</v>
      </c>
      <c r="L2428" s="393" t="s">
        <v>5741</v>
      </c>
      <c r="M2428" s="393" t="s">
        <v>6182</v>
      </c>
      <c r="N2428" s="163" t="s">
        <v>7566</v>
      </c>
      <c r="O2428" s="166" t="s">
        <v>7571</v>
      </c>
      <c r="Q2428" s="243" t="s">
        <v>7642</v>
      </c>
      <c r="R2428" s="92">
        <v>1000</v>
      </c>
      <c r="S2428" s="92">
        <f t="shared" si="630"/>
        <v>23760</v>
      </c>
      <c r="T2428" s="92">
        <f>24240+160+360</f>
        <v>24760</v>
      </c>
      <c r="U2428" s="201">
        <v>360</v>
      </c>
      <c r="V2428" s="287">
        <f t="shared" ca="1" si="627"/>
        <v>2</v>
      </c>
      <c r="W2428" s="75">
        <f t="shared" ca="1" si="628"/>
        <v>720</v>
      </c>
      <c r="X2428" s="200">
        <f t="shared" ca="1" si="629"/>
        <v>25120</v>
      </c>
      <c r="Y2428"/>
      <c r="Z2428" s="156">
        <v>0.1</v>
      </c>
      <c r="AA2428" s="227">
        <v>0.1</v>
      </c>
      <c r="AB2428" s="312" t="s">
        <v>7850</v>
      </c>
      <c r="AF2428">
        <f t="shared" si="623"/>
        <v>0</v>
      </c>
    </row>
    <row r="2429" spans="1:32" hidden="1" x14ac:dyDescent="0.25">
      <c r="A2429" s="332" t="s">
        <v>6186</v>
      </c>
      <c r="B2429" s="93" t="str">
        <f t="shared" si="616"/>
        <v>YES</v>
      </c>
      <c r="C2429" t="s">
        <v>5505</v>
      </c>
      <c r="D2429" s="95">
        <v>43348</v>
      </c>
      <c r="E2429" s="96">
        <v>43405</v>
      </c>
      <c r="F2429" s="2">
        <f t="shared" si="625"/>
        <v>47058</v>
      </c>
      <c r="G2429" s="155">
        <v>480</v>
      </c>
      <c r="H2429" s="93" t="s">
        <v>511</v>
      </c>
      <c r="I2429" s="93" t="s">
        <v>512</v>
      </c>
      <c r="J2429" s="166"/>
      <c r="K2429" s="266">
        <f t="shared" si="626"/>
        <v>2028</v>
      </c>
      <c r="L2429" s="393" t="s">
        <v>6187</v>
      </c>
      <c r="M2429" s="393" t="s">
        <v>6182</v>
      </c>
      <c r="N2429" s="163" t="s">
        <v>7572</v>
      </c>
      <c r="O2429" s="166" t="s">
        <v>7573</v>
      </c>
      <c r="Q2429" s="243" t="s">
        <v>7643</v>
      </c>
      <c r="R2429" s="182">
        <v>1840</v>
      </c>
      <c r="S2429" s="92">
        <f t="shared" si="630"/>
        <v>73920</v>
      </c>
      <c r="T2429" s="182">
        <f>74880+160+720</f>
        <v>75760</v>
      </c>
      <c r="U2429" s="201">
        <v>720</v>
      </c>
      <c r="V2429" s="287">
        <f t="shared" ca="1" si="627"/>
        <v>2</v>
      </c>
      <c r="W2429" s="75">
        <f t="shared" ca="1" si="628"/>
        <v>1440</v>
      </c>
      <c r="X2429" s="200">
        <f t="shared" ca="1" si="629"/>
        <v>76480</v>
      </c>
      <c r="Y2429"/>
      <c r="Z2429" s="156">
        <v>0.1</v>
      </c>
      <c r="AA2429" s="227">
        <v>0.1</v>
      </c>
      <c r="AB2429" s="312" t="s">
        <v>7849</v>
      </c>
      <c r="AC2429" s="310">
        <v>43843</v>
      </c>
      <c r="AD2429" s="311">
        <v>0.25</v>
      </c>
      <c r="AE2429" s="312" t="s">
        <v>8238</v>
      </c>
      <c r="AF2429">
        <f t="shared" si="623"/>
        <v>0</v>
      </c>
    </row>
    <row r="2430" spans="1:32" x14ac:dyDescent="0.25">
      <c r="A2430" s="332" t="s">
        <v>8241</v>
      </c>
      <c r="C2430"/>
      <c r="F2430" s="450"/>
      <c r="G2430" s="155">
        <f>SUBTOTAL(109,Table2[ACRES])</f>
        <v>22230.400000000001</v>
      </c>
      <c r="I2430" s="93"/>
      <c r="J2430" s="166"/>
      <c r="K2430" s="451"/>
      <c r="L2430" s="393"/>
      <c r="M2430" s="393"/>
      <c r="N2430" s="163"/>
      <c r="Q2430" s="245"/>
      <c r="R2430" s="93"/>
      <c r="S2430" s="93"/>
      <c r="T2430" s="93"/>
      <c r="U2430" s="226"/>
      <c r="V2430" s="450"/>
      <c r="W2430" s="452"/>
      <c r="X2430" s="455">
        <f ca="1">SUBTOTAL(109,Table2[TOTAL INVESTMENT (BONUS + RENTALS)])</f>
        <v>838908.5</v>
      </c>
      <c r="Y2430"/>
      <c r="Z2430" s="453"/>
      <c r="AA2430" s="454"/>
      <c r="AF2430">
        <f>SUBTOTAL(109,Table2[Filter List])</f>
        <v>60</v>
      </c>
    </row>
    <row r="2431" spans="1:32" ht="15.75" thickBot="1" x14ac:dyDescent="0.3">
      <c r="A2431" s="334"/>
      <c r="B2431"/>
      <c r="C2431"/>
      <c r="E2431" s="93"/>
      <c r="F2431" s="93"/>
      <c r="G2431" s="155"/>
      <c r="I2431" s="93"/>
      <c r="J2431" s="166"/>
      <c r="K2431" s="166"/>
      <c r="L2431" s="393"/>
      <c r="M2431" s="393"/>
      <c r="N2431" s="163"/>
      <c r="Q2431" s="245"/>
      <c r="R2431" s="157">
        <f>SUM(R2423:R2429)</f>
        <v>10951.5</v>
      </c>
      <c r="S2431" s="157">
        <f>SUM(S2423:S2429)</f>
        <v>213871</v>
      </c>
      <c r="T2431" s="157">
        <f>SUM(T2423:T2429)</f>
        <v>224822.5</v>
      </c>
      <c r="Y2431"/>
      <c r="Z2431" s="156"/>
      <c r="AA2431" s="227"/>
      <c r="AF2431">
        <f t="shared" si="623"/>
        <v>0</v>
      </c>
    </row>
    <row r="2432" spans="1:32" ht="15.75" thickTop="1" x14ac:dyDescent="0.25">
      <c r="G2432" s="6"/>
      <c r="J2432" s="184"/>
      <c r="K2432" s="184"/>
      <c r="V2432" s="75"/>
      <c r="W2432" s="75"/>
      <c r="X2432" s="200"/>
    </row>
    <row r="2433" spans="7:24" x14ac:dyDescent="0.25">
      <c r="G2433" s="6"/>
      <c r="J2433" s="184"/>
      <c r="K2433" s="184"/>
      <c r="U2433" s="200"/>
      <c r="V2433" s="75"/>
      <c r="W2433" s="75"/>
      <c r="X2433" s="200"/>
    </row>
    <row r="2434" spans="7:24" x14ac:dyDescent="0.25">
      <c r="G2434" s="6"/>
      <c r="J2434" s="184"/>
      <c r="K2434" s="184"/>
      <c r="U2434" s="200"/>
      <c r="V2434" s="75"/>
      <c r="W2434" s="75"/>
      <c r="X2434" s="200"/>
    </row>
    <row r="2435" spans="7:24" x14ac:dyDescent="0.25">
      <c r="G2435" s="6"/>
      <c r="J2435" s="184"/>
      <c r="K2435" s="184"/>
      <c r="U2435" s="200"/>
      <c r="V2435" s="75"/>
      <c r="W2435" s="75"/>
      <c r="X2435" s="200"/>
    </row>
    <row r="2436" spans="7:24" x14ac:dyDescent="0.25">
      <c r="G2436" s="6"/>
      <c r="J2436" s="184"/>
      <c r="K2436" s="184"/>
      <c r="U2436" s="200"/>
      <c r="V2436" s="75"/>
      <c r="W2436" s="75"/>
      <c r="X2436" s="200"/>
    </row>
    <row r="2437" spans="7:24" x14ac:dyDescent="0.25">
      <c r="G2437" s="6"/>
      <c r="J2437" s="184"/>
      <c r="K2437" s="184"/>
      <c r="U2437" s="200"/>
      <c r="V2437" s="75"/>
      <c r="W2437" s="75"/>
      <c r="X2437" s="200"/>
    </row>
    <row r="2438" spans="7:24" x14ac:dyDescent="0.25">
      <c r="G2438" s="6"/>
      <c r="J2438" s="184"/>
      <c r="K2438" s="184"/>
      <c r="U2438" s="200"/>
      <c r="V2438" s="75"/>
      <c r="W2438" s="75"/>
      <c r="X2438" s="200"/>
    </row>
    <row r="2439" spans="7:24" x14ac:dyDescent="0.25">
      <c r="G2439" s="6"/>
      <c r="J2439" s="184"/>
      <c r="K2439" s="184"/>
      <c r="U2439" s="200"/>
      <c r="V2439" s="75"/>
      <c r="W2439" s="75"/>
      <c r="X2439" s="200"/>
    </row>
    <row r="2440" spans="7:24" x14ac:dyDescent="0.25">
      <c r="G2440" s="6"/>
      <c r="J2440" s="184"/>
      <c r="K2440" s="184"/>
      <c r="U2440" s="200"/>
      <c r="V2440" s="75"/>
      <c r="W2440" s="75"/>
      <c r="X2440" s="200"/>
    </row>
    <row r="2441" spans="7:24" x14ac:dyDescent="0.25">
      <c r="G2441" s="6"/>
      <c r="J2441" s="184"/>
      <c r="K2441" s="184"/>
      <c r="U2441" s="200"/>
      <c r="V2441" s="75"/>
      <c r="W2441" s="75"/>
      <c r="X2441" s="200"/>
    </row>
    <row r="2442" spans="7:24" x14ac:dyDescent="0.25">
      <c r="G2442" s="6"/>
      <c r="J2442" s="184"/>
      <c r="K2442" s="184"/>
      <c r="U2442" s="200"/>
      <c r="V2442" s="75"/>
      <c r="W2442" s="75"/>
      <c r="X2442" s="200"/>
    </row>
    <row r="2443" spans="7:24" x14ac:dyDescent="0.25">
      <c r="G2443" s="6"/>
      <c r="J2443" s="184"/>
      <c r="K2443" s="184"/>
      <c r="U2443" s="200"/>
      <c r="V2443" s="75"/>
      <c r="W2443" s="75"/>
      <c r="X2443" s="200"/>
    </row>
    <row r="2444" spans="7:24" x14ac:dyDescent="0.25">
      <c r="G2444" s="6"/>
      <c r="J2444" s="184"/>
      <c r="K2444" s="184"/>
      <c r="U2444" s="200"/>
      <c r="V2444" s="75"/>
      <c r="W2444" s="75"/>
      <c r="X2444" s="200"/>
    </row>
    <row r="2445" spans="7:24" x14ac:dyDescent="0.25">
      <c r="G2445" s="6"/>
      <c r="J2445" s="184"/>
      <c r="K2445" s="184"/>
      <c r="U2445" s="200"/>
      <c r="V2445" s="75"/>
      <c r="W2445" s="75"/>
      <c r="X2445" s="200"/>
    </row>
    <row r="2446" spans="7:24" x14ac:dyDescent="0.25">
      <c r="G2446" s="6"/>
      <c r="J2446" s="184"/>
      <c r="K2446" s="184"/>
      <c r="U2446" s="200"/>
      <c r="V2446" s="75"/>
      <c r="W2446" s="75"/>
      <c r="X2446" s="200"/>
    </row>
    <row r="2447" spans="7:24" x14ac:dyDescent="0.25">
      <c r="G2447" s="6"/>
      <c r="J2447" s="184"/>
      <c r="K2447" s="184"/>
      <c r="U2447" s="200"/>
      <c r="V2447" s="75"/>
      <c r="W2447" s="75"/>
      <c r="X2447" s="200"/>
    </row>
    <row r="2448" spans="7:24" x14ac:dyDescent="0.25">
      <c r="G2448" s="6"/>
      <c r="J2448" s="184"/>
      <c r="K2448" s="184"/>
      <c r="U2448" s="200"/>
      <c r="V2448" s="75"/>
      <c r="W2448" s="75"/>
      <c r="X2448" s="200"/>
    </row>
    <row r="2449" spans="7:24" x14ac:dyDescent="0.25">
      <c r="G2449" s="6"/>
      <c r="J2449" s="184"/>
      <c r="K2449" s="184"/>
      <c r="U2449" s="200"/>
      <c r="V2449" s="75"/>
      <c r="W2449" s="75"/>
      <c r="X2449" s="200"/>
    </row>
    <row r="2450" spans="7:24" x14ac:dyDescent="0.25">
      <c r="G2450" s="6"/>
      <c r="J2450" s="184"/>
      <c r="K2450" s="184"/>
      <c r="U2450" s="200"/>
      <c r="V2450" s="75"/>
      <c r="W2450" s="75"/>
      <c r="X2450" s="200"/>
    </row>
    <row r="2451" spans="7:24" x14ac:dyDescent="0.25">
      <c r="G2451" s="6"/>
      <c r="J2451" s="184"/>
      <c r="K2451" s="184"/>
      <c r="U2451" s="200"/>
      <c r="V2451" s="75"/>
      <c r="W2451" s="75"/>
      <c r="X2451" s="200"/>
    </row>
    <row r="2452" spans="7:24" x14ac:dyDescent="0.25">
      <c r="G2452" s="6"/>
      <c r="J2452" s="184"/>
      <c r="K2452" s="184"/>
      <c r="U2452" s="200"/>
      <c r="V2452" s="75"/>
      <c r="W2452" s="75"/>
      <c r="X2452" s="200"/>
    </row>
    <row r="2453" spans="7:24" x14ac:dyDescent="0.25">
      <c r="G2453" s="6"/>
      <c r="J2453" s="184"/>
      <c r="K2453" s="184"/>
      <c r="U2453" s="200"/>
      <c r="V2453" s="75"/>
      <c r="W2453" s="75"/>
      <c r="X2453" s="200"/>
    </row>
    <row r="2454" spans="7:24" x14ac:dyDescent="0.25">
      <c r="G2454" s="6"/>
      <c r="J2454" s="184"/>
      <c r="K2454" s="184"/>
      <c r="U2454" s="200"/>
      <c r="V2454" s="75"/>
      <c r="W2454" s="75"/>
      <c r="X2454" s="200"/>
    </row>
    <row r="2455" spans="7:24" x14ac:dyDescent="0.25">
      <c r="G2455" s="6"/>
      <c r="J2455" s="184"/>
      <c r="K2455" s="184"/>
      <c r="U2455" s="200"/>
      <c r="V2455" s="75"/>
      <c r="W2455" s="75"/>
      <c r="X2455" s="200"/>
    </row>
    <row r="2456" spans="7:24" x14ac:dyDescent="0.25">
      <c r="G2456" s="6"/>
      <c r="J2456" s="184"/>
      <c r="K2456" s="184"/>
      <c r="U2456" s="200"/>
      <c r="V2456" s="75"/>
      <c r="W2456" s="75"/>
      <c r="X2456" s="200"/>
    </row>
    <row r="2457" spans="7:24" x14ac:dyDescent="0.25">
      <c r="G2457" s="6"/>
      <c r="J2457" s="184"/>
      <c r="K2457" s="184"/>
      <c r="U2457" s="200"/>
      <c r="V2457" s="75"/>
      <c r="W2457" s="75"/>
      <c r="X2457" s="200"/>
    </row>
    <row r="2458" spans="7:24" x14ac:dyDescent="0.25">
      <c r="G2458" s="6"/>
      <c r="J2458" s="184"/>
      <c r="K2458" s="184"/>
      <c r="U2458" s="200"/>
      <c r="V2458" s="75"/>
      <c r="W2458" s="75"/>
      <c r="X2458" s="200"/>
    </row>
    <row r="2459" spans="7:24" x14ac:dyDescent="0.25">
      <c r="G2459" s="6"/>
      <c r="J2459" s="184"/>
      <c r="K2459" s="184"/>
      <c r="U2459" s="200"/>
      <c r="V2459" s="75"/>
      <c r="W2459" s="75"/>
      <c r="X2459" s="200"/>
    </row>
    <row r="2460" spans="7:24" x14ac:dyDescent="0.25">
      <c r="G2460" s="6"/>
      <c r="J2460" s="184"/>
      <c r="K2460" s="184"/>
      <c r="U2460" s="200"/>
      <c r="V2460" s="75"/>
      <c r="W2460" s="75"/>
      <c r="X2460" s="200"/>
    </row>
    <row r="2461" spans="7:24" x14ac:dyDescent="0.25">
      <c r="G2461" s="6"/>
      <c r="J2461" s="184"/>
      <c r="K2461" s="184"/>
      <c r="U2461" s="200"/>
      <c r="V2461" s="75"/>
      <c r="W2461" s="75"/>
      <c r="X2461" s="200"/>
    </row>
    <row r="2462" spans="7:24" x14ac:dyDescent="0.25">
      <c r="G2462" s="6"/>
      <c r="J2462" s="184"/>
      <c r="K2462" s="184"/>
      <c r="U2462" s="200"/>
      <c r="V2462" s="75"/>
      <c r="W2462" s="75"/>
      <c r="X2462" s="200"/>
    </row>
    <row r="2463" spans="7:24" x14ac:dyDescent="0.25">
      <c r="G2463" s="6"/>
      <c r="J2463" s="184"/>
      <c r="K2463" s="184"/>
      <c r="U2463" s="200"/>
      <c r="V2463" s="75"/>
      <c r="W2463" s="75"/>
      <c r="X2463" s="200"/>
    </row>
    <row r="2464" spans="7:24" x14ac:dyDescent="0.25">
      <c r="G2464" s="6"/>
      <c r="J2464" s="184"/>
      <c r="K2464" s="184"/>
      <c r="U2464" s="200"/>
      <c r="V2464" s="75"/>
      <c r="W2464" s="75"/>
      <c r="X2464" s="200"/>
    </row>
    <row r="2465" spans="7:24" x14ac:dyDescent="0.25">
      <c r="G2465" s="6"/>
      <c r="J2465" s="184"/>
      <c r="K2465" s="184"/>
      <c r="U2465" s="200"/>
      <c r="V2465" s="75"/>
      <c r="W2465" s="75"/>
      <c r="X2465" s="200"/>
    </row>
    <row r="2466" spans="7:24" x14ac:dyDescent="0.25">
      <c r="G2466" s="6"/>
      <c r="J2466" s="184"/>
      <c r="K2466" s="184"/>
      <c r="U2466" s="200"/>
      <c r="V2466" s="75"/>
      <c r="W2466" s="75"/>
      <c r="X2466" s="200"/>
    </row>
    <row r="2467" spans="7:24" x14ac:dyDescent="0.25">
      <c r="G2467" s="6"/>
      <c r="J2467" s="184"/>
      <c r="K2467" s="184"/>
      <c r="U2467" s="200"/>
      <c r="V2467" s="75"/>
      <c r="W2467" s="75"/>
      <c r="X2467" s="200"/>
    </row>
    <row r="2468" spans="7:24" x14ac:dyDescent="0.25">
      <c r="G2468" s="6"/>
      <c r="J2468" s="184"/>
      <c r="K2468" s="184"/>
      <c r="U2468" s="200"/>
      <c r="V2468" s="75"/>
      <c r="W2468" s="75"/>
      <c r="X2468" s="200"/>
    </row>
    <row r="2469" spans="7:24" x14ac:dyDescent="0.25">
      <c r="G2469" s="6"/>
      <c r="J2469" s="184"/>
      <c r="K2469" s="184"/>
      <c r="U2469" s="200"/>
      <c r="V2469" s="75"/>
      <c r="W2469" s="75"/>
      <c r="X2469" s="200"/>
    </row>
    <row r="2470" spans="7:24" x14ac:dyDescent="0.25">
      <c r="G2470" s="6"/>
      <c r="J2470" s="184"/>
      <c r="K2470" s="184"/>
      <c r="U2470" s="200"/>
      <c r="V2470" s="75"/>
      <c r="W2470" s="75"/>
      <c r="X2470" s="200"/>
    </row>
    <row r="2471" spans="7:24" x14ac:dyDescent="0.25">
      <c r="G2471" s="6"/>
      <c r="J2471" s="184"/>
      <c r="K2471" s="184"/>
      <c r="U2471" s="200"/>
      <c r="V2471" s="75"/>
      <c r="W2471" s="75"/>
      <c r="X2471" s="200"/>
    </row>
    <row r="2472" spans="7:24" x14ac:dyDescent="0.25">
      <c r="G2472" s="6"/>
      <c r="J2472" s="184"/>
      <c r="K2472" s="184"/>
      <c r="U2472" s="200"/>
      <c r="V2472" s="75"/>
      <c r="W2472" s="75"/>
      <c r="X2472" s="200"/>
    </row>
    <row r="2473" spans="7:24" x14ac:dyDescent="0.25">
      <c r="G2473" s="6"/>
      <c r="J2473" s="184"/>
      <c r="K2473" s="184"/>
      <c r="U2473" s="200"/>
      <c r="V2473" s="75"/>
      <c r="W2473" s="75"/>
      <c r="X2473" s="200"/>
    </row>
    <row r="2474" spans="7:24" x14ac:dyDescent="0.25">
      <c r="G2474" s="6"/>
      <c r="J2474" s="184"/>
      <c r="K2474" s="184"/>
      <c r="U2474" s="200"/>
      <c r="V2474" s="75"/>
      <c r="W2474" s="75"/>
      <c r="X2474" s="200"/>
    </row>
    <row r="2475" spans="7:24" x14ac:dyDescent="0.25">
      <c r="G2475" s="6"/>
      <c r="J2475" s="184"/>
      <c r="K2475" s="184"/>
      <c r="U2475" s="200"/>
      <c r="V2475" s="75"/>
      <c r="W2475" s="75"/>
      <c r="X2475" s="200"/>
    </row>
    <row r="2476" spans="7:24" x14ac:dyDescent="0.25">
      <c r="G2476" s="6"/>
      <c r="J2476" s="184"/>
      <c r="K2476" s="184"/>
      <c r="U2476" s="200"/>
      <c r="V2476" s="75"/>
      <c r="W2476" s="75"/>
      <c r="X2476" s="200"/>
    </row>
    <row r="2477" spans="7:24" x14ac:dyDescent="0.25">
      <c r="G2477" s="6"/>
      <c r="J2477" s="184"/>
      <c r="K2477" s="184"/>
      <c r="U2477" s="200"/>
      <c r="V2477" s="75"/>
      <c r="W2477" s="75"/>
      <c r="X2477" s="200"/>
    </row>
    <row r="2478" spans="7:24" x14ac:dyDescent="0.25">
      <c r="G2478" s="6"/>
      <c r="J2478" s="184"/>
      <c r="K2478" s="184"/>
      <c r="U2478" s="200"/>
      <c r="V2478" s="75"/>
      <c r="W2478" s="75"/>
      <c r="X2478" s="200"/>
    </row>
    <row r="2479" spans="7:24" x14ac:dyDescent="0.25">
      <c r="G2479" s="6"/>
      <c r="U2479" s="200"/>
      <c r="V2479" s="75"/>
      <c r="W2479" s="75"/>
      <c r="X2479" s="200"/>
    </row>
    <row r="2480" spans="7:24" x14ac:dyDescent="0.25">
      <c r="G2480" s="6"/>
      <c r="U2480" s="200"/>
      <c r="V2480" s="75"/>
      <c r="W2480" s="75"/>
      <c r="X2480" s="200"/>
    </row>
    <row r="2481" spans="7:24" x14ac:dyDescent="0.25">
      <c r="G2481" s="6"/>
      <c r="U2481" s="200"/>
      <c r="V2481" s="75"/>
      <c r="W2481" s="75"/>
      <c r="X2481" s="200"/>
    </row>
    <row r="2482" spans="7:24" x14ac:dyDescent="0.25">
      <c r="G2482" s="6"/>
      <c r="U2482" s="200"/>
      <c r="V2482" s="75"/>
      <c r="W2482" s="75"/>
      <c r="X2482" s="200"/>
    </row>
    <row r="2483" spans="7:24" x14ac:dyDescent="0.25">
      <c r="G2483" s="6"/>
      <c r="U2483" s="200"/>
      <c r="V2483" s="75"/>
      <c r="W2483" s="75"/>
      <c r="X2483" s="200"/>
    </row>
    <row r="2484" spans="7:24" x14ac:dyDescent="0.25">
      <c r="G2484" s="6"/>
      <c r="U2484" s="200"/>
      <c r="V2484" s="75"/>
      <c r="W2484" s="75"/>
      <c r="X2484" s="200"/>
    </row>
    <row r="2485" spans="7:24" x14ac:dyDescent="0.25">
      <c r="G2485" s="6"/>
      <c r="U2485" s="200"/>
      <c r="V2485" s="75"/>
      <c r="W2485" s="75"/>
      <c r="X2485" s="200"/>
    </row>
    <row r="2486" spans="7:24" x14ac:dyDescent="0.25">
      <c r="G2486" s="6"/>
      <c r="U2486" s="200"/>
      <c r="V2486" s="75"/>
      <c r="W2486" s="75"/>
      <c r="X2486" s="200"/>
    </row>
    <row r="2487" spans="7:24" x14ac:dyDescent="0.25">
      <c r="G2487" s="6"/>
      <c r="U2487" s="200"/>
      <c r="V2487" s="75"/>
      <c r="W2487" s="75"/>
      <c r="X2487" s="200"/>
    </row>
    <row r="2488" spans="7:24" x14ac:dyDescent="0.25">
      <c r="G2488" s="6"/>
      <c r="U2488" s="200"/>
      <c r="V2488" s="75"/>
      <c r="W2488" s="75"/>
      <c r="X2488" s="200"/>
    </row>
    <row r="2489" spans="7:24" x14ac:dyDescent="0.25">
      <c r="G2489" s="6"/>
      <c r="U2489" s="200"/>
      <c r="V2489" s="75"/>
      <c r="W2489" s="75"/>
      <c r="X2489" s="200"/>
    </row>
    <row r="2490" spans="7:24" x14ac:dyDescent="0.25">
      <c r="G2490" s="6"/>
      <c r="U2490" s="200"/>
      <c r="V2490" s="75"/>
      <c r="W2490" s="75"/>
      <c r="X2490" s="200"/>
    </row>
    <row r="2491" spans="7:24" x14ac:dyDescent="0.25">
      <c r="G2491" s="6"/>
      <c r="U2491" s="200"/>
      <c r="V2491" s="75"/>
      <c r="W2491" s="75"/>
      <c r="X2491" s="200"/>
    </row>
    <row r="2492" spans="7:24" x14ac:dyDescent="0.25">
      <c r="G2492" s="6"/>
      <c r="U2492" s="200"/>
      <c r="V2492" s="75"/>
      <c r="W2492" s="75"/>
      <c r="X2492" s="200"/>
    </row>
    <row r="2493" spans="7:24" x14ac:dyDescent="0.25">
      <c r="G2493" s="6"/>
      <c r="U2493" s="200"/>
      <c r="V2493" s="75"/>
      <c r="W2493" s="75"/>
      <c r="X2493" s="200"/>
    </row>
    <row r="2494" spans="7:24" x14ac:dyDescent="0.25">
      <c r="G2494" s="6"/>
      <c r="U2494" s="200"/>
      <c r="V2494" s="75"/>
      <c r="W2494" s="75"/>
      <c r="X2494" s="200"/>
    </row>
    <row r="2495" spans="7:24" x14ac:dyDescent="0.25">
      <c r="G2495" s="6"/>
      <c r="U2495" s="200"/>
      <c r="V2495" s="75"/>
      <c r="W2495" s="75"/>
      <c r="X2495" s="200"/>
    </row>
    <row r="2496" spans="7:24" x14ac:dyDescent="0.25">
      <c r="G2496" s="6"/>
      <c r="U2496" s="200"/>
      <c r="V2496" s="75"/>
      <c r="W2496" s="75"/>
      <c r="X2496" s="200"/>
    </row>
    <row r="2497" spans="7:24" x14ac:dyDescent="0.25">
      <c r="G2497" s="6"/>
      <c r="U2497" s="200"/>
      <c r="V2497" s="75"/>
      <c r="W2497" s="75"/>
      <c r="X2497" s="200"/>
    </row>
    <row r="2498" spans="7:24" x14ac:dyDescent="0.25">
      <c r="G2498" s="6"/>
      <c r="U2498" s="200"/>
      <c r="V2498" s="75"/>
      <c r="W2498" s="75"/>
      <c r="X2498" s="200"/>
    </row>
    <row r="2499" spans="7:24" x14ac:dyDescent="0.25">
      <c r="G2499" s="6"/>
      <c r="U2499" s="200"/>
      <c r="V2499" s="75"/>
      <c r="W2499" s="75"/>
      <c r="X2499" s="200"/>
    </row>
    <row r="2500" spans="7:24" x14ac:dyDescent="0.25">
      <c r="G2500" s="6"/>
      <c r="U2500" s="200"/>
      <c r="V2500" s="75"/>
      <c r="W2500" s="75"/>
      <c r="X2500" s="200"/>
    </row>
    <row r="2501" spans="7:24" x14ac:dyDescent="0.25">
      <c r="G2501" s="6"/>
      <c r="U2501" s="200"/>
      <c r="V2501" s="75"/>
      <c r="W2501" s="75"/>
      <c r="X2501" s="200"/>
    </row>
    <row r="2502" spans="7:24" x14ac:dyDescent="0.25">
      <c r="G2502" s="6"/>
      <c r="U2502" s="200"/>
      <c r="V2502" s="75"/>
      <c r="W2502" s="75"/>
      <c r="X2502" s="200"/>
    </row>
    <row r="2503" spans="7:24" x14ac:dyDescent="0.25">
      <c r="G2503" s="6"/>
      <c r="U2503" s="200"/>
      <c r="V2503" s="75"/>
      <c r="W2503" s="75"/>
      <c r="X2503" s="200"/>
    </row>
    <row r="2504" spans="7:24" x14ac:dyDescent="0.25">
      <c r="G2504" s="6"/>
      <c r="U2504" s="200"/>
      <c r="V2504" s="75"/>
      <c r="W2504" s="75"/>
      <c r="X2504" s="200"/>
    </row>
    <row r="2505" spans="7:24" x14ac:dyDescent="0.25">
      <c r="G2505" s="6"/>
      <c r="U2505" s="200"/>
      <c r="V2505" s="75"/>
      <c r="W2505" s="75"/>
      <c r="X2505" s="200"/>
    </row>
    <row r="2506" spans="7:24" x14ac:dyDescent="0.25">
      <c r="G2506" s="6"/>
      <c r="U2506" s="200"/>
      <c r="V2506" s="75"/>
      <c r="W2506" s="75"/>
      <c r="X2506" s="200"/>
    </row>
    <row r="2507" spans="7:24" x14ac:dyDescent="0.25">
      <c r="G2507" s="6"/>
      <c r="U2507" s="200"/>
      <c r="V2507" s="75"/>
      <c r="W2507" s="75"/>
      <c r="X2507" s="200"/>
    </row>
    <row r="2508" spans="7:24" x14ac:dyDescent="0.25">
      <c r="G2508" s="6"/>
      <c r="U2508" s="200"/>
      <c r="V2508" s="75"/>
      <c r="W2508" s="75"/>
      <c r="X2508" s="200"/>
    </row>
    <row r="2509" spans="7:24" x14ac:dyDescent="0.25">
      <c r="G2509" s="6"/>
      <c r="U2509" s="200"/>
      <c r="V2509" s="75"/>
      <c r="W2509" s="75"/>
      <c r="X2509" s="200"/>
    </row>
    <row r="2510" spans="7:24" x14ac:dyDescent="0.25">
      <c r="G2510" s="6"/>
      <c r="U2510" s="200"/>
      <c r="V2510" s="75"/>
      <c r="W2510" s="75"/>
      <c r="X2510" s="200"/>
    </row>
    <row r="2511" spans="7:24" x14ac:dyDescent="0.25">
      <c r="G2511" s="6"/>
      <c r="U2511" s="200"/>
      <c r="V2511" s="75"/>
      <c r="W2511" s="75"/>
      <c r="X2511" s="200"/>
    </row>
    <row r="2512" spans="7:24" x14ac:dyDescent="0.25">
      <c r="G2512" s="6"/>
      <c r="U2512" s="200"/>
      <c r="V2512" s="75"/>
      <c r="W2512" s="75"/>
      <c r="X2512" s="200"/>
    </row>
    <row r="2513" spans="7:24" x14ac:dyDescent="0.25">
      <c r="G2513" s="6"/>
      <c r="U2513" s="200"/>
      <c r="V2513" s="75"/>
      <c r="W2513" s="75"/>
      <c r="X2513" s="200"/>
    </row>
    <row r="2514" spans="7:24" x14ac:dyDescent="0.25">
      <c r="G2514" s="6"/>
      <c r="U2514" s="200"/>
      <c r="V2514" s="75"/>
      <c r="W2514" s="75"/>
      <c r="X2514" s="200"/>
    </row>
    <row r="2515" spans="7:24" x14ac:dyDescent="0.25">
      <c r="G2515" s="6"/>
      <c r="U2515" s="200"/>
      <c r="V2515" s="75"/>
      <c r="W2515" s="75"/>
      <c r="X2515" s="200"/>
    </row>
    <row r="2516" spans="7:24" x14ac:dyDescent="0.25">
      <c r="G2516" s="6"/>
      <c r="U2516" s="200"/>
      <c r="V2516" s="75"/>
      <c r="W2516" s="75"/>
      <c r="X2516" s="200"/>
    </row>
    <row r="2517" spans="7:24" x14ac:dyDescent="0.25">
      <c r="G2517" s="6"/>
      <c r="U2517" s="200"/>
      <c r="V2517" s="75"/>
      <c r="W2517" s="75"/>
      <c r="X2517" s="200"/>
    </row>
    <row r="2518" spans="7:24" x14ac:dyDescent="0.25">
      <c r="G2518" s="6"/>
      <c r="U2518" s="200"/>
      <c r="V2518" s="75"/>
      <c r="W2518" s="75"/>
      <c r="X2518" s="200"/>
    </row>
    <row r="2519" spans="7:24" x14ac:dyDescent="0.25">
      <c r="G2519" s="6"/>
      <c r="U2519" s="200"/>
      <c r="V2519" s="75"/>
      <c r="W2519" s="75"/>
      <c r="X2519" s="200"/>
    </row>
    <row r="2520" spans="7:24" x14ac:dyDescent="0.25">
      <c r="G2520" s="6"/>
      <c r="U2520" s="200"/>
      <c r="V2520" s="75"/>
      <c r="W2520" s="75"/>
      <c r="X2520" s="200"/>
    </row>
    <row r="2521" spans="7:24" x14ac:dyDescent="0.25">
      <c r="G2521" s="6"/>
      <c r="U2521" s="200"/>
      <c r="V2521" s="75"/>
      <c r="W2521" s="75"/>
      <c r="X2521" s="200"/>
    </row>
    <row r="2522" spans="7:24" x14ac:dyDescent="0.25">
      <c r="G2522" s="6"/>
      <c r="U2522" s="200"/>
      <c r="V2522" s="75"/>
      <c r="W2522" s="75"/>
      <c r="X2522" s="200"/>
    </row>
    <row r="2523" spans="7:24" x14ac:dyDescent="0.25">
      <c r="G2523" s="6"/>
      <c r="U2523" s="200"/>
      <c r="V2523" s="75"/>
      <c r="W2523" s="75"/>
      <c r="X2523" s="200"/>
    </row>
    <row r="2524" spans="7:24" x14ac:dyDescent="0.25">
      <c r="G2524" s="6"/>
      <c r="U2524" s="200"/>
      <c r="V2524" s="75"/>
      <c r="W2524" s="75"/>
      <c r="X2524" s="200"/>
    </row>
    <row r="2525" spans="7:24" x14ac:dyDescent="0.25">
      <c r="G2525" s="6"/>
      <c r="U2525" s="200"/>
      <c r="V2525" s="75"/>
      <c r="W2525" s="75"/>
      <c r="X2525" s="200"/>
    </row>
    <row r="2526" spans="7:24" x14ac:dyDescent="0.25">
      <c r="G2526" s="6"/>
      <c r="U2526" s="200"/>
      <c r="V2526" s="75"/>
      <c r="W2526" s="75"/>
      <c r="X2526" s="200"/>
    </row>
    <row r="2527" spans="7:24" x14ac:dyDescent="0.25">
      <c r="G2527" s="6"/>
      <c r="U2527" s="200"/>
      <c r="V2527" s="75"/>
      <c r="W2527" s="75"/>
      <c r="X2527" s="200"/>
    </row>
    <row r="2528" spans="7:24" x14ac:dyDescent="0.25">
      <c r="G2528" s="6"/>
      <c r="U2528" s="200"/>
      <c r="V2528" s="75"/>
      <c r="W2528" s="75"/>
      <c r="X2528" s="200"/>
    </row>
    <row r="2529" spans="7:24" x14ac:dyDescent="0.25">
      <c r="G2529" s="6"/>
      <c r="U2529" s="200"/>
      <c r="V2529" s="75"/>
      <c r="W2529" s="75"/>
      <c r="X2529" s="200"/>
    </row>
    <row r="2530" spans="7:24" x14ac:dyDescent="0.25">
      <c r="G2530" s="6"/>
      <c r="U2530" s="200"/>
      <c r="V2530" s="75"/>
      <c r="W2530" s="75"/>
      <c r="X2530" s="200"/>
    </row>
    <row r="2531" spans="7:24" x14ac:dyDescent="0.25">
      <c r="G2531" s="6"/>
      <c r="U2531" s="200"/>
      <c r="V2531" s="75"/>
      <c r="W2531" s="75"/>
      <c r="X2531" s="200"/>
    </row>
    <row r="2532" spans="7:24" x14ac:dyDescent="0.25">
      <c r="G2532" s="6"/>
      <c r="U2532" s="200"/>
      <c r="V2532" s="75"/>
      <c r="W2532" s="75"/>
      <c r="X2532" s="200"/>
    </row>
    <row r="2533" spans="7:24" x14ac:dyDescent="0.25">
      <c r="G2533" s="6"/>
      <c r="U2533" s="200"/>
      <c r="V2533" s="75"/>
      <c r="W2533" s="75"/>
      <c r="X2533" s="200"/>
    </row>
    <row r="2534" spans="7:24" x14ac:dyDescent="0.25">
      <c r="G2534" s="6"/>
      <c r="U2534" s="200"/>
      <c r="V2534" s="75"/>
      <c r="W2534" s="75"/>
      <c r="X2534" s="200"/>
    </row>
    <row r="2535" spans="7:24" x14ac:dyDescent="0.25">
      <c r="G2535" s="6"/>
      <c r="U2535" s="200"/>
      <c r="V2535" s="75"/>
      <c r="W2535" s="75"/>
      <c r="X2535" s="200"/>
    </row>
    <row r="2536" spans="7:24" x14ac:dyDescent="0.25">
      <c r="G2536" s="6"/>
      <c r="U2536" s="200"/>
      <c r="V2536" s="75"/>
      <c r="W2536" s="75"/>
      <c r="X2536" s="200"/>
    </row>
    <row r="2537" spans="7:24" x14ac:dyDescent="0.25">
      <c r="G2537" s="6"/>
      <c r="U2537" s="200"/>
      <c r="V2537" s="75"/>
      <c r="W2537" s="75"/>
      <c r="X2537" s="200"/>
    </row>
    <row r="2538" spans="7:24" x14ac:dyDescent="0.25">
      <c r="G2538" s="6"/>
      <c r="U2538" s="200"/>
      <c r="V2538" s="75"/>
      <c r="W2538" s="75"/>
      <c r="X2538" s="200"/>
    </row>
    <row r="2539" spans="7:24" x14ac:dyDescent="0.25">
      <c r="G2539" s="6"/>
      <c r="U2539" s="200"/>
      <c r="V2539" s="75"/>
      <c r="W2539" s="75"/>
      <c r="X2539" s="200"/>
    </row>
    <row r="2540" spans="7:24" x14ac:dyDescent="0.25">
      <c r="G2540" s="6"/>
      <c r="U2540" s="200"/>
      <c r="V2540" s="75"/>
      <c r="W2540" s="75"/>
      <c r="X2540" s="200"/>
    </row>
    <row r="2541" spans="7:24" x14ac:dyDescent="0.25">
      <c r="G2541" s="6"/>
      <c r="U2541" s="200"/>
      <c r="V2541" s="75"/>
      <c r="W2541" s="75"/>
      <c r="X2541" s="200"/>
    </row>
    <row r="2542" spans="7:24" x14ac:dyDescent="0.25">
      <c r="G2542" s="6"/>
      <c r="U2542" s="200"/>
      <c r="V2542" s="75"/>
      <c r="W2542" s="75"/>
      <c r="X2542" s="200"/>
    </row>
    <row r="2543" spans="7:24" x14ac:dyDescent="0.25">
      <c r="G2543" s="6"/>
      <c r="U2543" s="200"/>
      <c r="V2543" s="75"/>
      <c r="W2543" s="75"/>
      <c r="X2543" s="200"/>
    </row>
    <row r="2544" spans="7:24" x14ac:dyDescent="0.25">
      <c r="G2544" s="6"/>
      <c r="U2544" s="200"/>
      <c r="V2544" s="75"/>
      <c r="W2544" s="75"/>
      <c r="X2544" s="200"/>
    </row>
    <row r="2545" spans="7:24" x14ac:dyDescent="0.25">
      <c r="G2545" s="6"/>
      <c r="U2545" s="200"/>
      <c r="V2545" s="75"/>
      <c r="W2545" s="75"/>
      <c r="X2545" s="200"/>
    </row>
    <row r="2546" spans="7:24" x14ac:dyDescent="0.25">
      <c r="G2546" s="6"/>
      <c r="U2546" s="200"/>
      <c r="V2546" s="75"/>
      <c r="W2546" s="75"/>
      <c r="X2546" s="200"/>
    </row>
    <row r="2547" spans="7:24" x14ac:dyDescent="0.25">
      <c r="G2547" s="6"/>
      <c r="U2547" s="200"/>
      <c r="V2547" s="75"/>
      <c r="W2547" s="75"/>
      <c r="X2547" s="200"/>
    </row>
    <row r="2548" spans="7:24" x14ac:dyDescent="0.25">
      <c r="G2548" s="6"/>
      <c r="U2548" s="200"/>
      <c r="V2548" s="75"/>
      <c r="W2548" s="75"/>
      <c r="X2548" s="200"/>
    </row>
    <row r="2549" spans="7:24" x14ac:dyDescent="0.25">
      <c r="G2549" s="6"/>
      <c r="U2549" s="200"/>
      <c r="V2549" s="75"/>
      <c r="W2549" s="75"/>
      <c r="X2549" s="200"/>
    </row>
    <row r="2550" spans="7:24" x14ac:dyDescent="0.25">
      <c r="G2550" s="6"/>
      <c r="U2550" s="200"/>
      <c r="V2550" s="75"/>
      <c r="W2550" s="75"/>
      <c r="X2550" s="200"/>
    </row>
    <row r="2551" spans="7:24" x14ac:dyDescent="0.25">
      <c r="G2551" s="6"/>
      <c r="U2551" s="200"/>
      <c r="V2551" s="75"/>
      <c r="W2551" s="75"/>
      <c r="X2551" s="200"/>
    </row>
    <row r="2552" spans="7:24" x14ac:dyDescent="0.25">
      <c r="G2552" s="6"/>
      <c r="U2552" s="200"/>
      <c r="V2552" s="75"/>
      <c r="W2552" s="75"/>
      <c r="X2552" s="200"/>
    </row>
    <row r="2553" spans="7:24" x14ac:dyDescent="0.25">
      <c r="G2553" s="6"/>
      <c r="U2553" s="200"/>
      <c r="V2553" s="75"/>
      <c r="W2553" s="75"/>
      <c r="X2553" s="200"/>
    </row>
    <row r="2554" spans="7:24" x14ac:dyDescent="0.25">
      <c r="G2554" s="6"/>
      <c r="U2554" s="200"/>
      <c r="V2554" s="75"/>
      <c r="W2554" s="75"/>
      <c r="X2554" s="200"/>
    </row>
    <row r="2555" spans="7:24" x14ac:dyDescent="0.25">
      <c r="G2555" s="6"/>
      <c r="U2555" s="200"/>
      <c r="V2555" s="75"/>
      <c r="W2555" s="75"/>
      <c r="X2555" s="200"/>
    </row>
    <row r="2556" spans="7:24" x14ac:dyDescent="0.25">
      <c r="G2556" s="6"/>
      <c r="U2556" s="200"/>
      <c r="V2556" s="75"/>
      <c r="W2556" s="75"/>
      <c r="X2556" s="200"/>
    </row>
    <row r="2557" spans="7:24" x14ac:dyDescent="0.25">
      <c r="G2557" s="6"/>
      <c r="U2557" s="200"/>
      <c r="V2557" s="75"/>
      <c r="W2557" s="75"/>
      <c r="X2557" s="200"/>
    </row>
    <row r="2558" spans="7:24" x14ac:dyDescent="0.25">
      <c r="G2558" s="6"/>
      <c r="U2558" s="200"/>
      <c r="V2558" s="75"/>
      <c r="W2558" s="75"/>
      <c r="X2558" s="200"/>
    </row>
    <row r="2559" spans="7:24" x14ac:dyDescent="0.25">
      <c r="G2559" s="6"/>
      <c r="U2559" s="200"/>
      <c r="V2559" s="75"/>
      <c r="W2559" s="75"/>
      <c r="X2559" s="200"/>
    </row>
    <row r="2560" spans="7:24" x14ac:dyDescent="0.25">
      <c r="G2560" s="6"/>
      <c r="U2560" s="200"/>
      <c r="V2560" s="75"/>
      <c r="W2560" s="75"/>
      <c r="X2560" s="200"/>
    </row>
    <row r="2561" spans="7:24" x14ac:dyDescent="0.25">
      <c r="G2561" s="6"/>
      <c r="U2561" s="200"/>
      <c r="V2561" s="75"/>
      <c r="W2561" s="75"/>
      <c r="X2561" s="200"/>
    </row>
    <row r="2562" spans="7:24" x14ac:dyDescent="0.25">
      <c r="G2562" s="6"/>
      <c r="U2562" s="200"/>
      <c r="V2562" s="75"/>
      <c r="W2562" s="75"/>
      <c r="X2562" s="200"/>
    </row>
    <row r="2563" spans="7:24" x14ac:dyDescent="0.25">
      <c r="G2563" s="6"/>
      <c r="U2563" s="200"/>
      <c r="V2563" s="75"/>
      <c r="W2563" s="75"/>
      <c r="X2563" s="200"/>
    </row>
    <row r="2564" spans="7:24" x14ac:dyDescent="0.25">
      <c r="G2564" s="6"/>
      <c r="U2564" s="200"/>
      <c r="V2564" s="75"/>
      <c r="W2564" s="75"/>
      <c r="X2564" s="200"/>
    </row>
    <row r="2565" spans="7:24" x14ac:dyDescent="0.25">
      <c r="G2565" s="6"/>
      <c r="U2565" s="200"/>
      <c r="V2565" s="75"/>
      <c r="W2565" s="75"/>
      <c r="X2565" s="200"/>
    </row>
    <row r="2566" spans="7:24" x14ac:dyDescent="0.25">
      <c r="G2566" s="6"/>
      <c r="U2566" s="200"/>
      <c r="V2566" s="75"/>
      <c r="W2566" s="75"/>
      <c r="X2566" s="200"/>
    </row>
    <row r="2567" spans="7:24" x14ac:dyDescent="0.25">
      <c r="G2567" s="6"/>
      <c r="U2567" s="200"/>
      <c r="V2567" s="75"/>
      <c r="W2567" s="75"/>
      <c r="X2567" s="200"/>
    </row>
    <row r="2568" spans="7:24" x14ac:dyDescent="0.25">
      <c r="G2568" s="6"/>
      <c r="U2568" s="200"/>
      <c r="V2568" s="75"/>
      <c r="W2568" s="75"/>
      <c r="X2568" s="200"/>
    </row>
    <row r="2569" spans="7:24" x14ac:dyDescent="0.25">
      <c r="G2569" s="6"/>
      <c r="U2569" s="200"/>
      <c r="V2569" s="75"/>
      <c r="W2569" s="75"/>
      <c r="X2569" s="200"/>
    </row>
    <row r="2570" spans="7:24" x14ac:dyDescent="0.25">
      <c r="G2570" s="6"/>
      <c r="U2570" s="200"/>
      <c r="V2570" s="75"/>
      <c r="W2570" s="75"/>
      <c r="X2570" s="200"/>
    </row>
    <row r="2571" spans="7:24" x14ac:dyDescent="0.25">
      <c r="G2571" s="6"/>
      <c r="U2571" s="200"/>
      <c r="V2571" s="75"/>
      <c r="W2571" s="75"/>
      <c r="X2571" s="200"/>
    </row>
    <row r="2572" spans="7:24" x14ac:dyDescent="0.25">
      <c r="G2572" s="6"/>
      <c r="U2572" s="200"/>
      <c r="V2572" s="75"/>
      <c r="W2572" s="75"/>
      <c r="X2572" s="200"/>
    </row>
    <row r="2573" spans="7:24" x14ac:dyDescent="0.25">
      <c r="G2573" s="6"/>
      <c r="U2573" s="200"/>
      <c r="V2573" s="75"/>
      <c r="W2573" s="75"/>
      <c r="X2573" s="200"/>
    </row>
    <row r="2574" spans="7:24" x14ac:dyDescent="0.25">
      <c r="G2574" s="6"/>
      <c r="U2574" s="200"/>
      <c r="V2574" s="75"/>
      <c r="W2574" s="75"/>
      <c r="X2574" s="200"/>
    </row>
    <row r="2575" spans="7:24" x14ac:dyDescent="0.25">
      <c r="G2575" s="6"/>
      <c r="U2575" s="200"/>
      <c r="V2575" s="75"/>
      <c r="W2575" s="75"/>
      <c r="X2575" s="200"/>
    </row>
    <row r="2576" spans="7:24" x14ac:dyDescent="0.25">
      <c r="G2576" s="6"/>
      <c r="U2576" s="200"/>
      <c r="V2576" s="75"/>
      <c r="W2576" s="75"/>
      <c r="X2576" s="200"/>
    </row>
    <row r="2577" spans="7:24" x14ac:dyDescent="0.25">
      <c r="G2577" s="6"/>
      <c r="U2577" s="200"/>
      <c r="V2577" s="75"/>
      <c r="W2577" s="75"/>
      <c r="X2577" s="200"/>
    </row>
    <row r="2578" spans="7:24" x14ac:dyDescent="0.25">
      <c r="G2578" s="6"/>
    </row>
    <row r="2579" spans="7:24" x14ac:dyDescent="0.25">
      <c r="G2579" s="6"/>
    </row>
    <row r="2580" spans="7:24" x14ac:dyDescent="0.25">
      <c r="G2580" s="6"/>
    </row>
    <row r="2581" spans="7:24" x14ac:dyDescent="0.25">
      <c r="G2581" s="6"/>
    </row>
    <row r="2582" spans="7:24" x14ac:dyDescent="0.25">
      <c r="G2582" s="6"/>
    </row>
    <row r="2583" spans="7:24" x14ac:dyDescent="0.25">
      <c r="G2583" s="6"/>
    </row>
    <row r="2584" spans="7:24" x14ac:dyDescent="0.25">
      <c r="G2584" s="6"/>
    </row>
    <row r="2585" spans="7:24" x14ac:dyDescent="0.25">
      <c r="G2585" s="6"/>
    </row>
    <row r="2586" spans="7:24" x14ac:dyDescent="0.25">
      <c r="G2586" s="6"/>
    </row>
    <row r="2587" spans="7:24" x14ac:dyDescent="0.25">
      <c r="G2587" s="6"/>
    </row>
    <row r="2588" spans="7:24" x14ac:dyDescent="0.25">
      <c r="G2588" s="6"/>
    </row>
    <row r="2589" spans="7:24" x14ac:dyDescent="0.25">
      <c r="G2589" s="6"/>
    </row>
    <row r="2590" spans="7:24" x14ac:dyDescent="0.25">
      <c r="G2590" s="6"/>
    </row>
    <row r="2591" spans="7:24" x14ac:dyDescent="0.25">
      <c r="G2591" s="6"/>
    </row>
    <row r="2592" spans="7:24" x14ac:dyDescent="0.25">
      <c r="G2592" s="6"/>
    </row>
    <row r="2593" spans="7:7" x14ac:dyDescent="0.25">
      <c r="G2593" s="6"/>
    </row>
    <row r="2594" spans="7:7" x14ac:dyDescent="0.25">
      <c r="G2594" s="6"/>
    </row>
    <row r="2595" spans="7:7" x14ac:dyDescent="0.25">
      <c r="G2595" s="6"/>
    </row>
    <row r="2596" spans="7:7" x14ac:dyDescent="0.25">
      <c r="G2596" s="6"/>
    </row>
    <row r="2597" spans="7:7" x14ac:dyDescent="0.25">
      <c r="G2597" s="6"/>
    </row>
    <row r="2598" spans="7:7" x14ac:dyDescent="0.25">
      <c r="G2598" s="6"/>
    </row>
    <row r="2599" spans="7:7" x14ac:dyDescent="0.25">
      <c r="G2599" s="6"/>
    </row>
    <row r="2600" spans="7:7" x14ac:dyDescent="0.25">
      <c r="G2600" s="6"/>
    </row>
    <row r="2601" spans="7:7" x14ac:dyDescent="0.25">
      <c r="G2601" s="6"/>
    </row>
    <row r="2602" spans="7:7" x14ac:dyDescent="0.25">
      <c r="G2602" s="6"/>
    </row>
    <row r="2603" spans="7:7" x14ac:dyDescent="0.25">
      <c r="G2603" s="6"/>
    </row>
    <row r="2604" spans="7:7" x14ac:dyDescent="0.25">
      <c r="G2604" s="6"/>
    </row>
    <row r="2605" spans="7:7" x14ac:dyDescent="0.25">
      <c r="G2605" s="6"/>
    </row>
    <row r="2606" spans="7:7" x14ac:dyDescent="0.25">
      <c r="G2606" s="6"/>
    </row>
    <row r="2607" spans="7:7" x14ac:dyDescent="0.25">
      <c r="G2607" s="6"/>
    </row>
    <row r="2608" spans="7:7" x14ac:dyDescent="0.25">
      <c r="G2608" s="6"/>
    </row>
    <row r="2609" spans="7:7" x14ac:dyDescent="0.25">
      <c r="G2609" s="6"/>
    </row>
    <row r="2610" spans="7:7" x14ac:dyDescent="0.25">
      <c r="G2610" s="6"/>
    </row>
    <row r="2611" spans="7:7" x14ac:dyDescent="0.25">
      <c r="G2611" s="6"/>
    </row>
    <row r="2612" spans="7:7" x14ac:dyDescent="0.25">
      <c r="G2612" s="6"/>
    </row>
    <row r="2613" spans="7:7" x14ac:dyDescent="0.25">
      <c r="G2613" s="6"/>
    </row>
    <row r="2614" spans="7:7" x14ac:dyDescent="0.25">
      <c r="G2614" s="6"/>
    </row>
    <row r="2615" spans="7:7" x14ac:dyDescent="0.25">
      <c r="G2615" s="6"/>
    </row>
    <row r="2616" spans="7:7" x14ac:dyDescent="0.25">
      <c r="G2616" s="6"/>
    </row>
    <row r="2617" spans="7:7" x14ac:dyDescent="0.25">
      <c r="G2617" s="6"/>
    </row>
    <row r="2618" spans="7:7" x14ac:dyDescent="0.25">
      <c r="G2618" s="6"/>
    </row>
    <row r="2619" spans="7:7" x14ac:dyDescent="0.25">
      <c r="G2619" s="6"/>
    </row>
    <row r="2620" spans="7:7" x14ac:dyDescent="0.25">
      <c r="G2620" s="6"/>
    </row>
    <row r="2621" spans="7:7" x14ac:dyDescent="0.25">
      <c r="G2621" s="6"/>
    </row>
    <row r="2622" spans="7:7" x14ac:dyDescent="0.25">
      <c r="G2622" s="6"/>
    </row>
    <row r="2623" spans="7:7" x14ac:dyDescent="0.25">
      <c r="G2623" s="6"/>
    </row>
    <row r="2624" spans="7:7" x14ac:dyDescent="0.25">
      <c r="G2624" s="6"/>
    </row>
    <row r="2625" spans="7:7" x14ac:dyDescent="0.25">
      <c r="G2625" s="6"/>
    </row>
    <row r="2626" spans="7:7" x14ac:dyDescent="0.25">
      <c r="G2626" s="6"/>
    </row>
    <row r="2627" spans="7:7" x14ac:dyDescent="0.25">
      <c r="G2627" s="6"/>
    </row>
    <row r="2628" spans="7:7" x14ac:dyDescent="0.25">
      <c r="G2628" s="6"/>
    </row>
    <row r="2629" spans="7:7" x14ac:dyDescent="0.25">
      <c r="G2629" s="6"/>
    </row>
    <row r="2630" spans="7:7" x14ac:dyDescent="0.25">
      <c r="G2630" s="6"/>
    </row>
    <row r="2631" spans="7:7" x14ac:dyDescent="0.25">
      <c r="G2631" s="6"/>
    </row>
    <row r="2632" spans="7:7" x14ac:dyDescent="0.25">
      <c r="G2632" s="6"/>
    </row>
    <row r="2633" spans="7:7" x14ac:dyDescent="0.25">
      <c r="G2633" s="6"/>
    </row>
    <row r="2634" spans="7:7" x14ac:dyDescent="0.25">
      <c r="G2634" s="6"/>
    </row>
    <row r="2635" spans="7:7" x14ac:dyDescent="0.25">
      <c r="G2635" s="6"/>
    </row>
    <row r="2636" spans="7:7" x14ac:dyDescent="0.25">
      <c r="G2636" s="6"/>
    </row>
    <row r="2637" spans="7:7" x14ac:dyDescent="0.25">
      <c r="G2637" s="6"/>
    </row>
    <row r="2638" spans="7:7" x14ac:dyDescent="0.25">
      <c r="G2638" s="6"/>
    </row>
    <row r="2639" spans="7:7" x14ac:dyDescent="0.25">
      <c r="G2639" s="6"/>
    </row>
    <row r="2640" spans="7:7" x14ac:dyDescent="0.25">
      <c r="G2640" s="6"/>
    </row>
  </sheetData>
  <mergeCells count="5">
    <mergeCell ref="AB9:AE9"/>
    <mergeCell ref="V9:X9"/>
    <mergeCell ref="Q9:U9"/>
    <mergeCell ref="A9:I9"/>
    <mergeCell ref="Y9:AA9"/>
  </mergeCells>
  <phoneticPr fontId="44" type="noConversion"/>
  <conditionalFormatting sqref="B4:B8 B10:B2429 B2431:B1048576">
    <cfRule type="containsText" dxfId="59" priority="22" operator="containsText" text="YES">
      <formula>NOT(ISERROR(SEARCH("YES",B4)))</formula>
    </cfRule>
    <cfRule type="containsText" dxfId="58" priority="23" operator="containsText" text="No">
      <formula>NOT(ISERROR(SEARCH("No",B4)))</formula>
    </cfRule>
  </conditionalFormatting>
  <conditionalFormatting sqref="G2065:G2082">
    <cfRule type="containsText" dxfId="57" priority="20" operator="containsText" text="~*">
      <formula>NOT(ISERROR(SEARCH("~*",G2065)))</formula>
    </cfRule>
  </conditionalFormatting>
  <conditionalFormatting sqref="G2065:G2082">
    <cfRule type="cellIs" dxfId="56" priority="19" operator="greaterThan">
      <formula>1000</formula>
    </cfRule>
  </conditionalFormatting>
  <conditionalFormatting sqref="G2065:G2082">
    <cfRule type="expression" dxfId="55" priority="17">
      <formula>$K2065="Warm"</formula>
    </cfRule>
    <cfRule type="expression" dxfId="54" priority="18">
      <formula>$K2065="Cold"</formula>
    </cfRule>
    <cfRule type="expression" dxfId="53" priority="21">
      <formula>$K2065="Hot"</formula>
    </cfRule>
  </conditionalFormatting>
  <conditionalFormatting sqref="O2066:O2082">
    <cfRule type="containsText" dxfId="52" priority="11" operator="containsText" text="~*">
      <formula>NOT(ISERROR(SEARCH("~*",O2066)))</formula>
    </cfRule>
  </conditionalFormatting>
  <conditionalFormatting sqref="O2065:O2082">
    <cfRule type="expression" dxfId="51" priority="9">
      <formula>$K2065="Warm"</formula>
    </cfRule>
    <cfRule type="expression" dxfId="50" priority="10">
      <formula>$K2065="Cold"</formula>
    </cfRule>
    <cfRule type="expression" dxfId="49" priority="12">
      <formula>$K2065="Hot"</formula>
    </cfRule>
  </conditionalFormatting>
  <conditionalFormatting sqref="G2061">
    <cfRule type="containsText" dxfId="48" priority="7" operator="containsText" text="~*">
      <formula>NOT(ISERROR(SEARCH("~*",G2061)))</formula>
    </cfRule>
  </conditionalFormatting>
  <conditionalFormatting sqref="G2061">
    <cfRule type="cellIs" dxfId="47" priority="6" operator="greaterThan">
      <formula>1000</formula>
    </cfRule>
  </conditionalFormatting>
  <conditionalFormatting sqref="G2061">
    <cfRule type="expression" dxfId="46" priority="4">
      <formula>$K2061="Warm"</formula>
    </cfRule>
    <cfRule type="expression" dxfId="45" priority="5">
      <formula>$K2061="Cold"</formula>
    </cfRule>
    <cfRule type="expression" dxfId="44" priority="8">
      <formula>$K2061="Hot"</formula>
    </cfRule>
  </conditionalFormatting>
  <conditionalFormatting sqref="O2061">
    <cfRule type="expression" dxfId="43" priority="1">
      <formula>$K2061="Warm"</formula>
    </cfRule>
    <cfRule type="expression" dxfId="42" priority="2">
      <formula>$K2061="Cold"</formula>
    </cfRule>
    <cfRule type="expression" dxfId="41" priority="3">
      <formula>$K2061="Hot"</formula>
    </cfRule>
  </conditionalFormatting>
  <pageMargins left="0.7" right="0.7" top="0.75" bottom="0.75" header="0.3" footer="0.3"/>
  <pageSetup paperSize="17" scale="1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G117"/>
  <sheetViews>
    <sheetView tabSelected="1" zoomScaleNormal="100" workbookViewId="0">
      <selection activeCell="G17" sqref="G17"/>
    </sheetView>
  </sheetViews>
  <sheetFormatPr defaultRowHeight="15" x14ac:dyDescent="0.25"/>
  <cols>
    <col min="1" max="1" width="33.140625" bestFit="1" customWidth="1"/>
    <col min="2" max="2" width="10.85546875" bestFit="1" customWidth="1"/>
    <col min="3" max="4" width="7.5703125" bestFit="1" customWidth="1"/>
    <col min="5" max="5" width="5" bestFit="1" customWidth="1"/>
    <col min="6" max="6" width="11.28515625" bestFit="1" customWidth="1"/>
    <col min="7" max="7" width="161.7109375" style="163" customWidth="1"/>
    <col min="8" max="14" width="8.7109375" bestFit="1" customWidth="1"/>
    <col min="15" max="17" width="9.7109375" bestFit="1" customWidth="1"/>
    <col min="18" max="25" width="8.7109375" bestFit="1" customWidth="1"/>
    <col min="26" max="26" width="9.7109375" bestFit="1" customWidth="1"/>
    <col min="27" max="27" width="8.7109375" bestFit="1" customWidth="1"/>
    <col min="28" max="29" width="11.28515625" bestFit="1" customWidth="1"/>
  </cols>
  <sheetData>
    <row r="3" spans="1:7" x14ac:dyDescent="0.25">
      <c r="A3" s="188" t="s">
        <v>6205</v>
      </c>
      <c r="B3" s="188" t="s">
        <v>8245</v>
      </c>
    </row>
    <row r="4" spans="1:7" x14ac:dyDescent="0.25">
      <c r="A4" s="188" t="s">
        <v>6204</v>
      </c>
      <c r="B4" s="117" t="s">
        <v>8246</v>
      </c>
      <c r="C4" s="117" t="s">
        <v>8247</v>
      </c>
      <c r="D4" s="117" t="s">
        <v>8248</v>
      </c>
      <c r="E4" s="117" t="s">
        <v>8249</v>
      </c>
      <c r="F4" t="s">
        <v>6196</v>
      </c>
    </row>
    <row r="5" spans="1:7" x14ac:dyDescent="0.25">
      <c r="A5" s="460" t="s">
        <v>308</v>
      </c>
      <c r="B5" s="461">
        <v>1544.6599999999999</v>
      </c>
      <c r="C5" s="461">
        <v>1565.1399999999999</v>
      </c>
      <c r="D5" s="461">
        <v>17379.380000000005</v>
      </c>
      <c r="E5" s="461"/>
      <c r="F5" s="190">
        <v>20489.180000000004</v>
      </c>
      <c r="G5" s="463" t="s">
        <v>5413</v>
      </c>
    </row>
    <row r="6" spans="1:7" x14ac:dyDescent="0.25">
      <c r="A6" s="267" t="s">
        <v>3272</v>
      </c>
      <c r="B6" s="461"/>
      <c r="C6" s="461">
        <v>768.67</v>
      </c>
      <c r="D6" s="461">
        <v>1021.03</v>
      </c>
      <c r="E6" s="461"/>
      <c r="F6" s="190">
        <v>1789.6999999999998</v>
      </c>
    </row>
    <row r="7" spans="1:7" x14ac:dyDescent="0.25">
      <c r="A7" s="267" t="s">
        <v>2705</v>
      </c>
      <c r="B7" s="461">
        <v>319.79000000000002</v>
      </c>
      <c r="C7" s="461"/>
      <c r="D7" s="461"/>
      <c r="E7" s="461"/>
      <c r="F7" s="190">
        <v>319.79000000000002</v>
      </c>
    </row>
    <row r="8" spans="1:7" x14ac:dyDescent="0.25">
      <c r="A8" s="267" t="s">
        <v>2701</v>
      </c>
      <c r="B8" s="461">
        <v>122</v>
      </c>
      <c r="C8" s="461">
        <v>39.93</v>
      </c>
      <c r="D8" s="461"/>
      <c r="E8" s="461"/>
      <c r="F8" s="190">
        <v>161.93</v>
      </c>
    </row>
    <row r="9" spans="1:7" x14ac:dyDescent="0.25">
      <c r="A9" s="267" t="s">
        <v>248</v>
      </c>
      <c r="B9" s="461"/>
      <c r="C9" s="461">
        <v>756.54</v>
      </c>
      <c r="D9" s="461">
        <v>12157.370000000003</v>
      </c>
      <c r="E9" s="461"/>
      <c r="F9" s="190">
        <v>12913.910000000003</v>
      </c>
      <c r="G9" s="163" t="s">
        <v>8250</v>
      </c>
    </row>
    <row r="10" spans="1:7" x14ac:dyDescent="0.25">
      <c r="A10" s="267" t="s">
        <v>1625</v>
      </c>
      <c r="B10" s="461"/>
      <c r="C10" s="461"/>
      <c r="D10" s="461">
        <v>4000.98</v>
      </c>
      <c r="E10" s="461"/>
      <c r="F10" s="190">
        <v>4000.98</v>
      </c>
      <c r="G10" s="163" t="s">
        <v>8251</v>
      </c>
    </row>
    <row r="11" spans="1:7" x14ac:dyDescent="0.25">
      <c r="A11" s="267" t="s">
        <v>307</v>
      </c>
      <c r="B11" s="461">
        <v>97.259999999999991</v>
      </c>
      <c r="C11" s="461"/>
      <c r="D11" s="461"/>
      <c r="E11" s="461"/>
      <c r="F11" s="190">
        <v>97.259999999999991</v>
      </c>
    </row>
    <row r="12" spans="1:7" x14ac:dyDescent="0.25">
      <c r="A12" s="267" t="s">
        <v>4080</v>
      </c>
      <c r="B12" s="461"/>
      <c r="C12" s="461"/>
      <c r="D12" s="461">
        <v>200</v>
      </c>
      <c r="E12" s="461"/>
      <c r="F12" s="190">
        <v>200</v>
      </c>
    </row>
    <row r="13" spans="1:7" x14ac:dyDescent="0.25">
      <c r="A13" s="267" t="s">
        <v>866</v>
      </c>
      <c r="B13" s="461">
        <v>37.9</v>
      </c>
      <c r="C13" s="461"/>
      <c r="D13" s="461"/>
      <c r="E13" s="461"/>
      <c r="F13" s="190">
        <v>37.9</v>
      </c>
    </row>
    <row r="14" spans="1:7" x14ac:dyDescent="0.25">
      <c r="A14" s="267" t="s">
        <v>2726</v>
      </c>
      <c r="B14" s="461">
        <v>813.41</v>
      </c>
      <c r="C14" s="461"/>
      <c r="D14" s="461"/>
      <c r="E14" s="461"/>
      <c r="F14" s="190">
        <v>813.41</v>
      </c>
    </row>
    <row r="15" spans="1:7" x14ac:dyDescent="0.25">
      <c r="A15" s="267" t="s">
        <v>8244</v>
      </c>
      <c r="B15" s="461">
        <v>154.30000000000001</v>
      </c>
      <c r="C15" s="461"/>
      <c r="D15" s="461"/>
      <c r="E15" s="461"/>
      <c r="F15" s="190">
        <v>154.30000000000001</v>
      </c>
    </row>
    <row r="16" spans="1:7" x14ac:dyDescent="0.25">
      <c r="A16" s="460" t="s">
        <v>72</v>
      </c>
      <c r="B16" s="461"/>
      <c r="C16" s="461">
        <v>4374.8950000000004</v>
      </c>
      <c r="D16" s="461"/>
      <c r="E16" s="461"/>
      <c r="F16" s="190">
        <v>4374.8950000000004</v>
      </c>
    </row>
    <row r="17" spans="1:7" x14ac:dyDescent="0.25">
      <c r="A17" s="267" t="s">
        <v>453</v>
      </c>
      <c r="B17" s="461"/>
      <c r="C17" s="461">
        <v>160</v>
      </c>
      <c r="D17" s="461"/>
      <c r="E17" s="461"/>
      <c r="F17" s="190">
        <v>160</v>
      </c>
    </row>
    <row r="18" spans="1:7" x14ac:dyDescent="0.25">
      <c r="A18" s="267" t="s">
        <v>1367</v>
      </c>
      <c r="B18" s="461"/>
      <c r="C18" s="461">
        <v>149.97</v>
      </c>
      <c r="D18" s="461"/>
      <c r="E18" s="461"/>
      <c r="F18" s="190">
        <v>149.97</v>
      </c>
    </row>
    <row r="19" spans="1:7" x14ac:dyDescent="0.25">
      <c r="A19" s="267" t="s">
        <v>1040</v>
      </c>
      <c r="B19" s="461"/>
      <c r="C19" s="461">
        <v>1569.4549999999999</v>
      </c>
      <c r="D19" s="461"/>
      <c r="E19" s="461"/>
      <c r="F19" s="190">
        <v>1569.4549999999999</v>
      </c>
      <c r="G19" s="163" t="s">
        <v>8252</v>
      </c>
    </row>
    <row r="20" spans="1:7" x14ac:dyDescent="0.25">
      <c r="A20" s="267" t="s">
        <v>287</v>
      </c>
      <c r="B20" s="461"/>
      <c r="C20" s="461">
        <v>2495.4700000000003</v>
      </c>
      <c r="D20" s="461"/>
      <c r="E20" s="461"/>
      <c r="F20" s="190">
        <v>2495.4700000000003</v>
      </c>
    </row>
    <row r="21" spans="1:7" x14ac:dyDescent="0.25">
      <c r="A21" s="460" t="s">
        <v>548</v>
      </c>
      <c r="B21" s="461"/>
      <c r="C21" s="461">
        <v>54.38</v>
      </c>
      <c r="D21" s="461"/>
      <c r="E21" s="461"/>
      <c r="F21" s="190">
        <v>54.38</v>
      </c>
    </row>
    <row r="22" spans="1:7" x14ac:dyDescent="0.25">
      <c r="A22" s="267" t="s">
        <v>3130</v>
      </c>
      <c r="B22" s="461"/>
      <c r="C22" s="461">
        <v>54.38</v>
      </c>
      <c r="D22" s="461"/>
      <c r="E22" s="461"/>
      <c r="F22" s="190">
        <v>54.38</v>
      </c>
    </row>
    <row r="23" spans="1:7" x14ac:dyDescent="0.25">
      <c r="A23" s="460" t="s">
        <v>2186</v>
      </c>
      <c r="B23" s="461"/>
      <c r="C23" s="461">
        <v>3833.6</v>
      </c>
      <c r="D23" s="461"/>
      <c r="E23" s="461"/>
      <c r="F23" s="190">
        <v>3833.6</v>
      </c>
      <c r="G23" s="163" t="s">
        <v>8253</v>
      </c>
    </row>
    <row r="24" spans="1:7" x14ac:dyDescent="0.25">
      <c r="A24" s="267" t="s">
        <v>3342</v>
      </c>
      <c r="B24" s="461"/>
      <c r="C24" s="461">
        <v>95.2</v>
      </c>
      <c r="D24" s="461"/>
      <c r="E24" s="461"/>
      <c r="F24" s="190">
        <v>95.2</v>
      </c>
    </row>
    <row r="25" spans="1:7" x14ac:dyDescent="0.25">
      <c r="A25" s="267" t="s">
        <v>3334</v>
      </c>
      <c r="B25" s="461"/>
      <c r="C25" s="461">
        <v>1668.7</v>
      </c>
      <c r="D25" s="461"/>
      <c r="E25" s="461"/>
      <c r="F25" s="190">
        <v>1668.7</v>
      </c>
    </row>
    <row r="26" spans="1:7" x14ac:dyDescent="0.25">
      <c r="A26" s="267" t="s">
        <v>3345</v>
      </c>
      <c r="B26" s="461"/>
      <c r="C26" s="461">
        <v>2069.6999999999998</v>
      </c>
      <c r="D26" s="461"/>
      <c r="E26" s="461"/>
      <c r="F26" s="190">
        <v>2069.6999999999998</v>
      </c>
    </row>
    <row r="27" spans="1:7" x14ac:dyDescent="0.25">
      <c r="A27" s="460" t="s">
        <v>79</v>
      </c>
      <c r="B27" s="461">
        <v>33030.159999999996</v>
      </c>
      <c r="C27" s="461">
        <v>26333.97</v>
      </c>
      <c r="D27" s="461">
        <v>62100.830000000016</v>
      </c>
      <c r="E27" s="461"/>
      <c r="F27" s="190">
        <v>121464.96000000004</v>
      </c>
    </row>
    <row r="28" spans="1:7" x14ac:dyDescent="0.25">
      <c r="A28" s="267" t="s">
        <v>8242</v>
      </c>
      <c r="B28" s="461"/>
      <c r="C28" s="461">
        <v>39.93</v>
      </c>
      <c r="D28" s="461"/>
      <c r="E28" s="461"/>
      <c r="F28" s="190">
        <v>39.93</v>
      </c>
    </row>
    <row r="29" spans="1:7" x14ac:dyDescent="0.25">
      <c r="A29" s="267" t="s">
        <v>1512</v>
      </c>
      <c r="B29" s="461"/>
      <c r="C29" s="461">
        <v>1039.92</v>
      </c>
      <c r="D29" s="461">
        <v>859.16</v>
      </c>
      <c r="E29" s="461"/>
      <c r="F29" s="190">
        <v>1899.08</v>
      </c>
    </row>
    <row r="30" spans="1:7" x14ac:dyDescent="0.25">
      <c r="A30" s="267" t="s">
        <v>672</v>
      </c>
      <c r="B30" s="461"/>
      <c r="C30" s="461">
        <v>642.48</v>
      </c>
      <c r="D30" s="461"/>
      <c r="E30" s="461"/>
      <c r="F30" s="190">
        <v>642.48</v>
      </c>
    </row>
    <row r="31" spans="1:7" x14ac:dyDescent="0.25">
      <c r="A31" s="267" t="s">
        <v>8243</v>
      </c>
      <c r="B31" s="461">
        <v>12</v>
      </c>
      <c r="C31" s="461"/>
      <c r="D31" s="461"/>
      <c r="E31" s="461"/>
      <c r="F31" s="190">
        <v>12</v>
      </c>
    </row>
    <row r="32" spans="1:7" x14ac:dyDescent="0.25">
      <c r="A32" s="267" t="s">
        <v>2827</v>
      </c>
      <c r="B32" s="461">
        <v>40</v>
      </c>
      <c r="C32" s="461">
        <v>6247.6</v>
      </c>
      <c r="D32" s="461"/>
      <c r="E32" s="461"/>
      <c r="F32" s="190">
        <v>6287.6</v>
      </c>
    </row>
    <row r="33" spans="1:7" x14ac:dyDescent="0.25">
      <c r="A33" s="267" t="s">
        <v>3103</v>
      </c>
      <c r="B33" s="461">
        <v>3965.9100000000003</v>
      </c>
      <c r="C33" s="461"/>
      <c r="D33" s="461"/>
      <c r="E33" s="461"/>
      <c r="F33" s="190">
        <v>3965.9100000000003</v>
      </c>
    </row>
    <row r="34" spans="1:7" x14ac:dyDescent="0.25">
      <c r="A34" s="267" t="s">
        <v>3189</v>
      </c>
      <c r="B34" s="461"/>
      <c r="C34" s="461">
        <v>56.25</v>
      </c>
      <c r="D34" s="461">
        <v>59169.490000000013</v>
      </c>
      <c r="E34" s="461"/>
      <c r="F34" s="190">
        <v>59225.740000000013</v>
      </c>
    </row>
    <row r="35" spans="1:7" x14ac:dyDescent="0.25">
      <c r="A35" s="267" t="s">
        <v>5571</v>
      </c>
      <c r="B35" s="461"/>
      <c r="C35" s="461">
        <v>1.24</v>
      </c>
      <c r="D35" s="461"/>
      <c r="E35" s="461"/>
      <c r="F35" s="190">
        <v>1.24</v>
      </c>
    </row>
    <row r="36" spans="1:7" x14ac:dyDescent="0.25">
      <c r="A36" s="267" t="s">
        <v>3923</v>
      </c>
      <c r="B36" s="461">
        <v>26665.749999999996</v>
      </c>
      <c r="C36" s="461"/>
      <c r="D36" s="461">
        <v>886</v>
      </c>
      <c r="E36" s="461"/>
      <c r="F36" s="190">
        <v>27551.749999999996</v>
      </c>
    </row>
    <row r="37" spans="1:7" x14ac:dyDescent="0.25">
      <c r="A37" s="267" t="s">
        <v>92</v>
      </c>
      <c r="B37" s="461"/>
      <c r="C37" s="461">
        <v>269.47000000000003</v>
      </c>
      <c r="D37" s="461"/>
      <c r="E37" s="461"/>
      <c r="F37" s="190">
        <v>269.47000000000003</v>
      </c>
    </row>
    <row r="38" spans="1:7" x14ac:dyDescent="0.25">
      <c r="A38" s="267" t="s">
        <v>2397</v>
      </c>
      <c r="B38" s="461">
        <v>142.41</v>
      </c>
      <c r="C38" s="461"/>
      <c r="D38" s="461"/>
      <c r="E38" s="461"/>
      <c r="F38" s="190">
        <v>142.41</v>
      </c>
    </row>
    <row r="39" spans="1:7" x14ac:dyDescent="0.25">
      <c r="A39" s="267" t="s">
        <v>3212</v>
      </c>
      <c r="B39" s="461"/>
      <c r="C39" s="461">
        <v>437.26</v>
      </c>
      <c r="D39" s="461"/>
      <c r="E39" s="461"/>
      <c r="F39" s="190">
        <v>437.26</v>
      </c>
    </row>
    <row r="40" spans="1:7" x14ac:dyDescent="0.25">
      <c r="A40" s="267" t="s">
        <v>3428</v>
      </c>
      <c r="B40" s="461"/>
      <c r="C40" s="461">
        <v>513.38</v>
      </c>
      <c r="D40" s="461"/>
      <c r="E40" s="461"/>
      <c r="F40" s="190">
        <v>513.38</v>
      </c>
    </row>
    <row r="41" spans="1:7" x14ac:dyDescent="0.25">
      <c r="A41" s="267" t="s">
        <v>2831</v>
      </c>
      <c r="B41" s="461">
        <v>2204.09</v>
      </c>
      <c r="C41" s="461">
        <v>17086.440000000002</v>
      </c>
      <c r="D41" s="461">
        <v>1186.1799999999998</v>
      </c>
      <c r="E41" s="461"/>
      <c r="F41" s="190">
        <v>20476.710000000003</v>
      </c>
    </row>
    <row r="42" spans="1:7" x14ac:dyDescent="0.25">
      <c r="A42" s="460" t="s">
        <v>1050</v>
      </c>
      <c r="B42" s="461"/>
      <c r="C42" s="461">
        <v>565</v>
      </c>
      <c r="D42" s="461"/>
      <c r="E42" s="461"/>
      <c r="F42" s="190">
        <v>565</v>
      </c>
    </row>
    <row r="43" spans="1:7" x14ac:dyDescent="0.25">
      <c r="A43" s="267" t="s">
        <v>3221</v>
      </c>
      <c r="B43" s="461"/>
      <c r="C43" s="461">
        <v>245</v>
      </c>
      <c r="D43" s="461"/>
      <c r="E43" s="461"/>
      <c r="F43" s="190">
        <v>245</v>
      </c>
    </row>
    <row r="44" spans="1:7" x14ac:dyDescent="0.25">
      <c r="A44" s="267" t="s">
        <v>2514</v>
      </c>
      <c r="B44" s="461"/>
      <c r="C44" s="461">
        <v>160</v>
      </c>
      <c r="D44" s="461"/>
      <c r="E44" s="461"/>
      <c r="F44" s="190">
        <v>160</v>
      </c>
    </row>
    <row r="45" spans="1:7" x14ac:dyDescent="0.25">
      <c r="A45" s="267" t="s">
        <v>2466</v>
      </c>
      <c r="B45" s="461"/>
      <c r="C45" s="461">
        <v>160</v>
      </c>
      <c r="D45" s="461"/>
      <c r="E45" s="461"/>
      <c r="F45" s="190">
        <v>160</v>
      </c>
    </row>
    <row r="46" spans="1:7" x14ac:dyDescent="0.25">
      <c r="A46" s="460" t="s">
        <v>86</v>
      </c>
      <c r="B46" s="461">
        <v>1793.33</v>
      </c>
      <c r="C46" s="461">
        <v>80162.282000000007</v>
      </c>
      <c r="D46" s="461">
        <v>52822.47</v>
      </c>
      <c r="E46" s="461"/>
      <c r="F46" s="190">
        <v>134778.08199999999</v>
      </c>
    </row>
    <row r="47" spans="1:7" x14ac:dyDescent="0.25">
      <c r="A47" s="267" t="s">
        <v>111</v>
      </c>
      <c r="B47" s="461"/>
      <c r="C47" s="461">
        <v>2881.3</v>
      </c>
      <c r="D47" s="461"/>
      <c r="E47" s="461"/>
      <c r="F47" s="190">
        <v>2881.3</v>
      </c>
    </row>
    <row r="48" spans="1:7" x14ac:dyDescent="0.25">
      <c r="A48" s="267" t="s">
        <v>332</v>
      </c>
      <c r="B48" s="461"/>
      <c r="C48" s="461">
        <v>11066.750000000002</v>
      </c>
      <c r="D48" s="461"/>
      <c r="E48" s="461"/>
      <c r="F48" s="190">
        <v>11066.750000000002</v>
      </c>
      <c r="G48" s="163" t="s">
        <v>8254</v>
      </c>
    </row>
    <row r="49" spans="1:7" x14ac:dyDescent="0.25">
      <c r="A49" s="267" t="s">
        <v>2889</v>
      </c>
      <c r="B49" s="461">
        <v>80</v>
      </c>
      <c r="C49" s="461"/>
      <c r="D49" s="461"/>
      <c r="E49" s="461"/>
      <c r="F49" s="190">
        <v>80</v>
      </c>
    </row>
    <row r="50" spans="1:7" x14ac:dyDescent="0.25">
      <c r="A50" s="267" t="s">
        <v>2857</v>
      </c>
      <c r="B50" s="461">
        <v>780</v>
      </c>
      <c r="C50" s="461"/>
      <c r="D50" s="461"/>
      <c r="E50" s="461"/>
      <c r="F50" s="190">
        <v>780</v>
      </c>
    </row>
    <row r="51" spans="1:7" x14ac:dyDescent="0.25">
      <c r="A51" s="267" t="s">
        <v>248</v>
      </c>
      <c r="B51" s="461"/>
      <c r="C51" s="461"/>
      <c r="D51" s="461">
        <v>405.5</v>
      </c>
      <c r="E51" s="461"/>
      <c r="F51" s="190">
        <v>405.5</v>
      </c>
    </row>
    <row r="52" spans="1:7" x14ac:dyDescent="0.25">
      <c r="A52" s="267" t="s">
        <v>85</v>
      </c>
      <c r="B52" s="461"/>
      <c r="C52" s="461">
        <v>2442.1499999999996</v>
      </c>
      <c r="D52" s="461">
        <v>4375.6000000000004</v>
      </c>
      <c r="E52" s="461"/>
      <c r="F52" s="190">
        <v>6817.75</v>
      </c>
    </row>
    <row r="53" spans="1:7" x14ac:dyDescent="0.25">
      <c r="A53" s="267" t="s">
        <v>453</v>
      </c>
      <c r="B53" s="461"/>
      <c r="C53" s="461">
        <v>17014.980000000003</v>
      </c>
      <c r="D53" s="461">
        <v>10391.749999999998</v>
      </c>
      <c r="E53" s="461"/>
      <c r="F53" s="190">
        <v>27406.730000000003</v>
      </c>
    </row>
    <row r="54" spans="1:7" x14ac:dyDescent="0.25">
      <c r="A54" s="267" t="s">
        <v>2736</v>
      </c>
      <c r="B54" s="461">
        <v>400</v>
      </c>
      <c r="C54" s="461"/>
      <c r="D54" s="461"/>
      <c r="E54" s="461"/>
      <c r="F54" s="190">
        <v>400</v>
      </c>
    </row>
    <row r="55" spans="1:7" x14ac:dyDescent="0.25">
      <c r="A55" s="267" t="s">
        <v>3660</v>
      </c>
      <c r="B55" s="461"/>
      <c r="C55" s="461">
        <v>40.200000000000003</v>
      </c>
      <c r="D55" s="461">
        <v>8029.3</v>
      </c>
      <c r="E55" s="461"/>
      <c r="F55" s="190">
        <v>8069.5</v>
      </c>
      <c r="G55" s="163" t="s">
        <v>8257</v>
      </c>
    </row>
    <row r="56" spans="1:7" x14ac:dyDescent="0.25">
      <c r="A56" s="267" t="s">
        <v>782</v>
      </c>
      <c r="B56" s="461"/>
      <c r="C56" s="461">
        <v>6287.29</v>
      </c>
      <c r="D56" s="461"/>
      <c r="E56" s="461"/>
      <c r="F56" s="190">
        <v>6287.29</v>
      </c>
    </row>
    <row r="57" spans="1:7" x14ac:dyDescent="0.25">
      <c r="A57" s="267" t="s">
        <v>202</v>
      </c>
      <c r="B57" s="461"/>
      <c r="C57" s="461">
        <v>6730.66</v>
      </c>
      <c r="D57" s="461"/>
      <c r="E57" s="461"/>
      <c r="F57" s="190">
        <v>6730.66</v>
      </c>
    </row>
    <row r="58" spans="1:7" x14ac:dyDescent="0.25">
      <c r="A58" s="267" t="s">
        <v>4865</v>
      </c>
      <c r="B58" s="461"/>
      <c r="C58" s="461">
        <v>2158.77</v>
      </c>
      <c r="D58" s="461"/>
      <c r="E58" s="461"/>
      <c r="F58" s="190">
        <v>2158.77</v>
      </c>
    </row>
    <row r="59" spans="1:7" x14ac:dyDescent="0.25">
      <c r="A59" s="267" t="s">
        <v>4220</v>
      </c>
      <c r="B59" s="461"/>
      <c r="C59" s="461"/>
      <c r="D59" s="461">
        <v>4439.79</v>
      </c>
      <c r="E59" s="461"/>
      <c r="F59" s="190">
        <v>4439.79</v>
      </c>
    </row>
    <row r="60" spans="1:7" x14ac:dyDescent="0.25">
      <c r="A60" s="267" t="s">
        <v>2758</v>
      </c>
      <c r="B60" s="461">
        <v>80</v>
      </c>
      <c r="C60" s="461"/>
      <c r="D60" s="461"/>
      <c r="E60" s="461"/>
      <c r="F60" s="190">
        <v>80</v>
      </c>
    </row>
    <row r="61" spans="1:7" x14ac:dyDescent="0.25">
      <c r="A61" s="267" t="s">
        <v>2743</v>
      </c>
      <c r="B61" s="461">
        <v>173.33</v>
      </c>
      <c r="C61" s="461"/>
      <c r="D61" s="461"/>
      <c r="E61" s="461"/>
      <c r="F61" s="190">
        <v>173.33</v>
      </c>
    </row>
    <row r="62" spans="1:7" x14ac:dyDescent="0.25">
      <c r="A62" s="267" t="s">
        <v>261</v>
      </c>
      <c r="B62" s="461"/>
      <c r="C62" s="461">
        <v>601.73</v>
      </c>
      <c r="D62" s="461"/>
      <c r="E62" s="461"/>
      <c r="F62" s="190">
        <v>601.73</v>
      </c>
    </row>
    <row r="63" spans="1:7" x14ac:dyDescent="0.25">
      <c r="A63" s="267" t="s">
        <v>458</v>
      </c>
      <c r="B63" s="461"/>
      <c r="C63" s="461">
        <v>14900.691999999999</v>
      </c>
      <c r="D63" s="461"/>
      <c r="E63" s="461"/>
      <c r="F63" s="190">
        <v>14900.691999999999</v>
      </c>
    </row>
    <row r="64" spans="1:7" x14ac:dyDescent="0.25">
      <c r="A64" s="267" t="s">
        <v>287</v>
      </c>
      <c r="B64" s="461"/>
      <c r="C64" s="461">
        <v>2384.0500000000002</v>
      </c>
      <c r="D64" s="461">
        <v>5601.28</v>
      </c>
      <c r="E64" s="461"/>
      <c r="F64" s="190">
        <v>7985.33</v>
      </c>
    </row>
    <row r="65" spans="1:7" x14ac:dyDescent="0.25">
      <c r="A65" s="267" t="s">
        <v>2867</v>
      </c>
      <c r="B65" s="461">
        <v>120</v>
      </c>
      <c r="C65" s="461"/>
      <c r="D65" s="461"/>
      <c r="E65" s="461"/>
      <c r="F65" s="190">
        <v>120</v>
      </c>
    </row>
    <row r="66" spans="1:7" x14ac:dyDescent="0.25">
      <c r="A66" s="267" t="s">
        <v>684</v>
      </c>
      <c r="B66" s="461"/>
      <c r="C66" s="461">
        <v>4049.46</v>
      </c>
      <c r="D66" s="461">
        <v>240.05</v>
      </c>
      <c r="E66" s="461"/>
      <c r="F66" s="190">
        <v>4289.51</v>
      </c>
    </row>
    <row r="67" spans="1:7" ht="30" x14ac:dyDescent="0.25">
      <c r="A67" s="267" t="s">
        <v>97</v>
      </c>
      <c r="B67" s="461">
        <v>160</v>
      </c>
      <c r="C67" s="461">
        <v>8792.09</v>
      </c>
      <c r="D67" s="461">
        <v>11579.68</v>
      </c>
      <c r="E67" s="461"/>
      <c r="F67" s="190">
        <v>20531.77</v>
      </c>
      <c r="G67" s="163" t="s">
        <v>8255</v>
      </c>
    </row>
    <row r="68" spans="1:7" x14ac:dyDescent="0.25">
      <c r="A68" s="267" t="s">
        <v>3750</v>
      </c>
      <c r="B68" s="461"/>
      <c r="C68" s="461">
        <v>812.16000000000008</v>
      </c>
      <c r="D68" s="461">
        <v>7759.5199999999995</v>
      </c>
      <c r="E68" s="461"/>
      <c r="F68" s="190">
        <v>8571.68</v>
      </c>
    </row>
    <row r="69" spans="1:7" x14ac:dyDescent="0.25">
      <c r="A69" s="460" t="s">
        <v>5622</v>
      </c>
      <c r="B69" s="462"/>
      <c r="C69" s="462">
        <v>10230.33</v>
      </c>
      <c r="D69" s="462">
        <v>5098.0599999999995</v>
      </c>
      <c r="E69" s="462"/>
      <c r="F69" s="456">
        <v>15328.39</v>
      </c>
    </row>
    <row r="70" spans="1:7" x14ac:dyDescent="0.25">
      <c r="A70" s="457" t="s">
        <v>5706</v>
      </c>
      <c r="B70" s="462"/>
      <c r="C70" s="462">
        <v>1737</v>
      </c>
      <c r="D70" s="462"/>
      <c r="E70" s="462"/>
      <c r="F70" s="456">
        <v>1737</v>
      </c>
    </row>
    <row r="71" spans="1:7" x14ac:dyDescent="0.25">
      <c r="A71" s="457" t="s">
        <v>5637</v>
      </c>
      <c r="B71" s="462"/>
      <c r="C71" s="462">
        <v>6020.72</v>
      </c>
      <c r="D71" s="462"/>
      <c r="E71" s="462"/>
      <c r="F71" s="456">
        <v>6020.72</v>
      </c>
      <c r="G71" s="163" t="s">
        <v>8259</v>
      </c>
    </row>
    <row r="72" spans="1:7" x14ac:dyDescent="0.25">
      <c r="A72" s="457" t="s">
        <v>5658</v>
      </c>
      <c r="B72" s="462"/>
      <c r="C72" s="462">
        <v>2009.6</v>
      </c>
      <c r="D72" s="462"/>
      <c r="E72" s="462"/>
      <c r="F72" s="456">
        <v>2009.6</v>
      </c>
    </row>
    <row r="73" spans="1:7" x14ac:dyDescent="0.25">
      <c r="A73" s="457" t="s">
        <v>5749</v>
      </c>
      <c r="B73" s="462"/>
      <c r="C73" s="462"/>
      <c r="D73" s="462">
        <v>5098.0599999999995</v>
      </c>
      <c r="E73" s="462"/>
      <c r="F73" s="456">
        <v>5098.0599999999995</v>
      </c>
      <c r="G73" s="163" t="s">
        <v>8260</v>
      </c>
    </row>
    <row r="74" spans="1:7" x14ac:dyDescent="0.25">
      <c r="A74" s="457" t="s">
        <v>5621</v>
      </c>
      <c r="B74" s="462"/>
      <c r="C74" s="462">
        <v>463.01</v>
      </c>
      <c r="D74" s="462"/>
      <c r="E74" s="462"/>
      <c r="F74" s="456">
        <v>463.01</v>
      </c>
    </row>
    <row r="75" spans="1:7" x14ac:dyDescent="0.25">
      <c r="A75" s="460" t="s">
        <v>5285</v>
      </c>
      <c r="B75" s="462"/>
      <c r="C75" s="462">
        <v>11966.060000000001</v>
      </c>
      <c r="D75" s="462">
        <v>1129.75</v>
      </c>
      <c r="E75" s="462"/>
      <c r="F75" s="456">
        <v>13095.810000000001</v>
      </c>
    </row>
    <row r="76" spans="1:7" x14ac:dyDescent="0.25">
      <c r="A76" s="458" t="s">
        <v>5580</v>
      </c>
      <c r="B76" s="462"/>
      <c r="C76" s="462">
        <v>90.25</v>
      </c>
      <c r="D76" s="462">
        <v>640</v>
      </c>
      <c r="E76" s="462"/>
      <c r="F76" s="456">
        <v>730.25</v>
      </c>
    </row>
    <row r="77" spans="1:7" x14ac:dyDescent="0.25">
      <c r="A77" s="458" t="s">
        <v>5701</v>
      </c>
      <c r="B77" s="462"/>
      <c r="C77" s="462">
        <v>160</v>
      </c>
      <c r="D77" s="462"/>
      <c r="E77" s="462"/>
      <c r="F77" s="456">
        <v>160</v>
      </c>
    </row>
    <row r="78" spans="1:7" x14ac:dyDescent="0.25">
      <c r="A78" s="458" t="s">
        <v>5665</v>
      </c>
      <c r="B78" s="462"/>
      <c r="C78" s="462">
        <v>120.69</v>
      </c>
      <c r="D78" s="462"/>
      <c r="E78" s="462"/>
      <c r="F78" s="456">
        <v>120.69</v>
      </c>
    </row>
    <row r="79" spans="1:7" x14ac:dyDescent="0.25">
      <c r="A79" s="458" t="s">
        <v>5677</v>
      </c>
      <c r="B79" s="462"/>
      <c r="C79" s="462">
        <v>960</v>
      </c>
      <c r="D79" s="462"/>
      <c r="E79" s="462"/>
      <c r="F79" s="456">
        <v>960</v>
      </c>
    </row>
    <row r="80" spans="1:7" x14ac:dyDescent="0.25">
      <c r="A80" s="458" t="s">
        <v>5669</v>
      </c>
      <c r="B80" s="462"/>
      <c r="C80" s="462">
        <v>920</v>
      </c>
      <c r="D80" s="462"/>
      <c r="E80" s="462"/>
      <c r="F80" s="456">
        <v>920</v>
      </c>
    </row>
    <row r="81" spans="1:7" x14ac:dyDescent="0.25">
      <c r="A81" s="458" t="s">
        <v>5744</v>
      </c>
      <c r="B81" s="462"/>
      <c r="C81" s="462"/>
      <c r="D81" s="462">
        <v>480</v>
      </c>
      <c r="E81" s="462"/>
      <c r="F81" s="456">
        <v>480</v>
      </c>
    </row>
    <row r="82" spans="1:7" x14ac:dyDescent="0.25">
      <c r="A82" s="458" t="s">
        <v>5585</v>
      </c>
      <c r="B82" s="462"/>
      <c r="C82" s="462">
        <v>9715.1200000000008</v>
      </c>
      <c r="D82" s="462">
        <v>9.75</v>
      </c>
      <c r="E82" s="462"/>
      <c r="F82" s="456">
        <v>9724.8700000000008</v>
      </c>
      <c r="G82" s="163" t="s">
        <v>8258</v>
      </c>
    </row>
    <row r="83" spans="1:7" x14ac:dyDescent="0.25">
      <c r="A83" s="460" t="s">
        <v>512</v>
      </c>
      <c r="B83" s="461">
        <v>20136.670000000002</v>
      </c>
      <c r="C83" s="461">
        <v>7137.73</v>
      </c>
      <c r="D83" s="461">
        <v>10457.52</v>
      </c>
      <c r="E83" s="461">
        <v>240</v>
      </c>
      <c r="F83" s="190">
        <v>37971.919999999998</v>
      </c>
    </row>
    <row r="84" spans="1:7" x14ac:dyDescent="0.25">
      <c r="A84" s="267" t="s">
        <v>892</v>
      </c>
      <c r="B84" s="461">
        <v>480</v>
      </c>
      <c r="C84" s="461">
        <v>1640</v>
      </c>
      <c r="D84" s="461"/>
      <c r="E84" s="461"/>
      <c r="F84" s="190">
        <v>2120</v>
      </c>
    </row>
    <row r="85" spans="1:7" x14ac:dyDescent="0.25">
      <c r="A85" s="267" t="s">
        <v>517</v>
      </c>
      <c r="B85" s="461">
        <v>160</v>
      </c>
      <c r="C85" s="461"/>
      <c r="D85" s="461"/>
      <c r="E85" s="461"/>
      <c r="F85" s="190">
        <v>160</v>
      </c>
    </row>
    <row r="86" spans="1:7" x14ac:dyDescent="0.25">
      <c r="A86" s="267" t="s">
        <v>4328</v>
      </c>
      <c r="B86" s="461"/>
      <c r="C86" s="461"/>
      <c r="D86" s="461">
        <v>9817.52</v>
      </c>
      <c r="E86" s="461"/>
      <c r="F86" s="190">
        <v>9817.52</v>
      </c>
    </row>
    <row r="87" spans="1:7" x14ac:dyDescent="0.25">
      <c r="A87" s="267" t="s">
        <v>899</v>
      </c>
      <c r="B87" s="461">
        <v>360</v>
      </c>
      <c r="C87" s="461">
        <v>280</v>
      </c>
      <c r="D87" s="461"/>
      <c r="E87" s="461">
        <v>240</v>
      </c>
      <c r="F87" s="190">
        <v>880</v>
      </c>
    </row>
    <row r="88" spans="1:7" x14ac:dyDescent="0.25">
      <c r="A88" s="267" t="s">
        <v>564</v>
      </c>
      <c r="B88" s="461">
        <v>769.8</v>
      </c>
      <c r="C88" s="461">
        <v>1660.87</v>
      </c>
      <c r="D88" s="461"/>
      <c r="E88" s="461"/>
      <c r="F88" s="190">
        <v>2430.67</v>
      </c>
    </row>
    <row r="89" spans="1:7" x14ac:dyDescent="0.25">
      <c r="A89" s="267" t="s">
        <v>2024</v>
      </c>
      <c r="B89" s="461">
        <v>15834.19</v>
      </c>
      <c r="C89" s="461">
        <v>2756.8599999999997</v>
      </c>
      <c r="D89" s="461"/>
      <c r="E89" s="461"/>
      <c r="F89" s="190">
        <v>18591.05</v>
      </c>
      <c r="G89" s="163" t="s">
        <v>8256</v>
      </c>
    </row>
    <row r="90" spans="1:7" x14ac:dyDescent="0.25">
      <c r="A90" s="267" t="s">
        <v>904</v>
      </c>
      <c r="B90" s="461"/>
      <c r="C90" s="461"/>
      <c r="D90" s="461">
        <v>640</v>
      </c>
      <c r="E90" s="461"/>
      <c r="F90" s="190">
        <v>640</v>
      </c>
    </row>
    <row r="91" spans="1:7" x14ac:dyDescent="0.25">
      <c r="A91" s="267" t="s">
        <v>3238</v>
      </c>
      <c r="B91" s="461"/>
      <c r="C91" s="461">
        <v>320</v>
      </c>
      <c r="D91" s="461"/>
      <c r="E91" s="461"/>
      <c r="F91" s="190">
        <v>320</v>
      </c>
    </row>
    <row r="92" spans="1:7" x14ac:dyDescent="0.25">
      <c r="A92" s="267" t="s">
        <v>522</v>
      </c>
      <c r="B92" s="461"/>
      <c r="C92" s="461">
        <v>480</v>
      </c>
      <c r="D92" s="461"/>
      <c r="E92" s="461"/>
      <c r="F92" s="190">
        <v>480</v>
      </c>
    </row>
    <row r="93" spans="1:7" x14ac:dyDescent="0.25">
      <c r="A93" s="267" t="s">
        <v>559</v>
      </c>
      <c r="B93" s="461">
        <v>2532.6800000000003</v>
      </c>
      <c r="C93" s="461"/>
      <c r="D93" s="461"/>
      <c r="E93" s="461"/>
      <c r="F93" s="190">
        <v>2532.6800000000003</v>
      </c>
    </row>
    <row r="94" spans="1:7" x14ac:dyDescent="0.25">
      <c r="A94" s="460" t="s">
        <v>2748</v>
      </c>
      <c r="B94" s="461">
        <v>9287.4600000000009</v>
      </c>
      <c r="C94" s="461"/>
      <c r="D94" s="461"/>
      <c r="E94" s="461"/>
      <c r="F94" s="190">
        <v>9287.4600000000009</v>
      </c>
    </row>
    <row r="95" spans="1:7" x14ac:dyDescent="0.25">
      <c r="A95" s="267" t="s">
        <v>2768</v>
      </c>
      <c r="B95" s="461">
        <v>3218.86</v>
      </c>
      <c r="C95" s="461"/>
      <c r="D95" s="461"/>
      <c r="E95" s="461"/>
      <c r="F95" s="190">
        <v>3218.86</v>
      </c>
    </row>
    <row r="96" spans="1:7" x14ac:dyDescent="0.25">
      <c r="A96" s="267" t="s">
        <v>2758</v>
      </c>
      <c r="B96" s="461">
        <v>5495.84</v>
      </c>
      <c r="C96" s="461"/>
      <c r="D96" s="461"/>
      <c r="E96" s="461"/>
      <c r="F96" s="190">
        <v>5495.84</v>
      </c>
      <c r="G96" s="163" t="s">
        <v>8261</v>
      </c>
    </row>
    <row r="97" spans="1:6" x14ac:dyDescent="0.25">
      <c r="A97" s="267" t="s">
        <v>2747</v>
      </c>
      <c r="B97" s="461">
        <v>373.31</v>
      </c>
      <c r="C97" s="461"/>
      <c r="D97" s="461"/>
      <c r="E97" s="461"/>
      <c r="F97" s="190">
        <v>373.31</v>
      </c>
    </row>
    <row r="98" spans="1:6" x14ac:dyDescent="0.25">
      <c r="A98" s="267" t="s">
        <v>237</v>
      </c>
      <c r="B98" s="461">
        <v>81.17</v>
      </c>
      <c r="C98" s="461"/>
      <c r="D98" s="461"/>
      <c r="E98" s="461"/>
      <c r="F98" s="190">
        <v>81.17</v>
      </c>
    </row>
    <row r="99" spans="1:6" x14ac:dyDescent="0.25">
      <c r="A99" s="267" t="s">
        <v>8244</v>
      </c>
      <c r="B99" s="461">
        <v>118.28</v>
      </c>
      <c r="C99" s="461"/>
      <c r="D99" s="461"/>
      <c r="E99" s="461"/>
      <c r="F99" s="190">
        <v>118.28</v>
      </c>
    </row>
    <row r="100" spans="1:6" x14ac:dyDescent="0.25">
      <c r="A100" s="460" t="s">
        <v>198</v>
      </c>
      <c r="B100" s="461">
        <v>50.728000000000002</v>
      </c>
      <c r="C100" s="461"/>
      <c r="D100" s="461">
        <v>456.12</v>
      </c>
      <c r="E100" s="461"/>
      <c r="F100" s="190">
        <v>506.84800000000001</v>
      </c>
    </row>
    <row r="101" spans="1:6" x14ac:dyDescent="0.25">
      <c r="A101" s="267" t="s">
        <v>4209</v>
      </c>
      <c r="B101" s="461"/>
      <c r="C101" s="461"/>
      <c r="D101" s="461">
        <v>20</v>
      </c>
      <c r="E101" s="461"/>
      <c r="F101" s="190">
        <v>20</v>
      </c>
    </row>
    <row r="102" spans="1:6" x14ac:dyDescent="0.25">
      <c r="A102" s="267" t="s">
        <v>573</v>
      </c>
      <c r="B102" s="461">
        <v>10.728</v>
      </c>
      <c r="C102" s="461"/>
      <c r="D102" s="461"/>
      <c r="E102" s="461"/>
      <c r="F102" s="190">
        <v>10.728</v>
      </c>
    </row>
    <row r="103" spans="1:6" x14ac:dyDescent="0.25">
      <c r="A103" s="267" t="s">
        <v>4341</v>
      </c>
      <c r="B103" s="461"/>
      <c r="C103" s="461"/>
      <c r="D103" s="461">
        <v>436.12</v>
      </c>
      <c r="E103" s="461"/>
      <c r="F103" s="190">
        <v>436.12</v>
      </c>
    </row>
    <row r="104" spans="1:6" x14ac:dyDescent="0.25">
      <c r="A104" s="267" t="s">
        <v>2814</v>
      </c>
      <c r="B104" s="461">
        <v>40</v>
      </c>
      <c r="C104" s="461"/>
      <c r="D104" s="461"/>
      <c r="E104" s="461"/>
      <c r="F104" s="190">
        <v>40</v>
      </c>
    </row>
    <row r="105" spans="1:6" x14ac:dyDescent="0.25">
      <c r="A105" s="460" t="s">
        <v>5306</v>
      </c>
      <c r="B105" s="462"/>
      <c r="C105" s="462">
        <v>4712.2</v>
      </c>
      <c r="D105" s="462">
        <v>6927.91</v>
      </c>
      <c r="E105" s="462"/>
      <c r="F105" s="456">
        <v>11640.11</v>
      </c>
    </row>
    <row r="106" spans="1:6" x14ac:dyDescent="0.25">
      <c r="A106" s="459" t="s">
        <v>5334</v>
      </c>
      <c r="B106" s="462"/>
      <c r="C106" s="462">
        <v>1063</v>
      </c>
      <c r="D106" s="462">
        <v>6927.91</v>
      </c>
      <c r="E106" s="462"/>
      <c r="F106" s="456">
        <v>7990.91</v>
      </c>
    </row>
    <row r="107" spans="1:6" x14ac:dyDescent="0.25">
      <c r="A107" s="459" t="s">
        <v>1329</v>
      </c>
      <c r="B107" s="462"/>
      <c r="C107" s="462">
        <v>3649.2</v>
      </c>
      <c r="D107" s="462"/>
      <c r="E107" s="462"/>
      <c r="F107" s="456">
        <v>3649.2</v>
      </c>
    </row>
    <row r="108" spans="1:6" x14ac:dyDescent="0.25">
      <c r="A108" s="460" t="s">
        <v>15</v>
      </c>
      <c r="B108" s="461">
        <v>2252.6000000000004</v>
      </c>
      <c r="C108" s="461">
        <v>1399.375</v>
      </c>
      <c r="D108" s="461">
        <v>8308.7199999999993</v>
      </c>
      <c r="E108" s="461"/>
      <c r="F108" s="190">
        <v>11960.695</v>
      </c>
    </row>
    <row r="109" spans="1:6" x14ac:dyDescent="0.25">
      <c r="A109" s="267" t="s">
        <v>3074</v>
      </c>
      <c r="B109" s="461">
        <v>938.58</v>
      </c>
      <c r="C109" s="461"/>
      <c r="D109" s="461"/>
      <c r="E109" s="461"/>
      <c r="F109" s="190">
        <v>938.58</v>
      </c>
    </row>
    <row r="110" spans="1:6" x14ac:dyDescent="0.25">
      <c r="A110" s="267" t="s">
        <v>4346</v>
      </c>
      <c r="B110" s="461"/>
      <c r="C110" s="461"/>
      <c r="D110" s="461">
        <v>6083.79</v>
      </c>
      <c r="E110" s="461"/>
      <c r="F110" s="190">
        <v>6083.79</v>
      </c>
    </row>
    <row r="111" spans="1:6" x14ac:dyDescent="0.25">
      <c r="A111" s="267" t="s">
        <v>1359</v>
      </c>
      <c r="B111" s="461"/>
      <c r="C111" s="461">
        <v>71.084999999999994</v>
      </c>
      <c r="D111" s="461"/>
      <c r="E111" s="461"/>
      <c r="F111" s="190">
        <v>71.084999999999994</v>
      </c>
    </row>
    <row r="112" spans="1:6" x14ac:dyDescent="0.25">
      <c r="A112" s="267" t="s">
        <v>37</v>
      </c>
      <c r="B112" s="461"/>
      <c r="C112" s="461">
        <v>274.89</v>
      </c>
      <c r="D112" s="461"/>
      <c r="E112" s="461"/>
      <c r="F112" s="190">
        <v>274.89</v>
      </c>
    </row>
    <row r="113" spans="1:6" x14ac:dyDescent="0.25">
      <c r="A113" s="267" t="s">
        <v>4357</v>
      </c>
      <c r="B113" s="461"/>
      <c r="C113" s="461"/>
      <c r="D113" s="461">
        <v>2100.9299999999998</v>
      </c>
      <c r="E113" s="461"/>
      <c r="F113" s="190">
        <v>2100.9299999999998</v>
      </c>
    </row>
    <row r="114" spans="1:6" x14ac:dyDescent="0.25">
      <c r="A114" s="267" t="s">
        <v>862</v>
      </c>
      <c r="B114" s="461">
        <v>544.82000000000005</v>
      </c>
      <c r="C114" s="461">
        <v>1053.4000000000001</v>
      </c>
      <c r="D114" s="461">
        <v>124</v>
      </c>
      <c r="E114" s="461"/>
      <c r="F114" s="190">
        <v>1722.2200000000003</v>
      </c>
    </row>
    <row r="115" spans="1:6" x14ac:dyDescent="0.25">
      <c r="A115" s="267" t="s">
        <v>866</v>
      </c>
      <c r="B115" s="461">
        <v>249</v>
      </c>
      <c r="C115" s="461"/>
      <c r="D115" s="461"/>
      <c r="E115" s="461"/>
      <c r="F115" s="190">
        <v>249</v>
      </c>
    </row>
    <row r="116" spans="1:6" x14ac:dyDescent="0.25">
      <c r="A116" s="267" t="s">
        <v>3086</v>
      </c>
      <c r="B116" s="461">
        <v>520.20000000000005</v>
      </c>
      <c r="C116" s="461"/>
      <c r="D116" s="461"/>
      <c r="E116" s="461"/>
      <c r="F116" s="190">
        <v>520.20000000000005</v>
      </c>
    </row>
    <row r="117" spans="1:6" x14ac:dyDescent="0.25">
      <c r="A117" s="187" t="s">
        <v>6196</v>
      </c>
      <c r="B117" s="461">
        <v>68095.608000000007</v>
      </c>
      <c r="C117" s="461">
        <v>152334.962</v>
      </c>
      <c r="D117" s="461">
        <v>164680.75999999998</v>
      </c>
      <c r="E117" s="461">
        <v>240</v>
      </c>
      <c r="F117" s="190">
        <v>385351.33</v>
      </c>
    </row>
  </sheetData>
  <conditionalFormatting pivot="1" sqref="B5:D117">
    <cfRule type="dataBar" priority="3">
      <dataBar>
        <cfvo type="min"/>
        <cfvo type="max"/>
        <color rgb="FFD6007B"/>
      </dataBar>
      <extLst>
        <ext xmlns:x14="http://schemas.microsoft.com/office/spreadsheetml/2009/9/main" uri="{B025F937-C7B1-47D3-B67F-A62EFF666E3E}">
          <x14:id>{4EB96715-B84D-450E-9582-DA269AED21A7}</x14:id>
        </ext>
      </extLst>
    </cfRule>
  </conditionalFormatting>
  <conditionalFormatting pivot="1" sqref="F5:F117">
    <cfRule type="dataBar" priority="2">
      <dataBar>
        <cfvo type="min"/>
        <cfvo type="max"/>
        <color rgb="FF63C384"/>
      </dataBar>
      <extLst>
        <ext xmlns:x14="http://schemas.microsoft.com/office/spreadsheetml/2009/9/main" uri="{B025F937-C7B1-47D3-B67F-A62EFF666E3E}">
          <x14:id>{B0D4569A-E344-4C51-A329-EA584BED93FA}</x14:id>
        </ext>
      </extLst>
    </cfRule>
  </conditionalFormatting>
  <conditionalFormatting pivot="1" sqref="B5:E117">
    <cfRule type="cellIs" dxfId="0" priority="1" operator="greaterThan">
      <formula>5000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EB96715-B84D-450E-9582-DA269AED21A7}">
            <x14:dataBar minLength="0" maxLength="100" border="1" negativeBarBorderColorSameAsPositive="0">
              <x14:cfvo type="autoMin"/>
              <x14:cfvo type="autoMax"/>
              <x14:borderColor rgb="FFD6007B"/>
              <x14:negativeFillColor rgb="FFFF0000"/>
              <x14:negativeBorderColor rgb="FFFF0000"/>
              <x14:axisColor rgb="FF000000"/>
            </x14:dataBar>
          </x14:cfRule>
          <xm:sqref>B5:D117</xm:sqref>
        </x14:conditionalFormatting>
        <x14:conditionalFormatting xmlns:xm="http://schemas.microsoft.com/office/excel/2006/main" pivot="1">
          <x14:cfRule type="dataBar" id="{B0D4569A-E344-4C51-A329-EA584BED93FA}">
            <x14:dataBar minLength="0" maxLength="100" border="1" negativeBarBorderColorSameAsPositive="0">
              <x14:cfvo type="autoMin"/>
              <x14:cfvo type="autoMax"/>
              <x14:borderColor rgb="FF63C384"/>
              <x14:negativeFillColor rgb="FFFF0000"/>
              <x14:negativeBorderColor rgb="FFFF0000"/>
              <x14:axisColor rgb="FF000000"/>
            </x14:dataBar>
          </x14:cfRule>
          <xm:sqref>F5:F117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U1355"/>
  <sheetViews>
    <sheetView topLeftCell="A1316" workbookViewId="0">
      <selection activeCell="O1356" sqref="O1356"/>
    </sheetView>
  </sheetViews>
  <sheetFormatPr defaultRowHeight="15" x14ac:dyDescent="0.25"/>
  <cols>
    <col min="3" max="3" width="13.5703125" customWidth="1"/>
    <col min="4" max="4" width="31.7109375" bestFit="1" customWidth="1"/>
    <col min="5" max="5" width="15" customWidth="1"/>
    <col min="6" max="6" width="12.140625" customWidth="1"/>
    <col min="7" max="7" width="13.85546875" customWidth="1"/>
    <col min="8" max="8" width="15" customWidth="1"/>
    <col min="9" max="9" width="12.85546875" customWidth="1"/>
    <col min="10" max="11" width="13.7109375" customWidth="1"/>
    <col min="12" max="12" width="13.140625" customWidth="1"/>
    <col min="13" max="13" width="11.7109375" customWidth="1"/>
    <col min="14" max="14" width="12.7109375" customWidth="1"/>
    <col min="15" max="15" width="13.28515625" customWidth="1"/>
    <col min="18" max="18" width="10.140625" bestFit="1" customWidth="1"/>
  </cols>
  <sheetData>
    <row r="1" spans="1:14" x14ac:dyDescent="0.25">
      <c r="A1" s="116" t="s">
        <v>5403</v>
      </c>
      <c r="B1" s="117" t="s">
        <v>5404</v>
      </c>
      <c r="C1" s="117" t="s">
        <v>5405</v>
      </c>
      <c r="D1" s="116" t="s">
        <v>8</v>
      </c>
      <c r="E1" s="116" t="s">
        <v>9</v>
      </c>
      <c r="F1" s="116" t="s">
        <v>1</v>
      </c>
      <c r="G1" t="s">
        <v>5406</v>
      </c>
      <c r="H1" s="116" t="s">
        <v>5407</v>
      </c>
      <c r="I1" s="116" t="s">
        <v>5408</v>
      </c>
      <c r="J1" t="s">
        <v>5409</v>
      </c>
      <c r="K1" s="116" t="s">
        <v>5410</v>
      </c>
      <c r="L1" t="s">
        <v>5411</v>
      </c>
      <c r="M1" s="116" t="s">
        <v>5412</v>
      </c>
      <c r="N1" t="s">
        <v>5413</v>
      </c>
    </row>
    <row r="2" spans="1:14" x14ac:dyDescent="0.25">
      <c r="A2" s="118">
        <v>0</v>
      </c>
      <c r="B2" s="119" t="s">
        <v>5414</v>
      </c>
      <c r="C2" s="119" t="s">
        <v>4082</v>
      </c>
      <c r="D2" s="118" t="s">
        <v>4084</v>
      </c>
      <c r="E2" s="118" t="s">
        <v>308</v>
      </c>
      <c r="F2" s="120">
        <v>41030</v>
      </c>
      <c r="G2" s="121">
        <v>44682</v>
      </c>
      <c r="H2" s="118">
        <v>1021.03</v>
      </c>
      <c r="I2" s="118" t="s">
        <v>13</v>
      </c>
      <c r="J2" s="122">
        <v>17642.924143</v>
      </c>
      <c r="K2" s="118">
        <v>5577720.7089099996</v>
      </c>
      <c r="L2" s="122" t="s">
        <v>13</v>
      </c>
      <c r="M2" s="118">
        <v>2022</v>
      </c>
      <c r="N2" s="122" t="s">
        <v>13</v>
      </c>
    </row>
    <row r="3" spans="1:14" x14ac:dyDescent="0.25">
      <c r="A3" s="116">
        <v>1</v>
      </c>
      <c r="B3" s="117" t="s">
        <v>5414</v>
      </c>
      <c r="C3" s="117" t="s">
        <v>3276</v>
      </c>
      <c r="D3" s="123" t="s">
        <v>4084</v>
      </c>
      <c r="E3" s="123" t="s">
        <v>308</v>
      </c>
      <c r="F3" s="123">
        <v>40664</v>
      </c>
      <c r="G3" s="124">
        <v>44317</v>
      </c>
      <c r="H3" s="116">
        <v>34.549999999999997</v>
      </c>
      <c r="I3" s="116" t="s">
        <v>13</v>
      </c>
      <c r="J3">
        <v>1901.484725</v>
      </c>
      <c r="K3" s="116">
        <v>225806.89158200001</v>
      </c>
      <c r="L3" t="s">
        <v>13</v>
      </c>
      <c r="M3" s="116">
        <v>2021</v>
      </c>
      <c r="N3" t="s">
        <v>13</v>
      </c>
    </row>
    <row r="4" spans="1:14" x14ac:dyDescent="0.25">
      <c r="A4" s="116">
        <v>2</v>
      </c>
      <c r="B4" s="117" t="s">
        <v>5414</v>
      </c>
      <c r="C4" s="117" t="s">
        <v>3271</v>
      </c>
      <c r="D4" s="123" t="s">
        <v>4084</v>
      </c>
      <c r="E4" s="123" t="s">
        <v>308</v>
      </c>
      <c r="F4" s="123">
        <v>40664</v>
      </c>
      <c r="G4" s="124">
        <v>44317</v>
      </c>
      <c r="H4" s="116">
        <v>734.12</v>
      </c>
      <c r="I4" s="116" t="s">
        <v>13</v>
      </c>
      <c r="J4">
        <v>10494.889788</v>
      </c>
      <c r="K4" s="116">
        <v>4223373.5981999999</v>
      </c>
      <c r="L4" t="s">
        <v>13</v>
      </c>
      <c r="M4" s="116">
        <v>2021</v>
      </c>
      <c r="N4" t="s">
        <v>13</v>
      </c>
    </row>
    <row r="5" spans="1:14" x14ac:dyDescent="0.25">
      <c r="A5" s="116">
        <v>3</v>
      </c>
      <c r="B5" s="117" t="s">
        <v>5414</v>
      </c>
      <c r="C5" s="117" t="s">
        <v>2714</v>
      </c>
      <c r="D5" s="123" t="s">
        <v>2705</v>
      </c>
      <c r="E5" s="123" t="s">
        <v>308</v>
      </c>
      <c r="F5" s="123">
        <v>40330</v>
      </c>
      <c r="G5" s="124">
        <v>43983</v>
      </c>
      <c r="H5" s="116">
        <v>39.090000000000003</v>
      </c>
      <c r="I5" s="116" t="s">
        <v>13</v>
      </c>
      <c r="J5">
        <v>1905.0038</v>
      </c>
      <c r="K5" s="116">
        <v>226804.02881399999</v>
      </c>
      <c r="L5" t="s">
        <v>13</v>
      </c>
      <c r="M5" s="116">
        <v>2020</v>
      </c>
      <c r="N5" t="s">
        <v>13</v>
      </c>
    </row>
    <row r="6" spans="1:14" x14ac:dyDescent="0.25">
      <c r="A6" s="116">
        <v>4</v>
      </c>
      <c r="B6" s="117" t="s">
        <v>5414</v>
      </c>
      <c r="C6" s="117" t="s">
        <v>2711</v>
      </c>
      <c r="D6" s="123" t="s">
        <v>2705</v>
      </c>
      <c r="E6" s="123" t="s">
        <v>308</v>
      </c>
      <c r="F6" s="123">
        <v>40330</v>
      </c>
      <c r="G6" s="124">
        <v>43983</v>
      </c>
      <c r="H6" s="116">
        <v>200</v>
      </c>
      <c r="I6" s="116" t="s">
        <v>13</v>
      </c>
      <c r="J6">
        <v>6834.2013999999999</v>
      </c>
      <c r="K6" s="116">
        <v>1195508.77373</v>
      </c>
      <c r="L6" t="s">
        <v>13</v>
      </c>
      <c r="M6" s="116">
        <v>2020</v>
      </c>
      <c r="N6" t="s">
        <v>13</v>
      </c>
    </row>
    <row r="7" spans="1:14" x14ac:dyDescent="0.25">
      <c r="A7" s="116">
        <v>5</v>
      </c>
      <c r="B7" s="117" t="s">
        <v>5414</v>
      </c>
      <c r="C7" s="117" t="s">
        <v>2708</v>
      </c>
      <c r="D7" s="123" t="s">
        <v>2705</v>
      </c>
      <c r="E7" s="123" t="s">
        <v>308</v>
      </c>
      <c r="F7" s="123">
        <v>40330</v>
      </c>
      <c r="G7" s="124">
        <v>43983</v>
      </c>
      <c r="H7" s="116">
        <v>40</v>
      </c>
      <c r="I7" s="116" t="s">
        <v>13</v>
      </c>
      <c r="J7">
        <v>1944.6916000000001</v>
      </c>
      <c r="K7" s="116">
        <v>236360.150849</v>
      </c>
      <c r="L7" t="s">
        <v>13</v>
      </c>
      <c r="M7" s="116">
        <v>2020</v>
      </c>
      <c r="N7" t="s">
        <v>13</v>
      </c>
    </row>
    <row r="8" spans="1:14" x14ac:dyDescent="0.25">
      <c r="A8" s="116">
        <v>6</v>
      </c>
      <c r="B8" s="117" t="s">
        <v>5414</v>
      </c>
      <c r="C8" s="117" t="s">
        <v>2704</v>
      </c>
      <c r="D8" s="123" t="s">
        <v>2705</v>
      </c>
      <c r="E8" s="123" t="s">
        <v>308</v>
      </c>
      <c r="F8" s="123">
        <v>40330</v>
      </c>
      <c r="G8" s="124">
        <v>43983</v>
      </c>
      <c r="H8" s="116">
        <v>40.700000000000003</v>
      </c>
      <c r="I8" s="116" t="s">
        <v>13</v>
      </c>
      <c r="J8">
        <v>1951.306</v>
      </c>
      <c r="K8" s="116">
        <v>237950.083576</v>
      </c>
      <c r="L8" t="s">
        <v>13</v>
      </c>
      <c r="M8" s="116">
        <v>2020</v>
      </c>
      <c r="N8" t="s">
        <v>13</v>
      </c>
    </row>
    <row r="9" spans="1:14" x14ac:dyDescent="0.25">
      <c r="A9" s="116">
        <v>7</v>
      </c>
      <c r="B9" s="117" t="s">
        <v>5414</v>
      </c>
      <c r="C9" s="117" t="s">
        <v>3179</v>
      </c>
      <c r="D9" s="123" t="s">
        <v>2701</v>
      </c>
      <c r="E9" s="123" t="s">
        <v>308</v>
      </c>
      <c r="F9" s="123">
        <v>40575</v>
      </c>
      <c r="G9" s="124">
        <v>44228</v>
      </c>
      <c r="H9" s="116">
        <v>39.93</v>
      </c>
      <c r="I9" s="116" t="s">
        <v>13</v>
      </c>
      <c r="J9">
        <v>1862.6704</v>
      </c>
      <c r="K9" s="116">
        <v>216734.307451</v>
      </c>
      <c r="L9" t="s">
        <v>13</v>
      </c>
      <c r="M9" s="116">
        <v>2021</v>
      </c>
      <c r="N9" t="s">
        <v>5165</v>
      </c>
    </row>
    <row r="10" spans="1:14" x14ac:dyDescent="0.25">
      <c r="A10" s="116">
        <v>8</v>
      </c>
      <c r="B10" s="117" t="s">
        <v>5414</v>
      </c>
      <c r="C10" s="117" t="s">
        <v>2700</v>
      </c>
      <c r="D10" s="123" t="s">
        <v>2701</v>
      </c>
      <c r="E10" s="123" t="s">
        <v>308</v>
      </c>
      <c r="F10" s="123">
        <v>40330</v>
      </c>
      <c r="G10" s="124">
        <v>43983</v>
      </c>
      <c r="H10" s="116">
        <v>122</v>
      </c>
      <c r="I10" s="116" t="s">
        <v>13</v>
      </c>
      <c r="J10">
        <v>3852.3409999999999</v>
      </c>
      <c r="K10" s="116">
        <v>685345.24810900004</v>
      </c>
      <c r="L10" t="s">
        <v>13</v>
      </c>
      <c r="M10" s="116">
        <v>2020</v>
      </c>
      <c r="N10" t="s">
        <v>13</v>
      </c>
    </row>
    <row r="11" spans="1:14" x14ac:dyDescent="0.25">
      <c r="A11" s="116">
        <v>9</v>
      </c>
      <c r="B11" s="117" t="s">
        <v>5414</v>
      </c>
      <c r="C11" s="117" t="s">
        <v>4075</v>
      </c>
      <c r="D11" s="123" t="s">
        <v>248</v>
      </c>
      <c r="E11" s="123" t="s">
        <v>308</v>
      </c>
      <c r="F11" s="123">
        <v>41030</v>
      </c>
      <c r="G11" s="124">
        <v>44682</v>
      </c>
      <c r="H11" s="116">
        <v>1781.2</v>
      </c>
      <c r="I11" s="116" t="s">
        <v>13</v>
      </c>
      <c r="J11">
        <v>16048.567129999999</v>
      </c>
      <c r="K11" s="116">
        <v>10077734.534</v>
      </c>
      <c r="L11" t="s">
        <v>13</v>
      </c>
      <c r="M11" s="116">
        <v>2022</v>
      </c>
      <c r="N11" t="s">
        <v>1613</v>
      </c>
    </row>
    <row r="12" spans="1:14" x14ac:dyDescent="0.25">
      <c r="A12" s="116">
        <v>10</v>
      </c>
      <c r="B12" s="117" t="s">
        <v>5414</v>
      </c>
      <c r="C12" s="117" t="s">
        <v>4072</v>
      </c>
      <c r="D12" s="123" t="s">
        <v>248</v>
      </c>
      <c r="E12" s="123" t="s">
        <v>308</v>
      </c>
      <c r="F12" s="123">
        <v>41030</v>
      </c>
      <c r="G12" s="124">
        <v>44682</v>
      </c>
      <c r="H12" s="116">
        <v>638.24</v>
      </c>
      <c r="I12" s="116" t="s">
        <v>13</v>
      </c>
      <c r="J12">
        <v>7563.8867399999999</v>
      </c>
      <c r="K12" s="116">
        <v>3575688.2732600002</v>
      </c>
      <c r="L12" t="s">
        <v>13</v>
      </c>
      <c r="M12" s="116">
        <v>2022</v>
      </c>
      <c r="N12" t="s">
        <v>1613</v>
      </c>
    </row>
    <row r="13" spans="1:14" x14ac:dyDescent="0.25">
      <c r="A13" s="116">
        <v>11</v>
      </c>
      <c r="B13" s="117" t="s">
        <v>5414</v>
      </c>
      <c r="C13" s="117" t="s">
        <v>4069</v>
      </c>
      <c r="D13" s="123" t="s">
        <v>248</v>
      </c>
      <c r="E13" s="123" t="s">
        <v>308</v>
      </c>
      <c r="F13" s="123">
        <v>41030</v>
      </c>
      <c r="G13" s="124">
        <v>44682</v>
      </c>
      <c r="H13" s="116">
        <v>1442.2</v>
      </c>
      <c r="I13" s="116" t="s">
        <v>13</v>
      </c>
      <c r="J13">
        <v>16122.446271999999</v>
      </c>
      <c r="K13" s="116">
        <v>8093674.1020400003</v>
      </c>
      <c r="L13" t="s">
        <v>13</v>
      </c>
      <c r="M13" s="116">
        <v>2022</v>
      </c>
      <c r="N13" t="s">
        <v>1613</v>
      </c>
    </row>
    <row r="14" spans="1:14" x14ac:dyDescent="0.25">
      <c r="A14" s="116">
        <v>12</v>
      </c>
      <c r="B14" s="117" t="s">
        <v>5414</v>
      </c>
      <c r="C14" s="117" t="s">
        <v>4066</v>
      </c>
      <c r="D14" s="123" t="s">
        <v>248</v>
      </c>
      <c r="E14" s="123" t="s">
        <v>308</v>
      </c>
      <c r="F14" s="123">
        <v>41030</v>
      </c>
      <c r="G14" s="124">
        <v>44682</v>
      </c>
      <c r="H14" s="116">
        <v>2393.6</v>
      </c>
      <c r="I14" s="116" t="s">
        <v>13</v>
      </c>
      <c r="J14">
        <v>23575.688878000001</v>
      </c>
      <c r="K14" s="116">
        <v>13157129.331900001</v>
      </c>
      <c r="L14" t="s">
        <v>13</v>
      </c>
      <c r="M14" s="116">
        <v>2022</v>
      </c>
      <c r="N14" t="s">
        <v>1613</v>
      </c>
    </row>
    <row r="15" spans="1:14" x14ac:dyDescent="0.25">
      <c r="A15" s="116">
        <v>13</v>
      </c>
      <c r="B15" s="117" t="s">
        <v>5414</v>
      </c>
      <c r="C15" s="117" t="s">
        <v>4063</v>
      </c>
      <c r="D15" s="123" t="s">
        <v>248</v>
      </c>
      <c r="E15" s="123" t="s">
        <v>308</v>
      </c>
      <c r="F15" s="123">
        <v>41030</v>
      </c>
      <c r="G15" s="124">
        <v>44682</v>
      </c>
      <c r="H15" s="116">
        <v>320</v>
      </c>
      <c r="I15" s="116" t="s">
        <v>13</v>
      </c>
      <c r="J15">
        <v>5742.8294980000001</v>
      </c>
      <c r="K15" s="116">
        <v>1837248.49126</v>
      </c>
      <c r="L15" t="s">
        <v>13</v>
      </c>
      <c r="M15" s="116">
        <v>2022</v>
      </c>
      <c r="N15" t="s">
        <v>13</v>
      </c>
    </row>
    <row r="16" spans="1:14" x14ac:dyDescent="0.25">
      <c r="A16" s="116">
        <v>14</v>
      </c>
      <c r="B16" s="117" t="s">
        <v>5414</v>
      </c>
      <c r="C16" s="117" t="s">
        <v>4057</v>
      </c>
      <c r="D16" s="123" t="s">
        <v>248</v>
      </c>
      <c r="E16" s="123" t="s">
        <v>308</v>
      </c>
      <c r="F16" s="123">
        <v>41030</v>
      </c>
      <c r="G16" s="124">
        <v>44682</v>
      </c>
      <c r="H16" s="116">
        <v>1678.2</v>
      </c>
      <c r="I16" s="116" t="s">
        <v>13</v>
      </c>
      <c r="J16">
        <v>15161.45758</v>
      </c>
      <c r="K16" s="116">
        <v>9406319.3546200003</v>
      </c>
      <c r="L16" t="s">
        <v>13</v>
      </c>
      <c r="M16" s="116">
        <v>2022</v>
      </c>
      <c r="N16" t="s">
        <v>13</v>
      </c>
    </row>
    <row r="17" spans="1:14" x14ac:dyDescent="0.25">
      <c r="A17" s="116">
        <v>15</v>
      </c>
      <c r="B17" s="117" t="s">
        <v>5414</v>
      </c>
      <c r="C17" s="117" t="s">
        <v>4054</v>
      </c>
      <c r="D17" s="123" t="s">
        <v>248</v>
      </c>
      <c r="E17" s="123" t="s">
        <v>308</v>
      </c>
      <c r="F17" s="123">
        <v>41030</v>
      </c>
      <c r="G17" s="124">
        <v>44682</v>
      </c>
      <c r="H17" s="116">
        <v>160</v>
      </c>
      <c r="I17" s="116" t="s">
        <v>13</v>
      </c>
      <c r="J17">
        <v>3798.3413209999999</v>
      </c>
      <c r="K17" s="116">
        <v>901668.19027499994</v>
      </c>
      <c r="L17" t="s">
        <v>13</v>
      </c>
      <c r="M17" s="116">
        <v>2022</v>
      </c>
      <c r="N17" t="s">
        <v>1613</v>
      </c>
    </row>
    <row r="18" spans="1:14" x14ac:dyDescent="0.25">
      <c r="A18" s="116">
        <v>16</v>
      </c>
      <c r="B18" s="117" t="s">
        <v>5414</v>
      </c>
      <c r="C18" s="117" t="s">
        <v>4046</v>
      </c>
      <c r="D18" s="123" t="s">
        <v>248</v>
      </c>
      <c r="E18" s="123" t="s">
        <v>308</v>
      </c>
      <c r="F18" s="123">
        <v>41030</v>
      </c>
      <c r="G18" s="124">
        <v>44682</v>
      </c>
      <c r="H18" s="116">
        <v>1805.85</v>
      </c>
      <c r="I18" s="116" t="s">
        <v>13</v>
      </c>
      <c r="J18">
        <v>22683.374529000001</v>
      </c>
      <c r="K18" s="116">
        <v>10061059.698100001</v>
      </c>
      <c r="L18" t="s">
        <v>13</v>
      </c>
      <c r="M18" s="116">
        <v>2022</v>
      </c>
      <c r="N18" t="s">
        <v>13</v>
      </c>
    </row>
    <row r="19" spans="1:14" x14ac:dyDescent="0.25">
      <c r="A19" s="116">
        <v>17</v>
      </c>
      <c r="B19" s="117" t="s">
        <v>5414</v>
      </c>
      <c r="C19" s="117" t="s">
        <v>4043</v>
      </c>
      <c r="D19" s="123" t="s">
        <v>248</v>
      </c>
      <c r="E19" s="123" t="s">
        <v>308</v>
      </c>
      <c r="F19" s="123">
        <v>41030</v>
      </c>
      <c r="G19" s="124">
        <v>44682</v>
      </c>
      <c r="H19" s="116">
        <v>90.54</v>
      </c>
      <c r="I19" s="116" t="s">
        <v>13</v>
      </c>
      <c r="J19">
        <v>2825.7557999999999</v>
      </c>
      <c r="K19" s="116">
        <v>455366.10712599999</v>
      </c>
      <c r="L19" t="s">
        <v>13</v>
      </c>
      <c r="M19" s="116">
        <v>2022</v>
      </c>
      <c r="N19" t="s">
        <v>13</v>
      </c>
    </row>
    <row r="20" spans="1:14" x14ac:dyDescent="0.25">
      <c r="A20" s="116">
        <v>18</v>
      </c>
      <c r="B20" s="117" t="s">
        <v>5414</v>
      </c>
      <c r="C20" s="117" t="s">
        <v>4040</v>
      </c>
      <c r="D20" s="123" t="s">
        <v>248</v>
      </c>
      <c r="E20" s="123" t="s">
        <v>308</v>
      </c>
      <c r="F20" s="123">
        <v>41030</v>
      </c>
      <c r="G20" s="124">
        <v>44682</v>
      </c>
      <c r="H20" s="116">
        <v>1807.54</v>
      </c>
      <c r="I20" s="116" t="s">
        <v>13</v>
      </c>
      <c r="J20">
        <v>25533.044521</v>
      </c>
      <c r="K20" s="116">
        <v>10065165.730900001</v>
      </c>
      <c r="L20" t="s">
        <v>13</v>
      </c>
      <c r="M20" s="116">
        <v>2022</v>
      </c>
      <c r="N20" t="s">
        <v>13</v>
      </c>
    </row>
    <row r="21" spans="1:14" x14ac:dyDescent="0.25">
      <c r="A21" s="116">
        <v>19</v>
      </c>
      <c r="B21" s="117" t="s">
        <v>5414</v>
      </c>
      <c r="C21" s="117" t="s">
        <v>4037</v>
      </c>
      <c r="D21" s="123" t="s">
        <v>248</v>
      </c>
      <c r="E21" s="123" t="s">
        <v>308</v>
      </c>
      <c r="F21" s="123">
        <v>41030</v>
      </c>
      <c r="G21" s="124">
        <v>44682</v>
      </c>
      <c r="H21" s="116">
        <v>40</v>
      </c>
      <c r="I21" s="116" t="s">
        <v>13</v>
      </c>
      <c r="J21">
        <v>1859.551667</v>
      </c>
      <c r="K21" s="116">
        <v>216093.056029</v>
      </c>
      <c r="L21" t="s">
        <v>13</v>
      </c>
      <c r="M21" s="116">
        <v>2022</v>
      </c>
      <c r="N21" t="s">
        <v>1613</v>
      </c>
    </row>
    <row r="22" spans="1:14" x14ac:dyDescent="0.25">
      <c r="A22" s="116">
        <v>20</v>
      </c>
      <c r="B22" s="117" t="s">
        <v>5414</v>
      </c>
      <c r="C22" s="117" t="s">
        <v>3266</v>
      </c>
      <c r="D22" s="123" t="s">
        <v>248</v>
      </c>
      <c r="E22" s="123" t="s">
        <v>308</v>
      </c>
      <c r="F22" s="123">
        <v>40664</v>
      </c>
      <c r="G22" s="124">
        <v>44317</v>
      </c>
      <c r="H22" s="116">
        <v>507.45</v>
      </c>
      <c r="I22" s="116" t="s">
        <v>13</v>
      </c>
      <c r="J22">
        <v>14067.112104</v>
      </c>
      <c r="K22" s="116">
        <v>2863808.5274899998</v>
      </c>
      <c r="L22" t="s">
        <v>13</v>
      </c>
      <c r="M22" s="116">
        <v>2021</v>
      </c>
      <c r="N22" t="s">
        <v>1613</v>
      </c>
    </row>
    <row r="23" spans="1:14" x14ac:dyDescent="0.25">
      <c r="A23" s="116">
        <v>21</v>
      </c>
      <c r="B23" s="117" t="s">
        <v>5414</v>
      </c>
      <c r="C23" s="117" t="s">
        <v>3174</v>
      </c>
      <c r="D23" s="123" t="s">
        <v>248</v>
      </c>
      <c r="E23" s="123" t="s">
        <v>308</v>
      </c>
      <c r="F23" s="123">
        <v>40575</v>
      </c>
      <c r="G23" s="124">
        <v>44228</v>
      </c>
      <c r="H23" s="116">
        <v>249.09</v>
      </c>
      <c r="I23" s="116" t="s">
        <v>13</v>
      </c>
      <c r="J23">
        <v>4722.8220000000001</v>
      </c>
      <c r="K23" s="116">
        <v>1336412.71365</v>
      </c>
      <c r="L23" t="s">
        <v>13</v>
      </c>
      <c r="M23" s="116">
        <v>2021</v>
      </c>
      <c r="N23" t="s">
        <v>13</v>
      </c>
    </row>
    <row r="24" spans="1:14" x14ac:dyDescent="0.25">
      <c r="A24" s="116">
        <v>22</v>
      </c>
      <c r="B24" s="117" t="s">
        <v>5414</v>
      </c>
      <c r="C24" s="117" t="s">
        <v>4701</v>
      </c>
      <c r="D24" s="123" t="s">
        <v>1625</v>
      </c>
      <c r="E24" s="123" t="s">
        <v>308</v>
      </c>
      <c r="F24" s="123">
        <v>41760</v>
      </c>
      <c r="G24" s="124">
        <v>45413</v>
      </c>
      <c r="H24" s="116">
        <v>80</v>
      </c>
      <c r="I24" s="116" t="s">
        <v>13</v>
      </c>
      <c r="J24">
        <v>2783.4222</v>
      </c>
      <c r="K24" s="116">
        <v>426244.10348599998</v>
      </c>
      <c r="L24" t="s">
        <v>13</v>
      </c>
      <c r="M24" s="116">
        <v>2024</v>
      </c>
      <c r="N24" t="s">
        <v>13</v>
      </c>
    </row>
    <row r="25" spans="1:14" x14ac:dyDescent="0.25">
      <c r="A25" s="116">
        <v>23</v>
      </c>
      <c r="B25" s="117" t="s">
        <v>5414</v>
      </c>
      <c r="C25" s="117" t="s">
        <v>4060</v>
      </c>
      <c r="D25" s="123" t="s">
        <v>1625</v>
      </c>
      <c r="E25" s="123" t="s">
        <v>308</v>
      </c>
      <c r="F25" s="123">
        <v>41030</v>
      </c>
      <c r="G25" s="124">
        <v>44682</v>
      </c>
      <c r="H25" s="116">
        <v>80</v>
      </c>
      <c r="I25" s="116" t="s">
        <v>13</v>
      </c>
      <c r="J25">
        <v>2750.4944959999998</v>
      </c>
      <c r="K25" s="116">
        <v>418410.565023</v>
      </c>
      <c r="L25" t="s">
        <v>13</v>
      </c>
      <c r="M25" s="116">
        <v>2022</v>
      </c>
      <c r="N25" t="s">
        <v>13</v>
      </c>
    </row>
    <row r="26" spans="1:14" x14ac:dyDescent="0.25">
      <c r="A26" s="116">
        <v>24</v>
      </c>
      <c r="B26" s="117" t="s">
        <v>5414</v>
      </c>
      <c r="C26" s="117" t="s">
        <v>4051</v>
      </c>
      <c r="D26" s="123" t="s">
        <v>1625</v>
      </c>
      <c r="E26" s="123" t="s">
        <v>308</v>
      </c>
      <c r="F26" s="123">
        <v>41030</v>
      </c>
      <c r="G26" s="124">
        <v>44682</v>
      </c>
      <c r="H26" s="116">
        <v>2256.38</v>
      </c>
      <c r="I26" s="116" t="s">
        <v>13</v>
      </c>
      <c r="J26">
        <v>19773.616206999999</v>
      </c>
      <c r="K26" s="116">
        <v>12478817.901900001</v>
      </c>
      <c r="L26" t="s">
        <v>13</v>
      </c>
      <c r="M26" s="116">
        <v>2022</v>
      </c>
      <c r="N26" t="s">
        <v>1613</v>
      </c>
    </row>
    <row r="27" spans="1:14" x14ac:dyDescent="0.25">
      <c r="A27" s="116">
        <v>25</v>
      </c>
      <c r="B27" s="117" t="s">
        <v>5414</v>
      </c>
      <c r="C27" s="117" t="s">
        <v>4049</v>
      </c>
      <c r="D27" s="123" t="s">
        <v>1625</v>
      </c>
      <c r="E27" s="123" t="s">
        <v>308</v>
      </c>
      <c r="F27" s="123">
        <v>41030</v>
      </c>
      <c r="G27" s="124">
        <v>44682</v>
      </c>
      <c r="H27" s="116">
        <v>1664.6</v>
      </c>
      <c r="I27" s="116" t="s">
        <v>13</v>
      </c>
      <c r="J27">
        <v>26954.724292999999</v>
      </c>
      <c r="K27" s="116">
        <v>10502555.1492</v>
      </c>
      <c r="L27" t="s">
        <v>13</v>
      </c>
      <c r="M27" s="116">
        <v>2022</v>
      </c>
      <c r="N27" t="s">
        <v>13</v>
      </c>
    </row>
    <row r="28" spans="1:14" x14ac:dyDescent="0.25">
      <c r="A28" s="116">
        <v>26</v>
      </c>
      <c r="B28" s="117" t="s">
        <v>5414</v>
      </c>
      <c r="C28" s="117" t="s">
        <v>2562</v>
      </c>
      <c r="D28" s="123" t="s">
        <v>1625</v>
      </c>
      <c r="E28" s="123" t="s">
        <v>308</v>
      </c>
      <c r="F28" s="123">
        <v>39845</v>
      </c>
      <c r="G28" s="124">
        <v>43497</v>
      </c>
      <c r="H28" s="116">
        <v>160</v>
      </c>
      <c r="I28" s="116" t="s">
        <v>13</v>
      </c>
      <c r="J28">
        <v>5696.7727100000002</v>
      </c>
      <c r="K28" s="116">
        <v>912534.68243000004</v>
      </c>
      <c r="L28" t="s">
        <v>13</v>
      </c>
      <c r="M28" s="116">
        <v>2019</v>
      </c>
      <c r="N28" t="s">
        <v>4821</v>
      </c>
    </row>
    <row r="29" spans="1:14" hidden="1" x14ac:dyDescent="0.25">
      <c r="A29" s="116">
        <v>27</v>
      </c>
      <c r="B29" s="117" t="s">
        <v>5414</v>
      </c>
      <c r="C29" s="117" t="s">
        <v>2145</v>
      </c>
      <c r="D29" s="123" t="s">
        <v>1625</v>
      </c>
      <c r="E29" s="123" t="s">
        <v>308</v>
      </c>
      <c r="F29" s="123">
        <v>39692</v>
      </c>
      <c r="G29" s="124">
        <v>43344</v>
      </c>
      <c r="H29" s="116">
        <v>550.48</v>
      </c>
      <c r="I29" s="116" t="s">
        <v>13</v>
      </c>
      <c r="J29">
        <v>7621.4104639999996</v>
      </c>
      <c r="K29" s="116">
        <v>3102661.8683000002</v>
      </c>
      <c r="L29" t="s">
        <v>13</v>
      </c>
      <c r="M29" s="116">
        <v>2018</v>
      </c>
      <c r="N29" t="s">
        <v>1613</v>
      </c>
    </row>
    <row r="30" spans="1:14" x14ac:dyDescent="0.25">
      <c r="A30" s="125">
        <v>28</v>
      </c>
      <c r="B30" s="126" t="s">
        <v>5414</v>
      </c>
      <c r="C30" s="126" t="s">
        <v>2566</v>
      </c>
      <c r="D30" s="127" t="s">
        <v>1625</v>
      </c>
      <c r="E30" s="127" t="s">
        <v>308</v>
      </c>
      <c r="F30" s="127">
        <v>39845</v>
      </c>
      <c r="G30" s="128">
        <v>43497</v>
      </c>
      <c r="H30" s="125">
        <v>640</v>
      </c>
      <c r="I30" s="125" t="s">
        <v>13</v>
      </c>
      <c r="J30" s="129">
        <v>7547.1957910000001</v>
      </c>
      <c r="K30" s="125">
        <v>3558887.54201</v>
      </c>
      <c r="L30" s="129" t="s">
        <v>13</v>
      </c>
      <c r="M30" s="125">
        <v>2019</v>
      </c>
      <c r="N30" t="s">
        <v>13</v>
      </c>
    </row>
    <row r="31" spans="1:14" x14ac:dyDescent="0.25">
      <c r="A31" s="116">
        <v>29</v>
      </c>
      <c r="B31" s="117" t="s">
        <v>5414</v>
      </c>
      <c r="C31" s="117" t="s">
        <v>4776</v>
      </c>
      <c r="D31" s="123" t="s">
        <v>1625</v>
      </c>
      <c r="E31" s="123" t="s">
        <v>308</v>
      </c>
      <c r="F31" s="123">
        <v>41883</v>
      </c>
      <c r="G31" s="124">
        <v>45536</v>
      </c>
      <c r="H31" s="116">
        <v>80</v>
      </c>
      <c r="I31" s="116" t="s">
        <v>13</v>
      </c>
      <c r="J31">
        <v>3015.1608500000002</v>
      </c>
      <c r="K31" s="116">
        <v>535008.531739</v>
      </c>
      <c r="L31" t="s">
        <v>13</v>
      </c>
      <c r="M31" s="116">
        <v>2024</v>
      </c>
      <c r="N31" t="s">
        <v>13</v>
      </c>
    </row>
    <row r="32" spans="1:14" x14ac:dyDescent="0.25">
      <c r="A32" s="116">
        <v>30</v>
      </c>
      <c r="B32" s="117" t="s">
        <v>5414</v>
      </c>
      <c r="C32" s="117" t="s">
        <v>2720</v>
      </c>
      <c r="D32" s="123" t="s">
        <v>307</v>
      </c>
      <c r="E32" s="123" t="s">
        <v>308</v>
      </c>
      <c r="F32" s="123">
        <v>40330</v>
      </c>
      <c r="G32" s="124">
        <v>43983</v>
      </c>
      <c r="H32" s="116">
        <v>57.26</v>
      </c>
      <c r="I32" s="116" t="s">
        <v>13</v>
      </c>
      <c r="J32">
        <v>5012.0189909999999</v>
      </c>
      <c r="K32" s="116">
        <v>380129.04837600002</v>
      </c>
      <c r="L32" t="s">
        <v>13</v>
      </c>
      <c r="M32" s="116">
        <v>2020</v>
      </c>
      <c r="N32" t="s">
        <v>13</v>
      </c>
    </row>
    <row r="33" spans="1:14" x14ac:dyDescent="0.25">
      <c r="A33" s="116">
        <v>31</v>
      </c>
      <c r="B33" s="117" t="s">
        <v>5414</v>
      </c>
      <c r="C33" s="117" t="s">
        <v>2717</v>
      </c>
      <c r="D33" s="123" t="s">
        <v>307</v>
      </c>
      <c r="E33" s="123" t="s">
        <v>308</v>
      </c>
      <c r="F33" s="123">
        <v>40330</v>
      </c>
      <c r="G33" s="124">
        <v>43983</v>
      </c>
      <c r="H33" s="116">
        <v>40</v>
      </c>
      <c r="I33" s="116" t="s">
        <v>13</v>
      </c>
      <c r="J33">
        <v>1937.2293159999999</v>
      </c>
      <c r="K33" s="116">
        <v>234263.465605</v>
      </c>
      <c r="L33" t="s">
        <v>13</v>
      </c>
      <c r="M33" s="116">
        <v>2020</v>
      </c>
      <c r="N33" t="s">
        <v>13</v>
      </c>
    </row>
    <row r="34" spans="1:14" x14ac:dyDescent="0.25">
      <c r="A34" s="116">
        <v>32</v>
      </c>
      <c r="B34" s="117" t="s">
        <v>5414</v>
      </c>
      <c r="C34" s="117" t="s">
        <v>2568</v>
      </c>
      <c r="D34" s="123" t="s">
        <v>458</v>
      </c>
      <c r="E34" s="123" t="s">
        <v>308</v>
      </c>
      <c r="F34" s="123">
        <v>39845</v>
      </c>
      <c r="G34" s="124">
        <v>43497</v>
      </c>
      <c r="H34" s="116">
        <v>160</v>
      </c>
      <c r="I34" s="116" t="s">
        <v>13</v>
      </c>
      <c r="J34">
        <v>3822.7076000000002</v>
      </c>
      <c r="K34" s="116">
        <v>913317.21698000003</v>
      </c>
      <c r="L34" t="s">
        <v>13</v>
      </c>
      <c r="M34" s="116">
        <v>2019</v>
      </c>
      <c r="N34" t="s">
        <v>13</v>
      </c>
    </row>
    <row r="35" spans="1:14" x14ac:dyDescent="0.25">
      <c r="A35" s="116">
        <v>33</v>
      </c>
      <c r="B35" s="117" t="s">
        <v>5414</v>
      </c>
      <c r="C35" s="117" t="s">
        <v>4078</v>
      </c>
      <c r="D35" s="123" t="s">
        <v>4080</v>
      </c>
      <c r="E35" s="123" t="s">
        <v>308</v>
      </c>
      <c r="F35" s="123">
        <v>41030</v>
      </c>
      <c r="G35" s="124">
        <v>44682</v>
      </c>
      <c r="H35" s="116">
        <v>200</v>
      </c>
      <c r="I35" s="116" t="s">
        <v>13</v>
      </c>
      <c r="J35">
        <v>7824.1002719999997</v>
      </c>
      <c r="K35" s="116">
        <v>1185990.2466599999</v>
      </c>
      <c r="L35" t="s">
        <v>13</v>
      </c>
      <c r="M35" s="116">
        <v>2022</v>
      </c>
      <c r="N35" t="s">
        <v>13</v>
      </c>
    </row>
    <row r="36" spans="1:14" x14ac:dyDescent="0.25">
      <c r="A36" s="116">
        <v>34</v>
      </c>
      <c r="B36" s="117" t="s">
        <v>5414</v>
      </c>
      <c r="C36" s="117" t="s">
        <v>2729</v>
      </c>
      <c r="D36" s="123" t="s">
        <v>866</v>
      </c>
      <c r="E36" s="123" t="s">
        <v>308</v>
      </c>
      <c r="F36" s="123">
        <v>40330</v>
      </c>
      <c r="G36" s="124">
        <v>43983</v>
      </c>
      <c r="H36" s="116">
        <v>37.9</v>
      </c>
      <c r="I36" s="116" t="s">
        <v>13</v>
      </c>
      <c r="J36">
        <v>1936.7538</v>
      </c>
      <c r="K36" s="116">
        <v>234431.45459099999</v>
      </c>
      <c r="L36" t="s">
        <v>13</v>
      </c>
      <c r="M36" s="116">
        <v>2020</v>
      </c>
      <c r="N36" t="s">
        <v>13</v>
      </c>
    </row>
    <row r="37" spans="1:14" x14ac:dyDescent="0.25">
      <c r="A37" s="116">
        <v>35</v>
      </c>
      <c r="B37" s="117" t="s">
        <v>5414</v>
      </c>
      <c r="C37" s="117" t="s">
        <v>3621</v>
      </c>
      <c r="D37" s="123" t="s">
        <v>1040</v>
      </c>
      <c r="E37" s="123" t="s">
        <v>72</v>
      </c>
      <c r="F37" s="123">
        <v>40878</v>
      </c>
      <c r="G37" s="124">
        <v>44531</v>
      </c>
      <c r="H37" s="116">
        <v>240</v>
      </c>
      <c r="I37" s="116" t="s">
        <v>13</v>
      </c>
      <c r="J37">
        <v>7930.4463740000001</v>
      </c>
      <c r="K37" s="116">
        <v>1463024.1281600001</v>
      </c>
      <c r="L37" t="s">
        <v>13</v>
      </c>
      <c r="M37" s="116">
        <v>2021</v>
      </c>
      <c r="N37" t="s">
        <v>13</v>
      </c>
    </row>
    <row r="38" spans="1:14" x14ac:dyDescent="0.25">
      <c r="A38" s="116">
        <v>36</v>
      </c>
      <c r="B38" s="117" t="s">
        <v>5414</v>
      </c>
      <c r="C38" s="117" t="s">
        <v>3617</v>
      </c>
      <c r="D38" s="123" t="s">
        <v>1040</v>
      </c>
      <c r="E38" s="123" t="s">
        <v>72</v>
      </c>
      <c r="F38" s="123">
        <v>40878</v>
      </c>
      <c r="G38" s="124">
        <v>44531</v>
      </c>
      <c r="H38" s="116">
        <v>488</v>
      </c>
      <c r="I38" s="116" t="s">
        <v>13</v>
      </c>
      <c r="J38">
        <v>16301.507796</v>
      </c>
      <c r="K38" s="116">
        <v>2966397.2813900001</v>
      </c>
      <c r="L38" t="s">
        <v>13</v>
      </c>
      <c r="M38" s="116">
        <v>2021</v>
      </c>
      <c r="N38" t="s">
        <v>13</v>
      </c>
    </row>
    <row r="39" spans="1:14" x14ac:dyDescent="0.25">
      <c r="A39" s="116">
        <v>37</v>
      </c>
      <c r="B39" s="117" t="s">
        <v>5414</v>
      </c>
      <c r="C39" s="117" t="s">
        <v>3321</v>
      </c>
      <c r="D39" s="123" t="s">
        <v>1040</v>
      </c>
      <c r="E39" s="123" t="s">
        <v>72</v>
      </c>
      <c r="F39" s="123">
        <v>40664</v>
      </c>
      <c r="G39" s="124">
        <v>44317</v>
      </c>
      <c r="H39" s="116">
        <v>640</v>
      </c>
      <c r="I39" s="116" t="s">
        <v>13</v>
      </c>
      <c r="J39">
        <v>7974.2934720000003</v>
      </c>
      <c r="K39" s="116">
        <v>3973471.48716</v>
      </c>
      <c r="L39" t="s">
        <v>13</v>
      </c>
      <c r="M39" s="116">
        <v>2021</v>
      </c>
      <c r="N39" t="s">
        <v>13</v>
      </c>
    </row>
    <row r="40" spans="1:14" x14ac:dyDescent="0.25">
      <c r="A40" s="116">
        <v>38</v>
      </c>
      <c r="B40" s="117" t="s">
        <v>5414</v>
      </c>
      <c r="C40" s="117" t="s">
        <v>3317</v>
      </c>
      <c r="D40" s="123" t="s">
        <v>1040</v>
      </c>
      <c r="E40" s="123" t="s">
        <v>72</v>
      </c>
      <c r="F40" s="123">
        <v>40664</v>
      </c>
      <c r="G40" s="124">
        <v>44317</v>
      </c>
      <c r="H40" s="116">
        <v>20</v>
      </c>
      <c r="I40" s="116" t="s">
        <v>13</v>
      </c>
      <c r="J40">
        <v>982.36599999999999</v>
      </c>
      <c r="K40" s="116">
        <v>60311.568789999998</v>
      </c>
      <c r="L40" t="s">
        <v>13</v>
      </c>
      <c r="M40" s="116">
        <v>2021</v>
      </c>
      <c r="N40" t="s">
        <v>13</v>
      </c>
    </row>
    <row r="41" spans="1:14" x14ac:dyDescent="0.25">
      <c r="A41" s="116">
        <v>39</v>
      </c>
      <c r="B41" s="117" t="s">
        <v>5414</v>
      </c>
      <c r="C41" s="117" t="s">
        <v>3314</v>
      </c>
      <c r="D41" s="123" t="s">
        <v>1040</v>
      </c>
      <c r="E41" s="123" t="s">
        <v>72</v>
      </c>
      <c r="F41" s="123">
        <v>40664</v>
      </c>
      <c r="G41" s="124">
        <v>44317</v>
      </c>
      <c r="H41" s="116">
        <v>40</v>
      </c>
      <c r="I41" s="116" t="s">
        <v>13</v>
      </c>
      <c r="J41">
        <v>1963.0059779999999</v>
      </c>
      <c r="K41" s="116">
        <v>240776.74106500001</v>
      </c>
      <c r="L41" t="s">
        <v>13</v>
      </c>
      <c r="M41" s="116">
        <v>2021</v>
      </c>
      <c r="N41" t="s">
        <v>13</v>
      </c>
    </row>
    <row r="42" spans="1:14" x14ac:dyDescent="0.25">
      <c r="A42" s="116">
        <v>40</v>
      </c>
      <c r="B42" s="117" t="s">
        <v>5414</v>
      </c>
      <c r="C42" s="117" t="s">
        <v>3310</v>
      </c>
      <c r="D42" s="123" t="s">
        <v>1040</v>
      </c>
      <c r="E42" s="123" t="s">
        <v>72</v>
      </c>
      <c r="F42" s="123">
        <v>40664</v>
      </c>
      <c r="G42" s="124">
        <v>44317</v>
      </c>
      <c r="H42" s="116">
        <v>79</v>
      </c>
      <c r="I42" s="116" t="s">
        <v>13</v>
      </c>
      <c r="J42">
        <v>2983.7351319999998</v>
      </c>
      <c r="K42" s="116">
        <v>508377.02080699999</v>
      </c>
      <c r="L42" t="s">
        <v>13</v>
      </c>
      <c r="M42" s="116">
        <v>2021</v>
      </c>
      <c r="N42" t="s">
        <v>13</v>
      </c>
    </row>
    <row r="43" spans="1:14" x14ac:dyDescent="0.25">
      <c r="A43" s="116">
        <v>41</v>
      </c>
      <c r="B43" s="117" t="s">
        <v>5414</v>
      </c>
      <c r="C43" s="117" t="s">
        <v>3305</v>
      </c>
      <c r="D43" s="123" t="s">
        <v>1040</v>
      </c>
      <c r="E43" s="123" t="s">
        <v>72</v>
      </c>
      <c r="F43" s="123">
        <v>40664</v>
      </c>
      <c r="G43" s="124">
        <v>44317</v>
      </c>
      <c r="H43" s="116">
        <v>62.46</v>
      </c>
      <c r="I43" s="116" t="s">
        <v>13</v>
      </c>
      <c r="J43">
        <v>2506.808</v>
      </c>
      <c r="K43" s="116">
        <v>376184.782022</v>
      </c>
      <c r="L43" t="s">
        <v>13</v>
      </c>
      <c r="M43" s="116">
        <v>2021</v>
      </c>
      <c r="N43" t="s">
        <v>13</v>
      </c>
    </row>
    <row r="44" spans="1:14" x14ac:dyDescent="0.25">
      <c r="A44" s="116">
        <v>42</v>
      </c>
      <c r="B44" s="117" t="s">
        <v>5414</v>
      </c>
      <c r="C44" s="117" t="s">
        <v>2629</v>
      </c>
      <c r="D44" s="123" t="s">
        <v>1040</v>
      </c>
      <c r="E44" s="123" t="s">
        <v>72</v>
      </c>
      <c r="F44" s="123">
        <v>40057</v>
      </c>
      <c r="G44" s="124">
        <v>43709</v>
      </c>
      <c r="H44" s="116">
        <v>200</v>
      </c>
      <c r="I44" s="116" t="s">
        <v>13</v>
      </c>
      <c r="J44">
        <v>5874.5637450000004</v>
      </c>
      <c r="K44" s="116">
        <v>1192038.0111100001</v>
      </c>
      <c r="L44" t="s">
        <v>13</v>
      </c>
      <c r="M44" s="116">
        <v>2019</v>
      </c>
      <c r="N44" t="s">
        <v>13</v>
      </c>
    </row>
    <row r="45" spans="1:14" x14ac:dyDescent="0.25">
      <c r="A45" s="116">
        <v>43</v>
      </c>
      <c r="B45" s="117" t="s">
        <v>5414</v>
      </c>
      <c r="C45" s="117" t="s">
        <v>3301</v>
      </c>
      <c r="D45" s="123" t="s">
        <v>287</v>
      </c>
      <c r="E45" s="123" t="s">
        <v>72</v>
      </c>
      <c r="F45" s="123">
        <v>40664</v>
      </c>
      <c r="G45" s="124">
        <v>44317</v>
      </c>
      <c r="H45" s="116">
        <v>80</v>
      </c>
      <c r="I45" s="116" t="s">
        <v>13</v>
      </c>
      <c r="J45">
        <v>2950.5961440000001</v>
      </c>
      <c r="K45" s="116">
        <v>482681.07709500002</v>
      </c>
      <c r="L45" t="s">
        <v>13</v>
      </c>
      <c r="M45" s="116">
        <v>2021</v>
      </c>
      <c r="N45" t="s">
        <v>13</v>
      </c>
    </row>
    <row r="46" spans="1:14" x14ac:dyDescent="0.25">
      <c r="A46" s="116">
        <v>44</v>
      </c>
      <c r="B46" s="117" t="s">
        <v>5414</v>
      </c>
      <c r="C46" s="117" t="s">
        <v>3295</v>
      </c>
      <c r="D46" s="123" t="s">
        <v>287</v>
      </c>
      <c r="E46" s="123" t="s">
        <v>72</v>
      </c>
      <c r="F46" s="123">
        <v>40664</v>
      </c>
      <c r="G46" s="124">
        <v>44317</v>
      </c>
      <c r="H46" s="116">
        <v>767.1</v>
      </c>
      <c r="I46" s="116" t="s">
        <v>13</v>
      </c>
      <c r="J46">
        <v>18310.137392000001</v>
      </c>
      <c r="K46" s="116">
        <v>4697913.9712399999</v>
      </c>
      <c r="L46" t="s">
        <v>13</v>
      </c>
      <c r="M46" s="116">
        <v>2021</v>
      </c>
      <c r="N46" t="s">
        <v>13</v>
      </c>
    </row>
    <row r="47" spans="1:14" x14ac:dyDescent="0.25">
      <c r="A47" s="116">
        <v>45</v>
      </c>
      <c r="B47" s="117" t="s">
        <v>5414</v>
      </c>
      <c r="C47" s="117" t="s">
        <v>3292</v>
      </c>
      <c r="D47" s="123" t="s">
        <v>287</v>
      </c>
      <c r="E47" s="123" t="s">
        <v>72</v>
      </c>
      <c r="F47" s="123">
        <v>40664</v>
      </c>
      <c r="G47" s="124">
        <v>44317</v>
      </c>
      <c r="H47" s="116">
        <v>522.16999999999996</v>
      </c>
      <c r="I47" s="116" t="s">
        <v>13</v>
      </c>
      <c r="J47">
        <v>10026.378073</v>
      </c>
      <c r="K47" s="116">
        <v>3181320.2289100001</v>
      </c>
      <c r="L47" t="s">
        <v>13</v>
      </c>
      <c r="M47" s="116">
        <v>2021</v>
      </c>
      <c r="N47" t="s">
        <v>13</v>
      </c>
    </row>
    <row r="48" spans="1:14" x14ac:dyDescent="0.25">
      <c r="A48" s="116">
        <v>46</v>
      </c>
      <c r="B48" s="117" t="s">
        <v>5414</v>
      </c>
      <c r="C48" s="117" t="s">
        <v>3290</v>
      </c>
      <c r="D48" s="123" t="s">
        <v>287</v>
      </c>
      <c r="E48" s="123" t="s">
        <v>72</v>
      </c>
      <c r="F48" s="123">
        <v>40664</v>
      </c>
      <c r="G48" s="124">
        <v>44317</v>
      </c>
      <c r="H48" s="116">
        <v>40</v>
      </c>
      <c r="I48" s="116" t="s">
        <v>13</v>
      </c>
      <c r="J48">
        <v>1933.2329999999999</v>
      </c>
      <c r="K48" s="116">
        <v>233585.36156399999</v>
      </c>
      <c r="L48" t="s">
        <v>13</v>
      </c>
      <c r="M48" s="116">
        <v>2021</v>
      </c>
      <c r="N48" t="s">
        <v>13</v>
      </c>
    </row>
    <row r="49" spans="1:14" x14ac:dyDescent="0.25">
      <c r="A49" s="116">
        <v>47</v>
      </c>
      <c r="B49" s="117" t="s">
        <v>5414</v>
      </c>
      <c r="C49" s="117" t="s">
        <v>3286</v>
      </c>
      <c r="D49" s="123" t="s">
        <v>287</v>
      </c>
      <c r="E49" s="123" t="s">
        <v>72</v>
      </c>
      <c r="F49" s="123">
        <v>40664</v>
      </c>
      <c r="G49" s="124">
        <v>44317</v>
      </c>
      <c r="H49" s="116">
        <v>157.47</v>
      </c>
      <c r="I49" s="116" t="s">
        <v>13</v>
      </c>
      <c r="J49">
        <v>4797.1295749999999</v>
      </c>
      <c r="K49" s="116">
        <v>696556.54561300005</v>
      </c>
      <c r="L49" t="s">
        <v>13</v>
      </c>
      <c r="M49" s="116">
        <v>2021</v>
      </c>
      <c r="N49" t="s">
        <v>13</v>
      </c>
    </row>
    <row r="50" spans="1:14" x14ac:dyDescent="0.25">
      <c r="A50" s="116">
        <v>48</v>
      </c>
      <c r="B50" s="117" t="s">
        <v>5414</v>
      </c>
      <c r="C50" s="117" t="s">
        <v>3283</v>
      </c>
      <c r="D50" s="123" t="s">
        <v>287</v>
      </c>
      <c r="E50" s="123" t="s">
        <v>72</v>
      </c>
      <c r="F50" s="123">
        <v>40664</v>
      </c>
      <c r="G50" s="124">
        <v>44317</v>
      </c>
      <c r="H50" s="116">
        <v>12.4</v>
      </c>
      <c r="I50" s="116" t="s">
        <v>13</v>
      </c>
      <c r="J50">
        <v>700.74839999999995</v>
      </c>
      <c r="K50" s="116">
        <v>30658.443641000002</v>
      </c>
      <c r="L50" t="s">
        <v>13</v>
      </c>
      <c r="M50" s="116">
        <v>2021</v>
      </c>
      <c r="N50" t="s">
        <v>13</v>
      </c>
    </row>
    <row r="51" spans="1:14" x14ac:dyDescent="0.25">
      <c r="A51" s="116">
        <v>49</v>
      </c>
      <c r="B51" s="117" t="s">
        <v>5414</v>
      </c>
      <c r="C51" s="117" t="s">
        <v>3279</v>
      </c>
      <c r="D51" s="123" t="s">
        <v>287</v>
      </c>
      <c r="E51" s="123" t="s">
        <v>72</v>
      </c>
      <c r="F51" s="123">
        <v>40664</v>
      </c>
      <c r="G51" s="124">
        <v>44317</v>
      </c>
      <c r="H51" s="116">
        <v>558.03</v>
      </c>
      <c r="I51" s="116" t="s">
        <v>13</v>
      </c>
      <c r="J51">
        <v>11668.307612000001</v>
      </c>
      <c r="K51" s="116">
        <v>3322145.05039</v>
      </c>
      <c r="L51" t="s">
        <v>13</v>
      </c>
      <c r="M51" s="116">
        <v>2021</v>
      </c>
      <c r="N51" t="s">
        <v>13</v>
      </c>
    </row>
    <row r="52" spans="1:14" x14ac:dyDescent="0.25">
      <c r="A52" s="116">
        <v>50</v>
      </c>
      <c r="B52" s="117" t="s">
        <v>5414</v>
      </c>
      <c r="C52" s="117" t="s">
        <v>2652</v>
      </c>
      <c r="D52" s="123" t="s">
        <v>287</v>
      </c>
      <c r="E52" s="123" t="s">
        <v>72</v>
      </c>
      <c r="F52" s="123">
        <v>40057</v>
      </c>
      <c r="G52" s="124">
        <v>43709</v>
      </c>
      <c r="H52" s="116">
        <v>120</v>
      </c>
      <c r="I52" s="116" t="s">
        <v>13</v>
      </c>
      <c r="J52">
        <v>3893.3309979999999</v>
      </c>
      <c r="K52" s="116">
        <v>714535.62235800002</v>
      </c>
      <c r="L52" t="s">
        <v>13</v>
      </c>
      <c r="M52" s="116">
        <v>2019</v>
      </c>
      <c r="N52" t="s">
        <v>13</v>
      </c>
    </row>
    <row r="53" spans="1:14" x14ac:dyDescent="0.25">
      <c r="A53" s="116">
        <v>51</v>
      </c>
      <c r="B53" s="117" t="s">
        <v>5414</v>
      </c>
      <c r="C53" s="117" t="s">
        <v>2649</v>
      </c>
      <c r="D53" s="123" t="s">
        <v>287</v>
      </c>
      <c r="E53" s="123" t="s">
        <v>72</v>
      </c>
      <c r="F53" s="123">
        <v>40057</v>
      </c>
      <c r="G53" s="124">
        <v>43709</v>
      </c>
      <c r="H53" s="116">
        <v>10</v>
      </c>
      <c r="I53" s="116" t="s">
        <v>13</v>
      </c>
      <c r="J53">
        <v>964.73220000000003</v>
      </c>
      <c r="K53" s="116">
        <v>58162.979311000003</v>
      </c>
      <c r="L53" t="s">
        <v>13</v>
      </c>
      <c r="M53" s="116">
        <v>2019</v>
      </c>
      <c r="N53" t="s">
        <v>13</v>
      </c>
    </row>
    <row r="54" spans="1:14" x14ac:dyDescent="0.25">
      <c r="A54" s="116">
        <v>52</v>
      </c>
      <c r="B54" s="117" t="s">
        <v>5414</v>
      </c>
      <c r="C54" s="117" t="s">
        <v>2646</v>
      </c>
      <c r="D54" s="123" t="s">
        <v>287</v>
      </c>
      <c r="E54" s="123" t="s">
        <v>72</v>
      </c>
      <c r="F54" s="123">
        <v>40057</v>
      </c>
      <c r="G54" s="124">
        <v>43709</v>
      </c>
      <c r="H54" s="116">
        <v>200</v>
      </c>
      <c r="I54" s="116" t="s">
        <v>13</v>
      </c>
      <c r="J54">
        <v>5867.7555549999997</v>
      </c>
      <c r="K54" s="116">
        <v>1199871.19142</v>
      </c>
      <c r="L54" t="s">
        <v>13</v>
      </c>
      <c r="M54" s="116">
        <v>2019</v>
      </c>
      <c r="N54" t="s">
        <v>13</v>
      </c>
    </row>
    <row r="55" spans="1:14" x14ac:dyDescent="0.25">
      <c r="A55" s="116">
        <v>53</v>
      </c>
      <c r="B55" s="117" t="s">
        <v>5414</v>
      </c>
      <c r="C55" s="117" t="s">
        <v>2643</v>
      </c>
      <c r="D55" s="123" t="s">
        <v>287</v>
      </c>
      <c r="E55" s="123" t="s">
        <v>72</v>
      </c>
      <c r="F55" s="123">
        <v>40057</v>
      </c>
      <c r="G55" s="124">
        <v>43709</v>
      </c>
      <c r="H55" s="116">
        <v>169.24</v>
      </c>
      <c r="I55" s="116" t="s">
        <v>13</v>
      </c>
      <c r="J55">
        <v>6053.0859360000004</v>
      </c>
      <c r="K55" s="116">
        <v>996360.98236899998</v>
      </c>
      <c r="L55" t="s">
        <v>13</v>
      </c>
      <c r="M55" s="116">
        <v>2019</v>
      </c>
      <c r="N55" t="s">
        <v>13</v>
      </c>
    </row>
    <row r="56" spans="1:14" x14ac:dyDescent="0.25">
      <c r="A56" s="116">
        <v>54</v>
      </c>
      <c r="B56" s="117" t="s">
        <v>5414</v>
      </c>
      <c r="C56" s="117" t="s">
        <v>2640</v>
      </c>
      <c r="D56" s="123" t="s">
        <v>287</v>
      </c>
      <c r="E56" s="123" t="s">
        <v>72</v>
      </c>
      <c r="F56" s="123">
        <v>40057</v>
      </c>
      <c r="G56" s="124">
        <v>43709</v>
      </c>
      <c r="H56" s="116">
        <v>674.38</v>
      </c>
      <c r="I56" s="116" t="s">
        <v>13</v>
      </c>
      <c r="J56">
        <v>9072.899109</v>
      </c>
      <c r="K56" s="116">
        <v>2631703.84766</v>
      </c>
      <c r="L56" t="s">
        <v>13</v>
      </c>
      <c r="M56" s="116">
        <v>2019</v>
      </c>
      <c r="N56" t="s">
        <v>13</v>
      </c>
    </row>
    <row r="57" spans="1:14" x14ac:dyDescent="0.25">
      <c r="A57" s="116">
        <v>55</v>
      </c>
      <c r="B57" s="117" t="s">
        <v>5414</v>
      </c>
      <c r="C57" s="117" t="s">
        <v>2637</v>
      </c>
      <c r="D57" s="123" t="s">
        <v>287</v>
      </c>
      <c r="E57" s="123" t="s">
        <v>72</v>
      </c>
      <c r="F57" s="123">
        <v>40057</v>
      </c>
      <c r="G57" s="124">
        <v>43709</v>
      </c>
      <c r="H57" s="116">
        <v>308.29000000000002</v>
      </c>
      <c r="I57" s="116" t="s">
        <v>13</v>
      </c>
      <c r="J57">
        <v>8734.0815600000005</v>
      </c>
      <c r="K57" s="116">
        <v>1433117.0785600001</v>
      </c>
      <c r="L57" t="s">
        <v>13</v>
      </c>
      <c r="M57" s="116">
        <v>2019</v>
      </c>
      <c r="N57" t="s">
        <v>13</v>
      </c>
    </row>
    <row r="58" spans="1:14" x14ac:dyDescent="0.25">
      <c r="A58" s="116">
        <v>56</v>
      </c>
      <c r="B58" s="117" t="s">
        <v>5414</v>
      </c>
      <c r="C58" s="117" t="s">
        <v>2633</v>
      </c>
      <c r="D58" s="123" t="s">
        <v>287</v>
      </c>
      <c r="E58" s="123" t="s">
        <v>72</v>
      </c>
      <c r="F58" s="123">
        <v>40057</v>
      </c>
      <c r="G58" s="124">
        <v>43709</v>
      </c>
      <c r="H58" s="116">
        <v>80</v>
      </c>
      <c r="I58" s="116" t="s">
        <v>13</v>
      </c>
      <c r="J58">
        <v>3843.3564000000001</v>
      </c>
      <c r="K58" s="116">
        <v>461579.463773</v>
      </c>
      <c r="L58" t="s">
        <v>13</v>
      </c>
      <c r="M58" s="116">
        <v>2019</v>
      </c>
      <c r="N58" t="s">
        <v>13</v>
      </c>
    </row>
    <row r="59" spans="1:14" x14ac:dyDescent="0.25">
      <c r="A59" s="116">
        <v>57</v>
      </c>
      <c r="B59" s="117" t="s">
        <v>5414</v>
      </c>
      <c r="C59" s="117" t="s">
        <v>3298</v>
      </c>
      <c r="D59" s="123" t="s">
        <v>287</v>
      </c>
      <c r="E59" s="123" t="s">
        <v>72</v>
      </c>
      <c r="F59" s="123">
        <v>40664</v>
      </c>
      <c r="G59" s="124">
        <v>44317</v>
      </c>
      <c r="H59" s="116">
        <v>358.3</v>
      </c>
      <c r="I59" s="116" t="s">
        <v>13</v>
      </c>
      <c r="J59">
        <v>12875.197197</v>
      </c>
      <c r="K59" s="116">
        <v>2103262.4460100001</v>
      </c>
      <c r="L59" t="s">
        <v>13</v>
      </c>
      <c r="M59" s="116">
        <v>2021</v>
      </c>
      <c r="N59" t="s">
        <v>13</v>
      </c>
    </row>
    <row r="60" spans="1:14" x14ac:dyDescent="0.25">
      <c r="A60" s="116">
        <v>58</v>
      </c>
      <c r="B60" s="117" t="s">
        <v>5414</v>
      </c>
      <c r="C60" s="117" t="s">
        <v>4712</v>
      </c>
      <c r="D60" s="123" t="s">
        <v>1034</v>
      </c>
      <c r="E60" s="123" t="s">
        <v>72</v>
      </c>
      <c r="F60" s="123">
        <v>41760</v>
      </c>
      <c r="G60" s="124">
        <v>45413</v>
      </c>
      <c r="H60" s="116">
        <v>145</v>
      </c>
      <c r="I60" s="116" t="s">
        <v>13</v>
      </c>
      <c r="J60">
        <v>4965.2075919999997</v>
      </c>
      <c r="K60" s="116">
        <v>882686.50352999999</v>
      </c>
      <c r="L60" t="s">
        <v>13</v>
      </c>
      <c r="M60" s="116">
        <v>2024</v>
      </c>
      <c r="N60" t="s">
        <v>13</v>
      </c>
    </row>
    <row r="61" spans="1:14" x14ac:dyDescent="0.25">
      <c r="A61" s="116">
        <v>59</v>
      </c>
      <c r="B61" s="117" t="s">
        <v>5414</v>
      </c>
      <c r="C61" s="117" t="s">
        <v>4709</v>
      </c>
      <c r="D61" s="123" t="s">
        <v>1034</v>
      </c>
      <c r="E61" s="123" t="s">
        <v>72</v>
      </c>
      <c r="F61" s="123">
        <v>41760</v>
      </c>
      <c r="G61" s="124">
        <v>45413</v>
      </c>
      <c r="H61" s="116">
        <v>200</v>
      </c>
      <c r="I61" s="116" t="s">
        <v>13</v>
      </c>
      <c r="J61">
        <v>6906.9773999999998</v>
      </c>
      <c r="K61" s="116">
        <v>1218963.68392</v>
      </c>
      <c r="L61" t="s">
        <v>13</v>
      </c>
      <c r="M61" s="116">
        <v>2024</v>
      </c>
      <c r="N61" t="s">
        <v>13</v>
      </c>
    </row>
    <row r="62" spans="1:14" x14ac:dyDescent="0.25">
      <c r="A62" s="116">
        <v>60</v>
      </c>
      <c r="B62" s="117" t="s">
        <v>5414</v>
      </c>
      <c r="C62" s="117" t="s">
        <v>4706</v>
      </c>
      <c r="D62" s="123" t="s">
        <v>1034</v>
      </c>
      <c r="E62" s="123" t="s">
        <v>72</v>
      </c>
      <c r="F62" s="123">
        <v>41760</v>
      </c>
      <c r="G62" s="124">
        <v>45413</v>
      </c>
      <c r="H62" s="116">
        <v>170</v>
      </c>
      <c r="I62" s="116" t="s">
        <v>13</v>
      </c>
      <c r="J62">
        <v>5590.4941840000001</v>
      </c>
      <c r="K62" s="116">
        <v>1161896.9437800001</v>
      </c>
      <c r="L62" t="s">
        <v>13</v>
      </c>
      <c r="M62" s="116">
        <v>2024</v>
      </c>
      <c r="N62" t="s">
        <v>13</v>
      </c>
    </row>
    <row r="63" spans="1:14" x14ac:dyDescent="0.25">
      <c r="A63" s="116">
        <v>61</v>
      </c>
      <c r="B63" s="117" t="s">
        <v>5414</v>
      </c>
      <c r="C63" s="117" t="s">
        <v>4704</v>
      </c>
      <c r="D63" s="123" t="s">
        <v>1034</v>
      </c>
      <c r="E63" s="123" t="s">
        <v>72</v>
      </c>
      <c r="F63" s="123">
        <v>41760</v>
      </c>
      <c r="G63" s="124">
        <v>45413</v>
      </c>
      <c r="H63" s="116">
        <v>145</v>
      </c>
      <c r="I63" s="116" t="s">
        <v>13</v>
      </c>
      <c r="J63">
        <v>4489.1998180000001</v>
      </c>
      <c r="K63" s="116">
        <v>1115254.1128100001</v>
      </c>
      <c r="L63" t="s">
        <v>13</v>
      </c>
      <c r="M63" s="116">
        <v>2024</v>
      </c>
      <c r="N63" t="s">
        <v>4864</v>
      </c>
    </row>
    <row r="64" spans="1:14" x14ac:dyDescent="0.25">
      <c r="A64" s="116">
        <v>62</v>
      </c>
      <c r="B64" s="117" t="s">
        <v>5414</v>
      </c>
      <c r="C64" s="117" t="s">
        <v>3330</v>
      </c>
      <c r="D64" s="123" t="s">
        <v>1367</v>
      </c>
      <c r="E64" s="123" t="s">
        <v>72</v>
      </c>
      <c r="F64" s="123">
        <v>40664</v>
      </c>
      <c r="G64" s="124">
        <v>44317</v>
      </c>
      <c r="H64" s="116">
        <v>75.97</v>
      </c>
      <c r="I64" s="116" t="s">
        <v>13</v>
      </c>
      <c r="J64">
        <v>3436.7483830000001</v>
      </c>
      <c r="K64" s="116">
        <v>467795.62276</v>
      </c>
      <c r="L64" t="s">
        <v>13</v>
      </c>
      <c r="M64" s="116">
        <v>2021</v>
      </c>
      <c r="N64" t="s">
        <v>13</v>
      </c>
    </row>
    <row r="65" spans="1:14" x14ac:dyDescent="0.25">
      <c r="A65" s="116">
        <v>63</v>
      </c>
      <c r="B65" s="117" t="s">
        <v>5414</v>
      </c>
      <c r="C65" s="117" t="s">
        <v>3325</v>
      </c>
      <c r="D65" s="123" t="s">
        <v>1367</v>
      </c>
      <c r="E65" s="123" t="s">
        <v>72</v>
      </c>
      <c r="F65" s="123">
        <v>40664</v>
      </c>
      <c r="G65" s="124">
        <v>44317</v>
      </c>
      <c r="H65" s="116">
        <v>74</v>
      </c>
      <c r="I65" s="116" t="s">
        <v>13</v>
      </c>
      <c r="J65">
        <v>3911.0998159999999</v>
      </c>
      <c r="K65" s="116">
        <v>477861.96291599999</v>
      </c>
      <c r="L65" t="s">
        <v>13</v>
      </c>
      <c r="M65" s="116">
        <v>2021</v>
      </c>
      <c r="N65" t="s">
        <v>13</v>
      </c>
    </row>
    <row r="66" spans="1:14" x14ac:dyDescent="0.25">
      <c r="A66" s="116">
        <v>64</v>
      </c>
      <c r="B66" s="117" t="s">
        <v>5414</v>
      </c>
      <c r="C66" s="117" t="s">
        <v>3183</v>
      </c>
      <c r="D66" s="123" t="s">
        <v>453</v>
      </c>
      <c r="E66" s="123" t="s">
        <v>72</v>
      </c>
      <c r="F66" s="123">
        <v>40575</v>
      </c>
      <c r="G66" s="124">
        <v>44228</v>
      </c>
      <c r="H66" s="116">
        <v>160</v>
      </c>
      <c r="I66" s="116" t="s">
        <v>13</v>
      </c>
      <c r="J66">
        <v>6916.314993</v>
      </c>
      <c r="K66" s="116">
        <v>980946.89172700001</v>
      </c>
      <c r="L66" t="s">
        <v>13</v>
      </c>
      <c r="M66" s="116">
        <v>2021</v>
      </c>
      <c r="N66" t="s">
        <v>13</v>
      </c>
    </row>
    <row r="67" spans="1:14" hidden="1" x14ac:dyDescent="0.25">
      <c r="A67" s="116">
        <v>65</v>
      </c>
      <c r="B67" s="117" t="s">
        <v>5414</v>
      </c>
      <c r="C67" s="117" t="s">
        <v>2181</v>
      </c>
      <c r="D67" s="123" t="s">
        <v>632</v>
      </c>
      <c r="E67" s="123" t="s">
        <v>72</v>
      </c>
      <c r="F67" s="123">
        <v>39692</v>
      </c>
      <c r="G67" s="124">
        <v>43344</v>
      </c>
      <c r="H67" s="116">
        <v>80</v>
      </c>
      <c r="I67" s="116" t="s">
        <v>13</v>
      </c>
      <c r="J67">
        <v>3955.849037</v>
      </c>
      <c r="K67" s="116">
        <v>487413.16321899998</v>
      </c>
      <c r="L67" t="s">
        <v>13</v>
      </c>
      <c r="M67" s="116">
        <v>2018</v>
      </c>
      <c r="N67" t="s">
        <v>13</v>
      </c>
    </row>
    <row r="68" spans="1:14" hidden="1" x14ac:dyDescent="0.25">
      <c r="A68" s="116">
        <v>66</v>
      </c>
      <c r="B68" s="117" t="s">
        <v>5414</v>
      </c>
      <c r="C68" s="117" t="s">
        <v>2179</v>
      </c>
      <c r="D68" s="123" t="s">
        <v>632</v>
      </c>
      <c r="E68" s="123" t="s">
        <v>72</v>
      </c>
      <c r="F68" s="123">
        <v>39692</v>
      </c>
      <c r="G68" s="124">
        <v>43344</v>
      </c>
      <c r="H68" s="116">
        <v>120</v>
      </c>
      <c r="I68" s="116" t="s">
        <v>13</v>
      </c>
      <c r="J68">
        <v>5927.5027879999998</v>
      </c>
      <c r="K68" s="116">
        <v>731517.95255499997</v>
      </c>
      <c r="L68" t="s">
        <v>13</v>
      </c>
      <c r="M68" s="116">
        <v>2018</v>
      </c>
      <c r="N68" t="s">
        <v>13</v>
      </c>
    </row>
    <row r="69" spans="1:14" hidden="1" x14ac:dyDescent="0.25">
      <c r="A69" s="116">
        <v>67</v>
      </c>
      <c r="B69" s="117" t="s">
        <v>5414</v>
      </c>
      <c r="C69" s="117" t="s">
        <v>2177</v>
      </c>
      <c r="D69" s="123" t="s">
        <v>632</v>
      </c>
      <c r="E69" s="123" t="s">
        <v>72</v>
      </c>
      <c r="F69" s="123">
        <v>39692</v>
      </c>
      <c r="G69" s="124">
        <v>43344</v>
      </c>
      <c r="H69" s="116">
        <v>428.64</v>
      </c>
      <c r="I69" s="116" t="s">
        <v>13</v>
      </c>
      <c r="J69">
        <v>13648.111365000001</v>
      </c>
      <c r="K69" s="116">
        <v>2596590.4245099998</v>
      </c>
      <c r="L69" t="s">
        <v>13</v>
      </c>
      <c r="M69" s="116">
        <v>2018</v>
      </c>
      <c r="N69" t="s">
        <v>13</v>
      </c>
    </row>
    <row r="70" spans="1:14" hidden="1" x14ac:dyDescent="0.25">
      <c r="A70" s="116">
        <v>68</v>
      </c>
      <c r="B70" s="117" t="s">
        <v>5414</v>
      </c>
      <c r="C70" s="117" t="s">
        <v>2175</v>
      </c>
      <c r="D70" s="123" t="s">
        <v>632</v>
      </c>
      <c r="E70" s="123" t="s">
        <v>72</v>
      </c>
      <c r="F70" s="123">
        <v>39692</v>
      </c>
      <c r="G70" s="124">
        <v>43344</v>
      </c>
      <c r="H70" s="116">
        <v>489</v>
      </c>
      <c r="I70" s="116" t="s">
        <v>13</v>
      </c>
      <c r="J70">
        <v>7860.0931300000002</v>
      </c>
      <c r="K70" s="116">
        <v>2905845.23863</v>
      </c>
      <c r="L70" t="s">
        <v>13</v>
      </c>
      <c r="M70" s="116">
        <v>2018</v>
      </c>
      <c r="N70" t="s">
        <v>13</v>
      </c>
    </row>
    <row r="71" spans="1:14" hidden="1" x14ac:dyDescent="0.25">
      <c r="A71" s="116">
        <v>69</v>
      </c>
      <c r="B71" s="117" t="s">
        <v>5414</v>
      </c>
      <c r="C71" s="117" t="s">
        <v>2173</v>
      </c>
      <c r="D71" s="123" t="s">
        <v>632</v>
      </c>
      <c r="E71" s="123" t="s">
        <v>72</v>
      </c>
      <c r="F71" s="123">
        <v>39692</v>
      </c>
      <c r="G71" s="124">
        <v>43344</v>
      </c>
      <c r="H71" s="116">
        <v>10</v>
      </c>
      <c r="I71" s="116" t="s">
        <v>13</v>
      </c>
      <c r="J71">
        <v>1237.6416429999999</v>
      </c>
      <c r="K71" s="116">
        <v>61314.623060999998</v>
      </c>
      <c r="L71" t="s">
        <v>13</v>
      </c>
      <c r="M71" s="116">
        <v>2018</v>
      </c>
      <c r="N71" t="s">
        <v>13</v>
      </c>
    </row>
    <row r="72" spans="1:14" hidden="1" x14ac:dyDescent="0.25">
      <c r="A72" s="116">
        <v>70</v>
      </c>
      <c r="B72" s="117" t="s">
        <v>5414</v>
      </c>
      <c r="C72" s="117" t="s">
        <v>2171</v>
      </c>
      <c r="D72" s="123" t="s">
        <v>632</v>
      </c>
      <c r="E72" s="123" t="s">
        <v>72</v>
      </c>
      <c r="F72" s="123">
        <v>39692</v>
      </c>
      <c r="G72" s="124">
        <v>43344</v>
      </c>
      <c r="H72" s="116">
        <v>442.03</v>
      </c>
      <c r="I72" s="116" t="s">
        <v>13</v>
      </c>
      <c r="J72">
        <v>8447.6497479999998</v>
      </c>
      <c r="K72" s="116">
        <v>2676511.6304500001</v>
      </c>
      <c r="L72" t="s">
        <v>13</v>
      </c>
      <c r="M72" s="116">
        <v>2018</v>
      </c>
      <c r="N72" t="s">
        <v>13</v>
      </c>
    </row>
    <row r="73" spans="1:14" hidden="1" x14ac:dyDescent="0.25">
      <c r="A73" s="116">
        <v>71</v>
      </c>
      <c r="B73" s="117" t="s">
        <v>5414</v>
      </c>
      <c r="C73" s="117" t="s">
        <v>2169</v>
      </c>
      <c r="D73" s="123" t="s">
        <v>632</v>
      </c>
      <c r="E73" s="123" t="s">
        <v>72</v>
      </c>
      <c r="F73" s="123">
        <v>39692</v>
      </c>
      <c r="G73" s="124">
        <v>43344</v>
      </c>
      <c r="H73" s="116">
        <v>387.79</v>
      </c>
      <c r="I73" s="116" t="s">
        <v>13</v>
      </c>
      <c r="J73">
        <v>7960.7138249999998</v>
      </c>
      <c r="K73" s="116">
        <v>2541613.0212300001</v>
      </c>
      <c r="L73" t="s">
        <v>13</v>
      </c>
      <c r="M73" s="116">
        <v>2018</v>
      </c>
      <c r="N73" t="s">
        <v>13</v>
      </c>
    </row>
    <row r="74" spans="1:14" hidden="1" x14ac:dyDescent="0.25">
      <c r="A74" s="116">
        <v>72</v>
      </c>
      <c r="B74" s="117" t="s">
        <v>5414</v>
      </c>
      <c r="C74" s="117" t="s">
        <v>2167</v>
      </c>
      <c r="D74" s="123" t="s">
        <v>632</v>
      </c>
      <c r="E74" s="123" t="s">
        <v>72</v>
      </c>
      <c r="F74" s="123">
        <v>39692</v>
      </c>
      <c r="G74" s="124">
        <v>43344</v>
      </c>
      <c r="H74" s="116">
        <v>400</v>
      </c>
      <c r="I74" s="116" t="s">
        <v>13</v>
      </c>
      <c r="J74">
        <v>8970.3128610000003</v>
      </c>
      <c r="K74" s="116">
        <v>2506009.6436800002</v>
      </c>
      <c r="L74" t="s">
        <v>13</v>
      </c>
      <c r="M74" s="116">
        <v>2018</v>
      </c>
      <c r="N74" t="s">
        <v>13</v>
      </c>
    </row>
    <row r="75" spans="1:14" hidden="1" x14ac:dyDescent="0.25">
      <c r="A75" s="116">
        <v>73</v>
      </c>
      <c r="B75" s="117" t="s">
        <v>5414</v>
      </c>
      <c r="C75" s="117" t="s">
        <v>2165</v>
      </c>
      <c r="D75" s="123" t="s">
        <v>632</v>
      </c>
      <c r="E75" s="123" t="s">
        <v>72</v>
      </c>
      <c r="F75" s="123">
        <v>39692</v>
      </c>
      <c r="G75" s="124">
        <v>43344</v>
      </c>
      <c r="H75" s="116">
        <v>520</v>
      </c>
      <c r="I75" s="116" t="s">
        <v>13</v>
      </c>
      <c r="J75">
        <v>9885.7960380000004</v>
      </c>
      <c r="K75" s="116">
        <v>3426355.91279</v>
      </c>
      <c r="L75" t="s">
        <v>13</v>
      </c>
      <c r="M75" s="116">
        <v>2018</v>
      </c>
      <c r="N75" t="s">
        <v>13</v>
      </c>
    </row>
    <row r="76" spans="1:14" hidden="1" x14ac:dyDescent="0.25">
      <c r="A76" s="116">
        <v>74</v>
      </c>
      <c r="B76" s="117" t="s">
        <v>5414</v>
      </c>
      <c r="C76" s="117" t="s">
        <v>2163</v>
      </c>
      <c r="D76" s="123" t="s">
        <v>632</v>
      </c>
      <c r="E76" s="123" t="s">
        <v>72</v>
      </c>
      <c r="F76" s="123">
        <v>39692</v>
      </c>
      <c r="G76" s="124">
        <v>43344</v>
      </c>
      <c r="H76" s="116">
        <v>640</v>
      </c>
      <c r="I76" s="116" t="s">
        <v>13</v>
      </c>
      <c r="J76">
        <v>7880.1559159999997</v>
      </c>
      <c r="K76" s="116">
        <v>3880849.1843900001</v>
      </c>
      <c r="L76" t="s">
        <v>13</v>
      </c>
      <c r="M76" s="116">
        <v>2018</v>
      </c>
      <c r="N76" t="s">
        <v>13</v>
      </c>
    </row>
    <row r="77" spans="1:14" hidden="1" x14ac:dyDescent="0.25">
      <c r="A77" s="116">
        <v>75</v>
      </c>
      <c r="B77" s="117" t="s">
        <v>5414</v>
      </c>
      <c r="C77" s="117" t="s">
        <v>2161</v>
      </c>
      <c r="D77" s="123" t="s">
        <v>632</v>
      </c>
      <c r="E77" s="123" t="s">
        <v>72</v>
      </c>
      <c r="F77" s="123">
        <v>39692</v>
      </c>
      <c r="G77" s="124">
        <v>43344</v>
      </c>
      <c r="H77" s="116">
        <v>524</v>
      </c>
      <c r="I77" s="116" t="s">
        <v>13</v>
      </c>
      <c r="J77">
        <v>10440.734463999999</v>
      </c>
      <c r="K77" s="116">
        <v>3220461.5206800001</v>
      </c>
      <c r="L77" t="s">
        <v>13</v>
      </c>
      <c r="M77" s="116">
        <v>2018</v>
      </c>
      <c r="N77" t="s">
        <v>13</v>
      </c>
    </row>
    <row r="78" spans="1:14" hidden="1" x14ac:dyDescent="0.25">
      <c r="A78" s="116">
        <v>76</v>
      </c>
      <c r="B78" s="117" t="s">
        <v>5414</v>
      </c>
      <c r="C78" s="117" t="s">
        <v>2159</v>
      </c>
      <c r="D78" s="123" t="s">
        <v>632</v>
      </c>
      <c r="E78" s="123" t="s">
        <v>72</v>
      </c>
      <c r="F78" s="123">
        <v>39692</v>
      </c>
      <c r="G78" s="124">
        <v>43344</v>
      </c>
      <c r="H78" s="116">
        <v>520</v>
      </c>
      <c r="I78" s="116" t="s">
        <v>13</v>
      </c>
      <c r="J78">
        <v>7995.1347919999998</v>
      </c>
      <c r="K78" s="116">
        <v>3251206.0930900001</v>
      </c>
      <c r="L78" t="s">
        <v>13</v>
      </c>
      <c r="M78" s="116">
        <v>2018</v>
      </c>
      <c r="N78" t="s">
        <v>13</v>
      </c>
    </row>
    <row r="79" spans="1:14" hidden="1" x14ac:dyDescent="0.25">
      <c r="A79" s="116">
        <v>77</v>
      </c>
      <c r="B79" s="117" t="s">
        <v>5414</v>
      </c>
      <c r="C79" s="117" t="s">
        <v>2157</v>
      </c>
      <c r="D79" s="123" t="s">
        <v>632</v>
      </c>
      <c r="E79" s="123" t="s">
        <v>72</v>
      </c>
      <c r="F79" s="123">
        <v>39692</v>
      </c>
      <c r="G79" s="124">
        <v>43344</v>
      </c>
      <c r="H79" s="116">
        <v>560</v>
      </c>
      <c r="I79" s="116" t="s">
        <v>13</v>
      </c>
      <c r="J79">
        <v>8940.0150310000008</v>
      </c>
      <c r="K79" s="116">
        <v>3447581.2828299999</v>
      </c>
      <c r="L79" t="s">
        <v>13</v>
      </c>
      <c r="M79" s="116">
        <v>2018</v>
      </c>
      <c r="N79" t="s">
        <v>13</v>
      </c>
    </row>
    <row r="80" spans="1:14" hidden="1" x14ac:dyDescent="0.25">
      <c r="A80" s="116">
        <v>78</v>
      </c>
      <c r="B80" s="117" t="s">
        <v>5414</v>
      </c>
      <c r="C80" s="117" t="s">
        <v>2155</v>
      </c>
      <c r="D80" s="123" t="s">
        <v>632</v>
      </c>
      <c r="E80" s="123" t="s">
        <v>72</v>
      </c>
      <c r="F80" s="123">
        <v>39692</v>
      </c>
      <c r="G80" s="124">
        <v>43344</v>
      </c>
      <c r="H80" s="116">
        <v>590.54</v>
      </c>
      <c r="I80" s="116" t="s">
        <v>13</v>
      </c>
      <c r="J80">
        <v>12745.324944</v>
      </c>
      <c r="K80" s="116">
        <v>3115955.02037</v>
      </c>
      <c r="L80" t="s">
        <v>13</v>
      </c>
      <c r="M80" s="116">
        <v>2018</v>
      </c>
      <c r="N80" t="s">
        <v>13</v>
      </c>
    </row>
    <row r="81" spans="1:14" hidden="1" x14ac:dyDescent="0.25">
      <c r="A81" s="116">
        <v>79</v>
      </c>
      <c r="B81" s="117" t="s">
        <v>5414</v>
      </c>
      <c r="C81" s="117" t="s">
        <v>2150</v>
      </c>
      <c r="D81" s="123" t="s">
        <v>632</v>
      </c>
      <c r="E81" s="123" t="s">
        <v>72</v>
      </c>
      <c r="F81" s="123">
        <v>39692</v>
      </c>
      <c r="G81" s="124">
        <v>43344</v>
      </c>
      <c r="H81" s="116">
        <v>401.13</v>
      </c>
      <c r="I81" s="116" t="s">
        <v>13</v>
      </c>
      <c r="J81">
        <v>13864.184456999999</v>
      </c>
      <c r="K81" s="116">
        <v>2196206.5345399999</v>
      </c>
      <c r="L81" t="s">
        <v>13</v>
      </c>
      <c r="M81" s="116">
        <v>2018</v>
      </c>
      <c r="N81" t="s">
        <v>13</v>
      </c>
    </row>
    <row r="82" spans="1:14" x14ac:dyDescent="0.25">
      <c r="A82" s="116">
        <v>80</v>
      </c>
      <c r="B82" s="117" t="s">
        <v>5414</v>
      </c>
      <c r="C82" s="117" t="s">
        <v>2581</v>
      </c>
      <c r="D82" s="123" t="s">
        <v>458</v>
      </c>
      <c r="E82" s="123" t="s">
        <v>2575</v>
      </c>
      <c r="F82" s="123">
        <v>39845</v>
      </c>
      <c r="G82" s="124">
        <v>43497</v>
      </c>
      <c r="H82" s="116">
        <v>2218.42</v>
      </c>
      <c r="I82" s="116" t="s">
        <v>13</v>
      </c>
      <c r="J82">
        <v>58628.052188000001</v>
      </c>
      <c r="K82" s="116">
        <v>15644822.216600001</v>
      </c>
      <c r="L82" t="s">
        <v>13</v>
      </c>
      <c r="M82" s="116">
        <v>2019</v>
      </c>
      <c r="N82" t="s">
        <v>13</v>
      </c>
    </row>
    <row r="83" spans="1:14" x14ac:dyDescent="0.25">
      <c r="A83" s="116">
        <v>81</v>
      </c>
      <c r="B83" s="117" t="s">
        <v>5414</v>
      </c>
      <c r="C83" s="117" t="s">
        <v>2578</v>
      </c>
      <c r="D83" s="123" t="s">
        <v>458</v>
      </c>
      <c r="E83" s="123" t="s">
        <v>2575</v>
      </c>
      <c r="F83" s="123">
        <v>39845</v>
      </c>
      <c r="G83" s="124">
        <v>43497</v>
      </c>
      <c r="H83" s="116">
        <v>1133.46</v>
      </c>
      <c r="I83" s="116" t="s">
        <v>13</v>
      </c>
      <c r="J83">
        <v>33903.804230000002</v>
      </c>
      <c r="K83" s="116">
        <v>8595835.1964999996</v>
      </c>
      <c r="L83" t="s">
        <v>13</v>
      </c>
      <c r="M83" s="116">
        <v>2019</v>
      </c>
      <c r="N83" t="s">
        <v>13</v>
      </c>
    </row>
    <row r="84" spans="1:14" x14ac:dyDescent="0.25">
      <c r="A84" s="116">
        <v>82</v>
      </c>
      <c r="B84" s="117" t="s">
        <v>5414</v>
      </c>
      <c r="C84" s="117" t="s">
        <v>2577</v>
      </c>
      <c r="D84" s="123" t="s">
        <v>5415</v>
      </c>
      <c r="E84" s="123" t="s">
        <v>2575</v>
      </c>
      <c r="F84" s="123">
        <v>39845</v>
      </c>
      <c r="G84" s="124">
        <v>43497</v>
      </c>
      <c r="H84" s="116">
        <v>2388.6999999999998</v>
      </c>
      <c r="I84" s="116" t="s">
        <v>13</v>
      </c>
      <c r="J84">
        <v>74102.639290000006</v>
      </c>
      <c r="K84" s="116">
        <v>18272826.784499999</v>
      </c>
      <c r="L84" t="s">
        <v>13</v>
      </c>
      <c r="M84" s="116">
        <v>2019</v>
      </c>
      <c r="N84" t="s">
        <v>13</v>
      </c>
    </row>
    <row r="85" spans="1:14" x14ac:dyDescent="0.25">
      <c r="A85" s="116">
        <v>83</v>
      </c>
      <c r="B85" s="117" t="s">
        <v>5414</v>
      </c>
      <c r="C85" s="117" t="s">
        <v>2573</v>
      </c>
      <c r="D85" s="123" t="s">
        <v>5415</v>
      </c>
      <c r="E85" s="123" t="s">
        <v>2575</v>
      </c>
      <c r="F85" s="123">
        <v>39845</v>
      </c>
      <c r="G85" s="124">
        <v>43497</v>
      </c>
      <c r="H85" s="116">
        <v>2167.33</v>
      </c>
      <c r="I85" s="116" t="s">
        <v>13</v>
      </c>
      <c r="J85">
        <v>41492.732790000002</v>
      </c>
      <c r="K85" s="116">
        <v>14685765.8114</v>
      </c>
      <c r="L85" t="s">
        <v>13</v>
      </c>
      <c r="M85" s="116">
        <v>2019</v>
      </c>
      <c r="N85" t="s">
        <v>13</v>
      </c>
    </row>
    <row r="86" spans="1:14" x14ac:dyDescent="0.25">
      <c r="A86" s="116">
        <v>84</v>
      </c>
      <c r="B86" s="117" t="s">
        <v>5414</v>
      </c>
      <c r="C86" s="117" t="s">
        <v>2690</v>
      </c>
      <c r="D86" s="123" t="s">
        <v>2682</v>
      </c>
      <c r="E86" s="123" t="s">
        <v>548</v>
      </c>
      <c r="F86" s="123">
        <v>40057</v>
      </c>
      <c r="G86" s="124">
        <v>43709</v>
      </c>
      <c r="H86" s="116">
        <v>240</v>
      </c>
      <c r="I86" s="116" t="s">
        <v>13</v>
      </c>
      <c r="J86">
        <v>5191.3793999999998</v>
      </c>
      <c r="K86" s="116">
        <v>1614276.20358</v>
      </c>
      <c r="L86" t="s">
        <v>13</v>
      </c>
      <c r="M86" s="116">
        <v>2019</v>
      </c>
      <c r="N86" t="s">
        <v>13</v>
      </c>
    </row>
    <row r="87" spans="1:14" x14ac:dyDescent="0.25">
      <c r="A87" s="116">
        <v>85</v>
      </c>
      <c r="B87" s="117" t="s">
        <v>5414</v>
      </c>
      <c r="C87" s="117" t="s">
        <v>2680</v>
      </c>
      <c r="D87" s="123" t="s">
        <v>2682</v>
      </c>
      <c r="E87" s="123" t="s">
        <v>548</v>
      </c>
      <c r="F87" s="123">
        <v>40057</v>
      </c>
      <c r="G87" s="124">
        <v>43709</v>
      </c>
      <c r="H87" s="116">
        <v>1281.43</v>
      </c>
      <c r="I87" s="116" t="s">
        <v>13</v>
      </c>
      <c r="J87">
        <v>26955.761600000002</v>
      </c>
      <c r="K87" s="116">
        <v>8640945.2797400001</v>
      </c>
      <c r="L87" t="s">
        <v>13</v>
      </c>
      <c r="M87" s="116">
        <v>2019</v>
      </c>
      <c r="N87" t="s">
        <v>13</v>
      </c>
    </row>
    <row r="88" spans="1:14" x14ac:dyDescent="0.25">
      <c r="A88" s="116">
        <v>86</v>
      </c>
      <c r="B88" s="117" t="s">
        <v>5414</v>
      </c>
      <c r="C88" s="117" t="s">
        <v>3129</v>
      </c>
      <c r="D88" s="123" t="s">
        <v>5416</v>
      </c>
      <c r="E88" s="123" t="s">
        <v>548</v>
      </c>
      <c r="F88" s="123">
        <v>40544</v>
      </c>
      <c r="G88" s="124">
        <v>44197</v>
      </c>
      <c r="H88" s="116">
        <v>54.38</v>
      </c>
      <c r="I88" s="116" t="s">
        <v>13</v>
      </c>
      <c r="J88">
        <v>1749.1356000000001</v>
      </c>
      <c r="K88" s="116">
        <v>92942.466021</v>
      </c>
      <c r="L88" t="s">
        <v>13</v>
      </c>
      <c r="M88" s="116">
        <v>2021</v>
      </c>
      <c r="N88" t="s">
        <v>13</v>
      </c>
    </row>
    <row r="89" spans="1:14" x14ac:dyDescent="0.25">
      <c r="A89" s="116">
        <v>87</v>
      </c>
      <c r="B89" s="117" t="s">
        <v>5414</v>
      </c>
      <c r="C89" s="117" t="s">
        <v>2685</v>
      </c>
      <c r="D89" s="123" t="s">
        <v>2687</v>
      </c>
      <c r="E89" s="123" t="s">
        <v>548</v>
      </c>
      <c r="F89" s="123">
        <v>40057</v>
      </c>
      <c r="G89" s="124">
        <v>43709</v>
      </c>
      <c r="H89" s="116">
        <v>320</v>
      </c>
      <c r="I89" s="116" t="s">
        <v>13</v>
      </c>
      <c r="J89">
        <v>6318.3285999999998</v>
      </c>
      <c r="K89" s="116">
        <v>2237345.6091399998</v>
      </c>
      <c r="L89" t="s">
        <v>13</v>
      </c>
      <c r="M89" s="116">
        <v>2019</v>
      </c>
      <c r="N89" t="s">
        <v>13</v>
      </c>
    </row>
    <row r="90" spans="1:14" x14ac:dyDescent="0.25">
      <c r="A90" s="116">
        <v>88</v>
      </c>
      <c r="B90" s="117" t="s">
        <v>5414</v>
      </c>
      <c r="C90" s="117" t="s">
        <v>3344</v>
      </c>
      <c r="D90" s="123" t="s">
        <v>5417</v>
      </c>
      <c r="E90" s="123" t="s">
        <v>2186</v>
      </c>
      <c r="F90" s="123">
        <v>40664</v>
      </c>
      <c r="G90" s="124">
        <v>44317</v>
      </c>
      <c r="H90" s="116">
        <v>2069.6999999999998</v>
      </c>
      <c r="I90" s="116" t="s">
        <v>13</v>
      </c>
      <c r="J90">
        <v>36760.128054000001</v>
      </c>
      <c r="K90" s="116">
        <v>13127820.7806</v>
      </c>
      <c r="L90" t="s">
        <v>13</v>
      </c>
      <c r="M90" s="116">
        <v>2021</v>
      </c>
      <c r="N90" t="s">
        <v>13</v>
      </c>
    </row>
    <row r="91" spans="1:14" x14ac:dyDescent="0.25">
      <c r="A91" s="116">
        <v>89</v>
      </c>
      <c r="B91" s="117" t="s">
        <v>5414</v>
      </c>
      <c r="C91" s="117" t="s">
        <v>3341</v>
      </c>
      <c r="D91" s="123" t="s">
        <v>5418</v>
      </c>
      <c r="E91" s="123" t="s">
        <v>2186</v>
      </c>
      <c r="F91" s="123">
        <v>40664</v>
      </c>
      <c r="G91" s="124">
        <v>44317</v>
      </c>
      <c r="H91" s="116">
        <v>95.2</v>
      </c>
      <c r="I91" s="116" t="s">
        <v>13</v>
      </c>
      <c r="J91">
        <v>5575.5302709999996</v>
      </c>
      <c r="K91" s="116">
        <v>481885.88005199999</v>
      </c>
      <c r="L91" t="s">
        <v>13</v>
      </c>
      <c r="M91" s="116">
        <v>2021</v>
      </c>
      <c r="N91" t="s">
        <v>13</v>
      </c>
    </row>
    <row r="92" spans="1:14" x14ac:dyDescent="0.25">
      <c r="A92" s="116">
        <v>90</v>
      </c>
      <c r="B92" s="117" t="s">
        <v>5414</v>
      </c>
      <c r="C92" s="117" t="s">
        <v>3339</v>
      </c>
      <c r="D92" s="123" t="s">
        <v>5419</v>
      </c>
      <c r="E92" s="123" t="s">
        <v>2186</v>
      </c>
      <c r="F92" s="123">
        <v>40664</v>
      </c>
      <c r="G92" s="124">
        <v>44317</v>
      </c>
      <c r="H92" s="116">
        <v>183.7</v>
      </c>
      <c r="I92" s="116" t="s">
        <v>13</v>
      </c>
      <c r="J92">
        <v>8395.2682659999991</v>
      </c>
      <c r="K92" s="116">
        <v>1146700.6153200001</v>
      </c>
      <c r="L92" t="s">
        <v>13</v>
      </c>
      <c r="M92" s="116">
        <v>2021</v>
      </c>
      <c r="N92" t="s">
        <v>13</v>
      </c>
    </row>
    <row r="93" spans="1:14" x14ac:dyDescent="0.25">
      <c r="A93" s="116">
        <v>91</v>
      </c>
      <c r="B93" s="117" t="s">
        <v>5414</v>
      </c>
      <c r="C93" s="117" t="s">
        <v>3333</v>
      </c>
      <c r="D93" s="123" t="s">
        <v>5419</v>
      </c>
      <c r="E93" s="123" t="s">
        <v>2186</v>
      </c>
      <c r="F93" s="123">
        <v>40664</v>
      </c>
      <c r="G93" s="124">
        <v>44317</v>
      </c>
      <c r="H93" s="116">
        <v>66.099999999999994</v>
      </c>
      <c r="I93" s="116" t="s">
        <v>13</v>
      </c>
      <c r="J93">
        <v>3372.82114</v>
      </c>
      <c r="K93" s="116">
        <v>399494.16124300001</v>
      </c>
      <c r="L93" t="s">
        <v>13</v>
      </c>
      <c r="M93" s="116">
        <v>2021</v>
      </c>
      <c r="N93" t="s">
        <v>13</v>
      </c>
    </row>
    <row r="94" spans="1:14" x14ac:dyDescent="0.25">
      <c r="A94" s="116">
        <v>92</v>
      </c>
      <c r="B94" s="117" t="s">
        <v>5414</v>
      </c>
      <c r="C94" s="117" t="s">
        <v>3337</v>
      </c>
      <c r="D94" s="123" t="s">
        <v>5419</v>
      </c>
      <c r="E94" s="123" t="s">
        <v>2186</v>
      </c>
      <c r="F94" s="123">
        <v>40664</v>
      </c>
      <c r="G94" s="124">
        <v>44317</v>
      </c>
      <c r="H94" s="116">
        <v>1418.9</v>
      </c>
      <c r="I94" s="116" t="s">
        <v>13</v>
      </c>
      <c r="J94">
        <v>17584.979373999999</v>
      </c>
      <c r="K94" s="116">
        <v>9539836.6852299999</v>
      </c>
      <c r="L94" t="s">
        <v>13</v>
      </c>
      <c r="M94" s="116">
        <v>2021</v>
      </c>
      <c r="N94" t="s">
        <v>13</v>
      </c>
    </row>
    <row r="95" spans="1:14" x14ac:dyDescent="0.25">
      <c r="A95" s="116">
        <v>93</v>
      </c>
      <c r="B95" s="117" t="s">
        <v>5414</v>
      </c>
      <c r="C95" s="117" t="s">
        <v>4750</v>
      </c>
      <c r="D95" s="123" t="s">
        <v>4752</v>
      </c>
      <c r="E95" s="123" t="s">
        <v>79</v>
      </c>
      <c r="F95" s="123">
        <v>41730</v>
      </c>
      <c r="G95" s="124">
        <v>45383</v>
      </c>
      <c r="H95" s="116">
        <v>1332</v>
      </c>
      <c r="I95" s="116" t="s">
        <v>13</v>
      </c>
      <c r="J95">
        <v>13711.365218000001</v>
      </c>
      <c r="K95" s="116">
        <v>10602034.5439</v>
      </c>
      <c r="L95" t="s">
        <v>13</v>
      </c>
      <c r="M95" s="116">
        <v>2024</v>
      </c>
      <c r="N95" t="s">
        <v>13</v>
      </c>
    </row>
    <row r="96" spans="1:14" x14ac:dyDescent="0.25">
      <c r="A96" s="116">
        <v>94</v>
      </c>
      <c r="B96" s="117" t="s">
        <v>5414</v>
      </c>
      <c r="C96" s="117" t="s">
        <v>3205</v>
      </c>
      <c r="D96" s="123" t="s">
        <v>4752</v>
      </c>
      <c r="E96" s="123" t="s">
        <v>79</v>
      </c>
      <c r="F96" s="123">
        <v>40575</v>
      </c>
      <c r="G96" s="124">
        <v>44228</v>
      </c>
      <c r="H96" s="116">
        <v>39.93</v>
      </c>
      <c r="I96" s="116" t="s">
        <v>13</v>
      </c>
      <c r="J96">
        <v>1947.3371999999999</v>
      </c>
      <c r="K96" s="116">
        <v>237007.63565899999</v>
      </c>
      <c r="L96" t="s">
        <v>13</v>
      </c>
      <c r="M96" s="116">
        <v>2021</v>
      </c>
      <c r="N96" t="s">
        <v>13</v>
      </c>
    </row>
    <row r="97" spans="1:14" x14ac:dyDescent="0.25">
      <c r="A97" s="116">
        <v>95</v>
      </c>
      <c r="B97" s="117" t="s">
        <v>5414</v>
      </c>
      <c r="C97" s="117" t="s">
        <v>2668</v>
      </c>
      <c r="D97" s="123" t="s">
        <v>672</v>
      </c>
      <c r="E97" s="123" t="s">
        <v>79</v>
      </c>
      <c r="F97" s="123">
        <v>40057</v>
      </c>
      <c r="G97" s="124">
        <v>43709</v>
      </c>
      <c r="H97" s="116">
        <v>742.23</v>
      </c>
      <c r="I97" s="116" t="s">
        <v>13</v>
      </c>
      <c r="J97">
        <v>12498.193238</v>
      </c>
      <c r="K97" s="116">
        <v>4343268.9412500001</v>
      </c>
      <c r="L97" t="s">
        <v>13</v>
      </c>
      <c r="M97" s="116">
        <v>2019</v>
      </c>
      <c r="N97" t="s">
        <v>13</v>
      </c>
    </row>
    <row r="98" spans="1:14" x14ac:dyDescent="0.25">
      <c r="A98" s="116">
        <v>96</v>
      </c>
      <c r="B98" s="117" t="s">
        <v>5414</v>
      </c>
      <c r="C98" s="117" t="s">
        <v>2662</v>
      </c>
      <c r="D98" s="123" t="s">
        <v>672</v>
      </c>
      <c r="E98" s="123" t="s">
        <v>79</v>
      </c>
      <c r="F98" s="123">
        <v>40148</v>
      </c>
      <c r="G98" s="124">
        <v>43800</v>
      </c>
      <c r="H98" s="116">
        <v>78.52</v>
      </c>
      <c r="I98" s="116" t="s">
        <v>13</v>
      </c>
      <c r="J98">
        <v>2878.5666000000001</v>
      </c>
      <c r="K98" s="116">
        <v>458232.22128100001</v>
      </c>
      <c r="L98" t="s">
        <v>13</v>
      </c>
      <c r="M98" s="116">
        <v>2019</v>
      </c>
      <c r="N98" t="s">
        <v>4822</v>
      </c>
    </row>
    <row r="99" spans="1:14" x14ac:dyDescent="0.25">
      <c r="A99" s="116">
        <v>97</v>
      </c>
      <c r="B99" s="117" t="s">
        <v>5414</v>
      </c>
      <c r="C99" s="117" t="s">
        <v>3444</v>
      </c>
      <c r="D99" s="123" t="s">
        <v>672</v>
      </c>
      <c r="E99" s="123" t="s">
        <v>79</v>
      </c>
      <c r="F99" s="123">
        <v>40664</v>
      </c>
      <c r="G99" s="124">
        <v>44317</v>
      </c>
      <c r="H99" s="116">
        <v>642.48</v>
      </c>
      <c r="I99" s="116" t="s">
        <v>13</v>
      </c>
      <c r="J99">
        <v>7651.7654000000002</v>
      </c>
      <c r="K99" s="116">
        <v>3659337.608</v>
      </c>
      <c r="L99" t="s">
        <v>13</v>
      </c>
      <c r="M99" s="116">
        <v>2021</v>
      </c>
      <c r="N99" t="s">
        <v>13</v>
      </c>
    </row>
    <row r="100" spans="1:14" x14ac:dyDescent="0.25">
      <c r="A100" s="116">
        <v>98</v>
      </c>
      <c r="B100" s="117" t="s">
        <v>5414</v>
      </c>
      <c r="C100" s="117" t="s">
        <v>2671</v>
      </c>
      <c r="D100" s="123" t="s">
        <v>672</v>
      </c>
      <c r="E100" s="123" t="s">
        <v>79</v>
      </c>
      <c r="F100" s="123">
        <v>40057</v>
      </c>
      <c r="G100" s="124">
        <v>43709</v>
      </c>
      <c r="H100" s="116">
        <v>340.15</v>
      </c>
      <c r="I100" s="116" t="s">
        <v>13</v>
      </c>
      <c r="J100">
        <v>7717.9466000000002</v>
      </c>
      <c r="K100" s="116">
        <v>1976332.7206999999</v>
      </c>
      <c r="L100" t="s">
        <v>13</v>
      </c>
      <c r="M100" s="116">
        <v>2019</v>
      </c>
      <c r="N100" t="s">
        <v>13</v>
      </c>
    </row>
    <row r="101" spans="1:14" x14ac:dyDescent="0.25">
      <c r="A101" s="116">
        <v>99</v>
      </c>
      <c r="B101" s="117" t="s">
        <v>5414</v>
      </c>
      <c r="C101" s="117" t="s">
        <v>2665</v>
      </c>
      <c r="D101" s="123" t="s">
        <v>672</v>
      </c>
      <c r="E101" s="123" t="s">
        <v>79</v>
      </c>
      <c r="F101" s="123">
        <v>40057</v>
      </c>
      <c r="G101" s="124">
        <v>43709</v>
      </c>
      <c r="H101" s="116">
        <v>319</v>
      </c>
      <c r="I101" s="116" t="s">
        <v>13</v>
      </c>
      <c r="J101">
        <v>5756.799</v>
      </c>
      <c r="K101" s="116">
        <v>1859641.40689</v>
      </c>
      <c r="L101" t="s">
        <v>13</v>
      </c>
      <c r="M101" s="116">
        <v>2019</v>
      </c>
      <c r="N101" t="s">
        <v>13</v>
      </c>
    </row>
    <row r="102" spans="1:14" x14ac:dyDescent="0.25">
      <c r="A102" s="116">
        <v>100</v>
      </c>
      <c r="B102" s="117" t="s">
        <v>5414</v>
      </c>
      <c r="C102" s="117" t="s">
        <v>2659</v>
      </c>
      <c r="D102" s="123" t="s">
        <v>672</v>
      </c>
      <c r="E102" s="123" t="s">
        <v>79</v>
      </c>
      <c r="F102" s="123">
        <v>40057</v>
      </c>
      <c r="G102" s="124">
        <v>43709</v>
      </c>
      <c r="H102" s="116">
        <v>223.07</v>
      </c>
      <c r="I102" s="116" t="s">
        <v>13</v>
      </c>
      <c r="J102">
        <v>5235.8512000000001</v>
      </c>
      <c r="K102" s="116">
        <v>1307626.96829</v>
      </c>
      <c r="L102" t="s">
        <v>13</v>
      </c>
      <c r="M102" s="116">
        <v>2019</v>
      </c>
      <c r="N102" t="s">
        <v>13</v>
      </c>
    </row>
    <row r="103" spans="1:14" x14ac:dyDescent="0.25">
      <c r="A103" s="116">
        <v>101</v>
      </c>
      <c r="B103" s="117" t="s">
        <v>5414</v>
      </c>
      <c r="C103" s="117" t="s">
        <v>2449</v>
      </c>
      <c r="D103" s="123" t="s">
        <v>672</v>
      </c>
      <c r="E103" s="123" t="s">
        <v>79</v>
      </c>
      <c r="F103" s="123">
        <v>39783</v>
      </c>
      <c r="G103" s="124">
        <v>43435</v>
      </c>
      <c r="H103" s="116">
        <v>160</v>
      </c>
      <c r="I103" s="116" t="s">
        <v>13</v>
      </c>
      <c r="J103">
        <v>6687.7629999999999</v>
      </c>
      <c r="K103" s="116">
        <v>1385305.82354</v>
      </c>
      <c r="L103" t="s">
        <v>13</v>
      </c>
      <c r="M103" s="116">
        <v>2018</v>
      </c>
      <c r="N103" t="s">
        <v>5420</v>
      </c>
    </row>
    <row r="104" spans="1:14" x14ac:dyDescent="0.25">
      <c r="A104" s="116">
        <v>102</v>
      </c>
      <c r="B104" s="117" t="s">
        <v>5414</v>
      </c>
      <c r="C104" s="117" t="s">
        <v>3098</v>
      </c>
      <c r="D104" s="123" t="s">
        <v>672</v>
      </c>
      <c r="E104" s="123" t="s">
        <v>79</v>
      </c>
      <c r="F104" s="123">
        <v>40513</v>
      </c>
      <c r="G104" s="124">
        <v>44166</v>
      </c>
      <c r="H104" s="116">
        <v>12</v>
      </c>
      <c r="I104" s="116" t="s">
        <v>13</v>
      </c>
      <c r="J104">
        <v>1329.3057659999999</v>
      </c>
      <c r="K104" s="116">
        <v>93940.047229999996</v>
      </c>
      <c r="L104" t="s">
        <v>13</v>
      </c>
      <c r="M104" s="116">
        <v>2020</v>
      </c>
      <c r="N104" t="s">
        <v>13</v>
      </c>
    </row>
    <row r="105" spans="1:14" x14ac:dyDescent="0.25">
      <c r="A105" s="116">
        <v>103</v>
      </c>
      <c r="B105" s="117" t="s">
        <v>5414</v>
      </c>
      <c r="C105" s="117" t="s">
        <v>3375</v>
      </c>
      <c r="D105" s="123" t="s">
        <v>2827</v>
      </c>
      <c r="E105" s="123" t="s">
        <v>79</v>
      </c>
      <c r="F105" s="123">
        <v>40664</v>
      </c>
      <c r="G105" s="124">
        <v>44317</v>
      </c>
      <c r="H105" s="116">
        <v>655.28</v>
      </c>
      <c r="I105" s="116" t="s">
        <v>13</v>
      </c>
      <c r="J105">
        <v>9430.8238579999997</v>
      </c>
      <c r="K105" s="116">
        <v>2440189.8135700002</v>
      </c>
      <c r="L105" t="s">
        <v>13</v>
      </c>
      <c r="M105" s="116">
        <v>2021</v>
      </c>
      <c r="N105" t="s">
        <v>13</v>
      </c>
    </row>
    <row r="106" spans="1:14" x14ac:dyDescent="0.25">
      <c r="A106" s="116">
        <v>104</v>
      </c>
      <c r="B106" s="117" t="s">
        <v>5414</v>
      </c>
      <c r="C106" s="117" t="s">
        <v>3372</v>
      </c>
      <c r="D106" s="123" t="s">
        <v>2827</v>
      </c>
      <c r="E106" s="123" t="s">
        <v>79</v>
      </c>
      <c r="F106" s="123">
        <v>40664</v>
      </c>
      <c r="G106" s="124">
        <v>44317</v>
      </c>
      <c r="H106" s="116">
        <v>179.05</v>
      </c>
      <c r="I106" s="116" t="s">
        <v>13</v>
      </c>
      <c r="J106">
        <v>8456.1</v>
      </c>
      <c r="K106" s="116">
        <v>1000886.4265300001</v>
      </c>
      <c r="L106" t="s">
        <v>13</v>
      </c>
      <c r="M106" s="116">
        <v>2021</v>
      </c>
      <c r="N106" t="s">
        <v>13</v>
      </c>
    </row>
    <row r="107" spans="1:14" x14ac:dyDescent="0.25">
      <c r="A107" s="116">
        <v>105</v>
      </c>
      <c r="B107" s="117" t="s">
        <v>5414</v>
      </c>
      <c r="C107" s="117" t="s">
        <v>3369</v>
      </c>
      <c r="D107" s="123" t="s">
        <v>2827</v>
      </c>
      <c r="E107" s="123" t="s">
        <v>79</v>
      </c>
      <c r="F107" s="123">
        <v>40664</v>
      </c>
      <c r="G107" s="124">
        <v>44317</v>
      </c>
      <c r="H107" s="116">
        <v>1083.6500000000001</v>
      </c>
      <c r="I107" s="116" t="s">
        <v>13</v>
      </c>
      <c r="J107">
        <v>14398.654</v>
      </c>
      <c r="K107" s="116">
        <v>2266357.6231499999</v>
      </c>
      <c r="L107" t="s">
        <v>13</v>
      </c>
      <c r="M107" s="116">
        <v>2021</v>
      </c>
      <c r="N107" t="s">
        <v>13</v>
      </c>
    </row>
    <row r="108" spans="1:14" x14ac:dyDescent="0.25">
      <c r="A108" s="116">
        <v>106</v>
      </c>
      <c r="B108" s="117" t="s">
        <v>5414</v>
      </c>
      <c r="C108" s="117" t="s">
        <v>3361</v>
      </c>
      <c r="D108" s="123" t="s">
        <v>2827</v>
      </c>
      <c r="E108" s="123" t="s">
        <v>79</v>
      </c>
      <c r="F108" s="123">
        <v>40664</v>
      </c>
      <c r="G108" s="124">
        <v>44317</v>
      </c>
      <c r="H108" s="116">
        <v>793.21</v>
      </c>
      <c r="I108" s="116" t="s">
        <v>13</v>
      </c>
      <c r="J108">
        <v>9394.6828000000005</v>
      </c>
      <c r="K108" s="116">
        <v>4431281.8881400004</v>
      </c>
      <c r="L108" t="s">
        <v>13</v>
      </c>
      <c r="M108" s="116">
        <v>2021</v>
      </c>
      <c r="N108" t="s">
        <v>13</v>
      </c>
    </row>
    <row r="109" spans="1:14" x14ac:dyDescent="0.25">
      <c r="A109" s="116">
        <v>107</v>
      </c>
      <c r="B109" s="117" t="s">
        <v>5414</v>
      </c>
      <c r="C109" s="117" t="s">
        <v>3358</v>
      </c>
      <c r="D109" s="123" t="s">
        <v>2827</v>
      </c>
      <c r="E109" s="123" t="s">
        <v>79</v>
      </c>
      <c r="F109" s="123">
        <v>40664</v>
      </c>
      <c r="G109" s="124">
        <v>44317</v>
      </c>
      <c r="H109" s="116">
        <v>477.66</v>
      </c>
      <c r="I109" s="116" t="s">
        <v>13</v>
      </c>
      <c r="J109">
        <v>10364.2544</v>
      </c>
      <c r="K109" s="116">
        <v>2646974.67429</v>
      </c>
      <c r="L109" t="s">
        <v>13</v>
      </c>
      <c r="M109" s="116">
        <v>2021</v>
      </c>
      <c r="N109" t="s">
        <v>13</v>
      </c>
    </row>
    <row r="110" spans="1:14" x14ac:dyDescent="0.25">
      <c r="A110" s="116">
        <v>108</v>
      </c>
      <c r="B110" s="117" t="s">
        <v>5414</v>
      </c>
      <c r="C110" s="117" t="s">
        <v>3355</v>
      </c>
      <c r="D110" s="123" t="s">
        <v>2827</v>
      </c>
      <c r="E110" s="123" t="s">
        <v>79</v>
      </c>
      <c r="F110" s="123">
        <v>40664</v>
      </c>
      <c r="G110" s="124">
        <v>44317</v>
      </c>
      <c r="H110" s="116">
        <v>1112</v>
      </c>
      <c r="I110" s="116" t="s">
        <v>13</v>
      </c>
      <c r="J110">
        <v>11311.2688</v>
      </c>
      <c r="K110" s="116">
        <v>6190523.9229199998</v>
      </c>
      <c r="L110" t="s">
        <v>13</v>
      </c>
      <c r="M110" s="116">
        <v>2021</v>
      </c>
      <c r="N110" t="s">
        <v>13</v>
      </c>
    </row>
    <row r="111" spans="1:14" x14ac:dyDescent="0.25">
      <c r="A111" s="116">
        <v>109</v>
      </c>
      <c r="B111" s="117" t="s">
        <v>5414</v>
      </c>
      <c r="C111" s="117" t="s">
        <v>3352</v>
      </c>
      <c r="D111" s="123" t="s">
        <v>2827</v>
      </c>
      <c r="E111" s="123" t="s">
        <v>79</v>
      </c>
      <c r="F111" s="123">
        <v>40664</v>
      </c>
      <c r="G111" s="124">
        <v>44317</v>
      </c>
      <c r="H111" s="116">
        <v>80</v>
      </c>
      <c r="I111" s="116" t="s">
        <v>13</v>
      </c>
      <c r="J111">
        <v>2817.4776000000002</v>
      </c>
      <c r="K111" s="116">
        <v>439157.70233300002</v>
      </c>
      <c r="L111" t="s">
        <v>13</v>
      </c>
      <c r="M111" s="116">
        <v>2021</v>
      </c>
      <c r="N111" t="s">
        <v>13</v>
      </c>
    </row>
    <row r="112" spans="1:14" x14ac:dyDescent="0.25">
      <c r="A112" s="116">
        <v>110</v>
      </c>
      <c r="B112" s="117" t="s">
        <v>5414</v>
      </c>
      <c r="C112" s="117" t="s">
        <v>3347</v>
      </c>
      <c r="D112" s="123" t="s">
        <v>2827</v>
      </c>
      <c r="E112" s="123" t="s">
        <v>79</v>
      </c>
      <c r="F112" s="123">
        <v>40664</v>
      </c>
      <c r="G112" s="124">
        <v>44317</v>
      </c>
      <c r="H112" s="116">
        <v>794.84</v>
      </c>
      <c r="I112" s="116" t="s">
        <v>13</v>
      </c>
      <c r="J112">
        <v>9388.4935999999998</v>
      </c>
      <c r="K112" s="116">
        <v>4410016.4739800002</v>
      </c>
      <c r="L112" t="s">
        <v>13</v>
      </c>
      <c r="M112" s="116">
        <v>2021</v>
      </c>
      <c r="N112" t="s">
        <v>13</v>
      </c>
    </row>
    <row r="113" spans="1:14" x14ac:dyDescent="0.25">
      <c r="A113" s="116">
        <v>111</v>
      </c>
      <c r="B113" s="117" t="s">
        <v>5414</v>
      </c>
      <c r="C113" s="117" t="s">
        <v>4443</v>
      </c>
      <c r="D113" s="123" t="s">
        <v>4445</v>
      </c>
      <c r="E113" s="123" t="s">
        <v>79</v>
      </c>
      <c r="F113" s="123">
        <v>41306</v>
      </c>
      <c r="G113" s="124">
        <v>44958</v>
      </c>
      <c r="H113" s="116">
        <v>75.48</v>
      </c>
      <c r="I113" s="116" t="s">
        <v>13</v>
      </c>
      <c r="J113">
        <v>2619.7227400000002</v>
      </c>
      <c r="K113" s="116">
        <v>386817.51448999997</v>
      </c>
      <c r="L113" t="s">
        <v>13</v>
      </c>
      <c r="M113" s="116">
        <v>2023</v>
      </c>
      <c r="N113" t="s">
        <v>13</v>
      </c>
    </row>
    <row r="114" spans="1:14" x14ac:dyDescent="0.25">
      <c r="A114" s="116">
        <v>112</v>
      </c>
      <c r="B114" s="117" t="s">
        <v>5414</v>
      </c>
      <c r="C114" s="117" t="s">
        <v>4143</v>
      </c>
      <c r="D114" s="123" t="s">
        <v>4141</v>
      </c>
      <c r="E114" s="123" t="s">
        <v>79</v>
      </c>
      <c r="F114" s="123">
        <v>41030</v>
      </c>
      <c r="G114" s="124">
        <v>44682</v>
      </c>
      <c r="H114" s="116">
        <v>2071.2600000000002</v>
      </c>
      <c r="I114" s="116" t="s">
        <v>13</v>
      </c>
      <c r="J114">
        <v>17214.148518999998</v>
      </c>
      <c r="K114" s="116">
        <v>10599091.205700001</v>
      </c>
      <c r="L114" t="s">
        <v>13</v>
      </c>
      <c r="M114" s="116">
        <v>2022</v>
      </c>
      <c r="N114" t="s">
        <v>13</v>
      </c>
    </row>
    <row r="115" spans="1:14" x14ac:dyDescent="0.25">
      <c r="A115" s="116">
        <v>113</v>
      </c>
      <c r="B115" s="117" t="s">
        <v>5414</v>
      </c>
      <c r="C115" s="117" t="s">
        <v>4245</v>
      </c>
      <c r="D115" s="123" t="s">
        <v>4141</v>
      </c>
      <c r="E115" s="123" t="s">
        <v>79</v>
      </c>
      <c r="F115" s="123">
        <v>41122</v>
      </c>
      <c r="G115" s="124">
        <v>44774</v>
      </c>
      <c r="H115" s="116">
        <v>1273.8</v>
      </c>
      <c r="I115" s="116" t="s">
        <v>13</v>
      </c>
      <c r="J115">
        <v>11413.403077999999</v>
      </c>
      <c r="K115" s="116">
        <v>7174580.87457</v>
      </c>
      <c r="L115" t="s">
        <v>13</v>
      </c>
      <c r="M115" s="116">
        <v>2022</v>
      </c>
      <c r="N115" t="s">
        <v>13</v>
      </c>
    </row>
    <row r="116" spans="1:14" x14ac:dyDescent="0.25">
      <c r="A116" s="116">
        <v>114</v>
      </c>
      <c r="B116" s="117" t="s">
        <v>5414</v>
      </c>
      <c r="C116" s="117" t="s">
        <v>3216</v>
      </c>
      <c r="D116" s="123" t="s">
        <v>5421</v>
      </c>
      <c r="E116" s="123" t="s">
        <v>79</v>
      </c>
      <c r="F116" s="123">
        <v>40575</v>
      </c>
      <c r="G116" s="124">
        <v>44228</v>
      </c>
      <c r="H116" s="116">
        <v>158.44</v>
      </c>
      <c r="I116" s="116" t="s">
        <v>13</v>
      </c>
      <c r="J116">
        <v>5619.7614000000003</v>
      </c>
      <c r="K116" s="116">
        <v>877437.890365</v>
      </c>
      <c r="L116" t="s">
        <v>13</v>
      </c>
      <c r="M116" s="116">
        <v>2021</v>
      </c>
      <c r="N116" t="s">
        <v>13</v>
      </c>
    </row>
    <row r="117" spans="1:14" x14ac:dyDescent="0.25">
      <c r="A117" s="116">
        <v>115</v>
      </c>
      <c r="B117" s="117" t="s">
        <v>5414</v>
      </c>
      <c r="C117" s="117" t="s">
        <v>3102</v>
      </c>
      <c r="D117" s="123" t="s">
        <v>5422</v>
      </c>
      <c r="E117" s="123" t="s">
        <v>79</v>
      </c>
      <c r="F117" s="123">
        <v>40513</v>
      </c>
      <c r="G117" s="124">
        <v>44166</v>
      </c>
      <c r="H117" s="116">
        <v>585.15</v>
      </c>
      <c r="I117" s="116" t="s">
        <v>13</v>
      </c>
      <c r="J117">
        <v>15652.8658</v>
      </c>
      <c r="K117" s="116">
        <v>3273957.6721800002</v>
      </c>
      <c r="L117" t="s">
        <v>13</v>
      </c>
      <c r="M117" s="116">
        <v>2020</v>
      </c>
      <c r="N117" t="s">
        <v>13</v>
      </c>
    </row>
    <row r="118" spans="1:14" x14ac:dyDescent="0.25">
      <c r="A118" s="116">
        <v>116</v>
      </c>
      <c r="B118" s="117" t="s">
        <v>5414</v>
      </c>
      <c r="C118" s="117" t="s">
        <v>3107</v>
      </c>
      <c r="D118" s="123" t="s">
        <v>5422</v>
      </c>
      <c r="E118" s="123" t="s">
        <v>79</v>
      </c>
      <c r="F118" s="123">
        <v>40513</v>
      </c>
      <c r="G118" s="124">
        <v>44166</v>
      </c>
      <c r="H118" s="116">
        <v>433.13</v>
      </c>
      <c r="I118" s="116" t="s">
        <v>13</v>
      </c>
      <c r="J118">
        <v>9418.4582599999994</v>
      </c>
      <c r="K118" s="116">
        <v>2442808.5106199998</v>
      </c>
      <c r="L118" t="s">
        <v>13</v>
      </c>
      <c r="M118" s="116">
        <v>2020</v>
      </c>
      <c r="N118" t="s">
        <v>13</v>
      </c>
    </row>
    <row r="119" spans="1:14" x14ac:dyDescent="0.25">
      <c r="A119" s="116">
        <v>117</v>
      </c>
      <c r="B119" s="117" t="s">
        <v>5414</v>
      </c>
      <c r="C119" s="117" t="s">
        <v>3110</v>
      </c>
      <c r="D119" s="123" t="s">
        <v>5422</v>
      </c>
      <c r="E119" s="123" t="s">
        <v>79</v>
      </c>
      <c r="F119" s="123">
        <v>40513</v>
      </c>
      <c r="G119" s="124">
        <v>44166</v>
      </c>
      <c r="H119" s="116">
        <v>432.59</v>
      </c>
      <c r="I119" s="116" t="s">
        <v>13</v>
      </c>
      <c r="J119">
        <v>8505.6952889999993</v>
      </c>
      <c r="K119" s="116">
        <v>2446476.1054199999</v>
      </c>
      <c r="L119" t="s">
        <v>13</v>
      </c>
      <c r="M119" s="116">
        <v>2020</v>
      </c>
      <c r="N119" t="s">
        <v>13</v>
      </c>
    </row>
    <row r="120" spans="1:14" x14ac:dyDescent="0.25">
      <c r="A120" s="116">
        <v>118</v>
      </c>
      <c r="B120" s="117" t="s">
        <v>5414</v>
      </c>
      <c r="C120" s="117" t="s">
        <v>3113</v>
      </c>
      <c r="D120" s="123" t="s">
        <v>5422</v>
      </c>
      <c r="E120" s="123" t="s">
        <v>79</v>
      </c>
      <c r="F120" s="123">
        <v>40513</v>
      </c>
      <c r="G120" s="124">
        <v>44166</v>
      </c>
      <c r="H120" s="116">
        <v>378.49</v>
      </c>
      <c r="I120" s="116" t="s">
        <v>13</v>
      </c>
      <c r="J120">
        <v>11833.778200000001</v>
      </c>
      <c r="K120" s="116">
        <v>2116018.5263499999</v>
      </c>
      <c r="L120" t="s">
        <v>13</v>
      </c>
      <c r="M120" s="116">
        <v>2020</v>
      </c>
      <c r="N120" t="s">
        <v>13</v>
      </c>
    </row>
    <row r="121" spans="1:14" x14ac:dyDescent="0.25">
      <c r="A121" s="116">
        <v>119</v>
      </c>
      <c r="B121" s="117" t="s">
        <v>5414</v>
      </c>
      <c r="C121" s="117" t="s">
        <v>3116</v>
      </c>
      <c r="D121" s="123" t="s">
        <v>5422</v>
      </c>
      <c r="E121" s="123" t="s">
        <v>79</v>
      </c>
      <c r="F121" s="123">
        <v>40513</v>
      </c>
      <c r="G121" s="124">
        <v>44166</v>
      </c>
      <c r="H121" s="116">
        <v>627</v>
      </c>
      <c r="I121" s="116" t="s">
        <v>13</v>
      </c>
      <c r="J121">
        <v>7564.3573749999996</v>
      </c>
      <c r="K121" s="116">
        <v>3573231.7453399999</v>
      </c>
      <c r="L121" t="s">
        <v>13</v>
      </c>
      <c r="M121" s="116">
        <v>2020</v>
      </c>
      <c r="N121" t="s">
        <v>13</v>
      </c>
    </row>
    <row r="122" spans="1:14" x14ac:dyDescent="0.25">
      <c r="A122" s="116">
        <v>120</v>
      </c>
      <c r="B122" s="117" t="s">
        <v>5414</v>
      </c>
      <c r="C122" s="117" t="s">
        <v>3119</v>
      </c>
      <c r="D122" s="123" t="s">
        <v>5422</v>
      </c>
      <c r="E122" s="123" t="s">
        <v>79</v>
      </c>
      <c r="F122" s="123">
        <v>40513</v>
      </c>
      <c r="G122" s="124">
        <v>44166</v>
      </c>
      <c r="H122" s="116">
        <v>632.29</v>
      </c>
      <c r="I122" s="116" t="s">
        <v>13</v>
      </c>
      <c r="J122">
        <v>7541.9168479999998</v>
      </c>
      <c r="K122" s="116">
        <v>3553616.5545899998</v>
      </c>
      <c r="L122" t="s">
        <v>13</v>
      </c>
      <c r="M122" s="116">
        <v>2020</v>
      </c>
      <c r="N122" t="s">
        <v>13</v>
      </c>
    </row>
    <row r="123" spans="1:14" x14ac:dyDescent="0.25">
      <c r="A123" s="116">
        <v>121</v>
      </c>
      <c r="B123" s="117" t="s">
        <v>5414</v>
      </c>
      <c r="C123" s="117" t="s">
        <v>3125</v>
      </c>
      <c r="D123" s="123" t="s">
        <v>5422</v>
      </c>
      <c r="E123" s="123" t="s">
        <v>79</v>
      </c>
      <c r="F123" s="123">
        <v>40513</v>
      </c>
      <c r="G123" s="124">
        <v>44166</v>
      </c>
      <c r="H123" s="116">
        <v>360</v>
      </c>
      <c r="I123" s="116" t="s">
        <v>13</v>
      </c>
      <c r="J123">
        <v>6639.4891600000001</v>
      </c>
      <c r="K123" s="116">
        <v>2031516.5243899999</v>
      </c>
      <c r="L123" t="s">
        <v>13</v>
      </c>
      <c r="M123" s="116">
        <v>2020</v>
      </c>
      <c r="N123" t="s">
        <v>13</v>
      </c>
    </row>
    <row r="124" spans="1:14" x14ac:dyDescent="0.25">
      <c r="A124" s="116">
        <v>122</v>
      </c>
      <c r="B124" s="117" t="s">
        <v>5414</v>
      </c>
      <c r="C124" s="117" t="s">
        <v>3188</v>
      </c>
      <c r="D124" s="123" t="s">
        <v>4141</v>
      </c>
      <c r="E124" s="123" t="s">
        <v>79</v>
      </c>
      <c r="F124" s="123">
        <v>40575</v>
      </c>
      <c r="G124" s="124">
        <v>44228</v>
      </c>
      <c r="H124" s="116">
        <v>56.25</v>
      </c>
      <c r="I124" s="116" t="s">
        <v>13</v>
      </c>
      <c r="J124">
        <v>1894.4204</v>
      </c>
      <c r="K124" s="116">
        <v>224238.786838</v>
      </c>
      <c r="L124" t="s">
        <v>13</v>
      </c>
      <c r="M124" s="116">
        <v>2021</v>
      </c>
      <c r="N124" t="s">
        <v>13</v>
      </c>
    </row>
    <row r="125" spans="1:14" x14ac:dyDescent="0.25">
      <c r="A125" s="116">
        <v>123</v>
      </c>
      <c r="B125" s="117" t="s">
        <v>5414</v>
      </c>
      <c r="C125" s="117" t="s">
        <v>4156</v>
      </c>
      <c r="D125" s="123" t="s">
        <v>4141</v>
      </c>
      <c r="E125" s="123" t="s">
        <v>79</v>
      </c>
      <c r="F125" s="123">
        <v>41030</v>
      </c>
      <c r="G125" s="124">
        <v>44682</v>
      </c>
      <c r="H125" s="116">
        <v>2274.1</v>
      </c>
      <c r="I125" s="116" t="s">
        <v>13</v>
      </c>
      <c r="J125">
        <v>23964.183840999998</v>
      </c>
      <c r="K125" s="116">
        <v>11556200.4089</v>
      </c>
      <c r="L125" t="s">
        <v>13</v>
      </c>
      <c r="M125" s="116">
        <v>2022</v>
      </c>
      <c r="N125" t="s">
        <v>13</v>
      </c>
    </row>
    <row r="126" spans="1:14" x14ac:dyDescent="0.25">
      <c r="A126" s="116">
        <v>124</v>
      </c>
      <c r="B126" s="117" t="s">
        <v>5414</v>
      </c>
      <c r="C126" s="117" t="s">
        <v>4159</v>
      </c>
      <c r="D126" s="123" t="s">
        <v>4141</v>
      </c>
      <c r="E126" s="123" t="s">
        <v>79</v>
      </c>
      <c r="F126" s="123">
        <v>41030</v>
      </c>
      <c r="G126" s="124">
        <v>44682</v>
      </c>
      <c r="H126" s="116">
        <v>1296.6099999999999</v>
      </c>
      <c r="I126" s="116" t="s">
        <v>13</v>
      </c>
      <c r="J126">
        <v>23142.348451999998</v>
      </c>
      <c r="K126" s="116">
        <v>5729221.9402099997</v>
      </c>
      <c r="L126" t="s">
        <v>13</v>
      </c>
      <c r="M126" s="116">
        <v>2022</v>
      </c>
      <c r="N126" t="s">
        <v>13</v>
      </c>
    </row>
    <row r="127" spans="1:14" x14ac:dyDescent="0.25">
      <c r="A127" s="116">
        <v>125</v>
      </c>
      <c r="B127" s="117" t="s">
        <v>5414</v>
      </c>
      <c r="C127" s="117" t="s">
        <v>4154</v>
      </c>
      <c r="D127" s="123" t="s">
        <v>4141</v>
      </c>
      <c r="E127" s="123" t="s">
        <v>79</v>
      </c>
      <c r="F127" s="123">
        <v>41030</v>
      </c>
      <c r="G127" s="124">
        <v>44682</v>
      </c>
      <c r="H127" s="116">
        <v>2147.5100000000002</v>
      </c>
      <c r="I127" s="116" t="s">
        <v>13</v>
      </c>
      <c r="J127">
        <v>25636.548537999999</v>
      </c>
      <c r="K127" s="116">
        <v>10230685.4759</v>
      </c>
      <c r="L127" t="s">
        <v>13</v>
      </c>
      <c r="M127" s="116">
        <v>2022</v>
      </c>
      <c r="N127" t="s">
        <v>13</v>
      </c>
    </row>
    <row r="128" spans="1:14" x14ac:dyDescent="0.25">
      <c r="A128" s="116">
        <v>126</v>
      </c>
      <c r="B128" s="117" t="s">
        <v>5414</v>
      </c>
      <c r="C128" s="117" t="s">
        <v>4149</v>
      </c>
      <c r="D128" s="123" t="s">
        <v>4141</v>
      </c>
      <c r="E128" s="123" t="s">
        <v>79</v>
      </c>
      <c r="F128" s="123">
        <v>41030</v>
      </c>
      <c r="G128" s="124">
        <v>44682</v>
      </c>
      <c r="H128" s="116">
        <v>1707.98</v>
      </c>
      <c r="I128" s="116" t="s">
        <v>13</v>
      </c>
      <c r="J128">
        <v>20073.467358000002</v>
      </c>
      <c r="K128" s="116">
        <v>6290821.29899</v>
      </c>
      <c r="L128" t="s">
        <v>13</v>
      </c>
      <c r="M128" s="116">
        <v>2022</v>
      </c>
      <c r="N128" t="s">
        <v>13</v>
      </c>
    </row>
    <row r="129" spans="1:14" x14ac:dyDescent="0.25">
      <c r="A129" s="116">
        <v>127</v>
      </c>
      <c r="B129" s="117" t="s">
        <v>5414</v>
      </c>
      <c r="C129" s="117" t="s">
        <v>4162</v>
      </c>
      <c r="D129" s="123" t="s">
        <v>4141</v>
      </c>
      <c r="E129" s="123" t="s">
        <v>79</v>
      </c>
      <c r="F129" s="123">
        <v>41030</v>
      </c>
      <c r="G129" s="124">
        <v>44682</v>
      </c>
      <c r="H129" s="116">
        <v>1993.05</v>
      </c>
      <c r="I129" s="116" t="s">
        <v>13</v>
      </c>
      <c r="J129">
        <v>15480.801799999999</v>
      </c>
      <c r="K129" s="116">
        <v>11164012.6516</v>
      </c>
      <c r="L129" t="s">
        <v>13</v>
      </c>
      <c r="M129" s="116">
        <v>2022</v>
      </c>
      <c r="N129" t="s">
        <v>13</v>
      </c>
    </row>
    <row r="130" spans="1:14" x14ac:dyDescent="0.25">
      <c r="A130" s="116">
        <v>128</v>
      </c>
      <c r="B130" s="117" t="s">
        <v>5414</v>
      </c>
      <c r="C130" s="117" t="s">
        <v>4165</v>
      </c>
      <c r="D130" s="123" t="s">
        <v>4141</v>
      </c>
      <c r="E130" s="123" t="s">
        <v>79</v>
      </c>
      <c r="F130" s="123">
        <v>41030</v>
      </c>
      <c r="G130" s="124">
        <v>44682</v>
      </c>
      <c r="H130" s="116">
        <v>1835.46</v>
      </c>
      <c r="I130" s="116" t="s">
        <v>13</v>
      </c>
      <c r="J130">
        <v>15127.293885999999</v>
      </c>
      <c r="K130" s="116">
        <v>10131155.117000001</v>
      </c>
      <c r="L130" t="s">
        <v>13</v>
      </c>
      <c r="M130" s="116">
        <v>2022</v>
      </c>
      <c r="N130" t="s">
        <v>13</v>
      </c>
    </row>
    <row r="131" spans="1:14" x14ac:dyDescent="0.25">
      <c r="A131" s="116">
        <v>129</v>
      </c>
      <c r="B131" s="117" t="s">
        <v>5414</v>
      </c>
      <c r="C131" s="117" t="s">
        <v>4168</v>
      </c>
      <c r="D131" s="123" t="s">
        <v>4141</v>
      </c>
      <c r="E131" s="123" t="s">
        <v>79</v>
      </c>
      <c r="F131" s="123">
        <v>41030</v>
      </c>
      <c r="G131" s="124">
        <v>44682</v>
      </c>
      <c r="H131" s="116">
        <v>2046.04</v>
      </c>
      <c r="I131" s="116" t="s">
        <v>13</v>
      </c>
      <c r="J131">
        <v>23438.135792000001</v>
      </c>
      <c r="K131" s="116">
        <v>13745980.070800001</v>
      </c>
      <c r="L131" t="s">
        <v>13</v>
      </c>
      <c r="M131" s="116">
        <v>2022</v>
      </c>
      <c r="N131" t="s">
        <v>13</v>
      </c>
    </row>
    <row r="132" spans="1:14" x14ac:dyDescent="0.25">
      <c r="A132" s="116">
        <v>130</v>
      </c>
      <c r="B132" s="117" t="s">
        <v>5414</v>
      </c>
      <c r="C132" s="117" t="s">
        <v>4171</v>
      </c>
      <c r="D132" s="123" t="s">
        <v>4141</v>
      </c>
      <c r="E132" s="123" t="s">
        <v>79</v>
      </c>
      <c r="F132" s="123">
        <v>41030</v>
      </c>
      <c r="G132" s="124">
        <v>44682</v>
      </c>
      <c r="H132" s="116">
        <v>2034.4</v>
      </c>
      <c r="I132" s="116" t="s">
        <v>13</v>
      </c>
      <c r="J132">
        <v>7429.5147999999999</v>
      </c>
      <c r="K132" s="116">
        <v>3449845.5545899998</v>
      </c>
      <c r="L132" t="s">
        <v>13</v>
      </c>
      <c r="M132" s="116">
        <v>2022</v>
      </c>
      <c r="N132" t="s">
        <v>13</v>
      </c>
    </row>
    <row r="133" spans="1:14" x14ac:dyDescent="0.25">
      <c r="A133" s="116">
        <v>131</v>
      </c>
      <c r="B133" s="117" t="s">
        <v>5414</v>
      </c>
      <c r="C133" s="117" t="s">
        <v>4139</v>
      </c>
      <c r="D133" s="123" t="s">
        <v>4141</v>
      </c>
      <c r="E133" s="123" t="s">
        <v>79</v>
      </c>
      <c r="F133" s="123">
        <v>41030</v>
      </c>
      <c r="G133" s="124">
        <v>44682</v>
      </c>
      <c r="H133" s="116">
        <v>1986.42</v>
      </c>
      <c r="I133" s="116" t="s">
        <v>13</v>
      </c>
      <c r="J133">
        <v>37587.078623000001</v>
      </c>
      <c r="K133" s="116">
        <v>9533839.1842199992</v>
      </c>
      <c r="L133" t="s">
        <v>13</v>
      </c>
      <c r="M133" s="116">
        <v>2022</v>
      </c>
      <c r="N133" t="s">
        <v>13</v>
      </c>
    </row>
    <row r="134" spans="1:14" x14ac:dyDescent="0.25">
      <c r="A134" s="116">
        <v>132</v>
      </c>
      <c r="B134" s="117" t="s">
        <v>5414</v>
      </c>
      <c r="C134" s="117" t="s">
        <v>4188</v>
      </c>
      <c r="D134" s="123" t="s">
        <v>4141</v>
      </c>
      <c r="E134" s="123" t="s">
        <v>79</v>
      </c>
      <c r="F134" s="123">
        <v>41030</v>
      </c>
      <c r="G134" s="124">
        <v>44682</v>
      </c>
      <c r="H134" s="116">
        <v>1829.57</v>
      </c>
      <c r="I134" s="116" t="s">
        <v>13</v>
      </c>
      <c r="J134">
        <v>24576.172399999999</v>
      </c>
      <c r="K134" s="116">
        <v>10151006.055600001</v>
      </c>
      <c r="L134" t="s">
        <v>13</v>
      </c>
      <c r="M134" s="116">
        <v>2022</v>
      </c>
      <c r="N134" t="s">
        <v>13</v>
      </c>
    </row>
    <row r="135" spans="1:14" x14ac:dyDescent="0.25">
      <c r="A135" s="116">
        <v>133</v>
      </c>
      <c r="B135" s="117" t="s">
        <v>5414</v>
      </c>
      <c r="C135" s="117" t="s">
        <v>4191</v>
      </c>
      <c r="D135" s="123" t="s">
        <v>4141</v>
      </c>
      <c r="E135" s="123" t="s">
        <v>79</v>
      </c>
      <c r="F135" s="123">
        <v>41030</v>
      </c>
      <c r="G135" s="124">
        <v>44682</v>
      </c>
      <c r="H135" s="116">
        <v>1912.8</v>
      </c>
      <c r="I135" s="116" t="s">
        <v>13</v>
      </c>
      <c r="J135">
        <v>21808.754649999999</v>
      </c>
      <c r="K135" s="116">
        <v>10088933.5295</v>
      </c>
      <c r="L135" t="s">
        <v>13</v>
      </c>
      <c r="M135" s="116">
        <v>2022</v>
      </c>
      <c r="N135" t="s">
        <v>13</v>
      </c>
    </row>
    <row r="136" spans="1:14" x14ac:dyDescent="0.25">
      <c r="A136" s="116">
        <v>134</v>
      </c>
      <c r="B136" s="117" t="s">
        <v>5414</v>
      </c>
      <c r="C136" s="117" t="s">
        <v>4194</v>
      </c>
      <c r="D136" s="123" t="s">
        <v>4141</v>
      </c>
      <c r="E136" s="123" t="s">
        <v>79</v>
      </c>
      <c r="F136" s="123">
        <v>41030</v>
      </c>
      <c r="G136" s="124">
        <v>44682</v>
      </c>
      <c r="H136" s="116">
        <v>2013.8</v>
      </c>
      <c r="I136" s="116" t="s">
        <v>13</v>
      </c>
      <c r="J136">
        <v>14959.021766</v>
      </c>
      <c r="K136" s="116">
        <v>7369297.7757700002</v>
      </c>
      <c r="L136" t="s">
        <v>13</v>
      </c>
      <c r="M136" s="116">
        <v>2022</v>
      </c>
      <c r="N136" t="s">
        <v>13</v>
      </c>
    </row>
    <row r="137" spans="1:14" x14ac:dyDescent="0.25">
      <c r="A137" s="116">
        <v>135</v>
      </c>
      <c r="B137" s="117" t="s">
        <v>5414</v>
      </c>
      <c r="C137" s="117" t="s">
        <v>4183</v>
      </c>
      <c r="D137" s="123" t="s">
        <v>4141</v>
      </c>
      <c r="E137" s="123" t="s">
        <v>79</v>
      </c>
      <c r="F137" s="123">
        <v>41030</v>
      </c>
      <c r="G137" s="124">
        <v>44682</v>
      </c>
      <c r="H137" s="116">
        <v>1911.26</v>
      </c>
      <c r="I137" s="116" t="s">
        <v>13</v>
      </c>
      <c r="J137">
        <v>14987.617115999999</v>
      </c>
      <c r="K137" s="116">
        <v>10432068.2597</v>
      </c>
      <c r="L137" t="s">
        <v>13</v>
      </c>
      <c r="M137" s="116">
        <v>2022</v>
      </c>
      <c r="N137" t="s">
        <v>13</v>
      </c>
    </row>
    <row r="138" spans="1:14" x14ac:dyDescent="0.25">
      <c r="A138" s="116">
        <v>136</v>
      </c>
      <c r="B138" s="117" t="s">
        <v>5414</v>
      </c>
      <c r="C138" s="117" t="s">
        <v>4197</v>
      </c>
      <c r="D138" s="123" t="s">
        <v>4141</v>
      </c>
      <c r="E138" s="123" t="s">
        <v>79</v>
      </c>
      <c r="F138" s="123">
        <v>41030</v>
      </c>
      <c r="G138" s="124">
        <v>44682</v>
      </c>
      <c r="H138" s="116">
        <v>1846.31</v>
      </c>
      <c r="I138" s="116" t="s">
        <v>13</v>
      </c>
      <c r="J138">
        <v>18742.431124999999</v>
      </c>
      <c r="K138" s="116">
        <v>10088454.0414</v>
      </c>
      <c r="L138" t="s">
        <v>13</v>
      </c>
      <c r="M138" s="116">
        <v>2022</v>
      </c>
      <c r="N138" t="s">
        <v>13</v>
      </c>
    </row>
    <row r="139" spans="1:14" x14ac:dyDescent="0.25">
      <c r="A139" s="116">
        <v>137</v>
      </c>
      <c r="B139" s="117" t="s">
        <v>5414</v>
      </c>
      <c r="C139" s="117" t="s">
        <v>4180</v>
      </c>
      <c r="D139" s="123" t="s">
        <v>4141</v>
      </c>
      <c r="E139" s="123" t="s">
        <v>79</v>
      </c>
      <c r="F139" s="123">
        <v>41030</v>
      </c>
      <c r="G139" s="124">
        <v>44682</v>
      </c>
      <c r="H139" s="116">
        <v>2007.17</v>
      </c>
      <c r="I139" s="116" t="s">
        <v>13</v>
      </c>
      <c r="J139">
        <v>32451.304499999998</v>
      </c>
      <c r="K139" s="116">
        <v>11144124.596100001</v>
      </c>
      <c r="L139" t="s">
        <v>13</v>
      </c>
      <c r="M139" s="116">
        <v>2022</v>
      </c>
      <c r="N139" t="s">
        <v>13</v>
      </c>
    </row>
    <row r="140" spans="1:14" x14ac:dyDescent="0.25">
      <c r="A140" s="116">
        <v>138</v>
      </c>
      <c r="B140" s="117" t="s">
        <v>5414</v>
      </c>
      <c r="C140" s="117" t="s">
        <v>4177</v>
      </c>
      <c r="D140" s="123" t="s">
        <v>4141</v>
      </c>
      <c r="E140" s="123" t="s">
        <v>79</v>
      </c>
      <c r="F140" s="123">
        <v>41030</v>
      </c>
      <c r="G140" s="124">
        <v>44682</v>
      </c>
      <c r="H140" s="116">
        <v>1984.97</v>
      </c>
      <c r="I140" s="116" t="s">
        <v>13</v>
      </c>
      <c r="J140">
        <v>17534.694</v>
      </c>
      <c r="K140" s="116">
        <v>10930130.3321</v>
      </c>
      <c r="L140" t="s">
        <v>13</v>
      </c>
      <c r="M140" s="116">
        <v>2022</v>
      </c>
      <c r="N140" t="s">
        <v>13</v>
      </c>
    </row>
    <row r="141" spans="1:14" x14ac:dyDescent="0.25">
      <c r="A141" s="116">
        <v>139</v>
      </c>
      <c r="B141" s="117" t="s">
        <v>5414</v>
      </c>
      <c r="C141" s="117" t="s">
        <v>4174</v>
      </c>
      <c r="D141" s="123" t="s">
        <v>4141</v>
      </c>
      <c r="E141" s="123" t="s">
        <v>79</v>
      </c>
      <c r="F141" s="123">
        <v>41030</v>
      </c>
      <c r="G141" s="124">
        <v>44682</v>
      </c>
      <c r="H141" s="116">
        <v>1710.44</v>
      </c>
      <c r="I141" s="116" t="s">
        <v>13</v>
      </c>
      <c r="J141">
        <v>33238.724161999999</v>
      </c>
      <c r="K141" s="116">
        <v>7678971.9681500001</v>
      </c>
      <c r="L141" t="s">
        <v>13</v>
      </c>
      <c r="M141" s="116">
        <v>2022</v>
      </c>
      <c r="N141" t="s">
        <v>13</v>
      </c>
    </row>
    <row r="142" spans="1:14" x14ac:dyDescent="0.25">
      <c r="A142" s="116">
        <v>140</v>
      </c>
      <c r="B142" s="117" t="s">
        <v>5414</v>
      </c>
      <c r="C142" s="117" t="s">
        <v>4185</v>
      </c>
      <c r="D142" s="123" t="s">
        <v>4141</v>
      </c>
      <c r="E142" s="123" t="s">
        <v>79</v>
      </c>
      <c r="F142" s="123">
        <v>41030</v>
      </c>
      <c r="G142" s="124">
        <v>44682</v>
      </c>
      <c r="H142" s="116">
        <v>2333.66</v>
      </c>
      <c r="I142" s="116" t="s">
        <v>13</v>
      </c>
      <c r="J142">
        <v>11358.278168999999</v>
      </c>
      <c r="K142" s="116">
        <v>7087796.2307599997</v>
      </c>
      <c r="L142" t="s">
        <v>13</v>
      </c>
      <c r="M142" s="116">
        <v>2022</v>
      </c>
      <c r="N142" t="s">
        <v>13</v>
      </c>
    </row>
    <row r="143" spans="1:14" x14ac:dyDescent="0.25">
      <c r="A143" s="116">
        <v>141</v>
      </c>
      <c r="B143" s="117" t="s">
        <v>5414</v>
      </c>
      <c r="C143" s="117" t="s">
        <v>4251</v>
      </c>
      <c r="D143" s="123" t="s">
        <v>4141</v>
      </c>
      <c r="E143" s="123" t="s">
        <v>79</v>
      </c>
      <c r="F143" s="123">
        <v>41122</v>
      </c>
      <c r="G143" s="124">
        <v>44774</v>
      </c>
      <c r="H143" s="116">
        <v>1998.57</v>
      </c>
      <c r="I143" s="116" t="s">
        <v>13</v>
      </c>
      <c r="J143">
        <v>15423.4558</v>
      </c>
      <c r="K143" s="116">
        <v>10862183.518300001</v>
      </c>
      <c r="L143" t="s">
        <v>13</v>
      </c>
      <c r="M143" s="116">
        <v>2022</v>
      </c>
      <c r="N143" t="s">
        <v>13</v>
      </c>
    </row>
    <row r="144" spans="1:14" x14ac:dyDescent="0.25">
      <c r="A144" s="116">
        <v>142</v>
      </c>
      <c r="B144" s="117" t="s">
        <v>5414</v>
      </c>
      <c r="C144" s="117" t="s">
        <v>4299</v>
      </c>
      <c r="D144" s="123" t="s">
        <v>4141</v>
      </c>
      <c r="E144" s="123" t="s">
        <v>79</v>
      </c>
      <c r="F144" s="123">
        <v>41122</v>
      </c>
      <c r="G144" s="124">
        <v>44774</v>
      </c>
      <c r="H144" s="116">
        <v>638.47</v>
      </c>
      <c r="I144" s="116" t="s">
        <v>13</v>
      </c>
      <c r="J144">
        <v>7638.4059999999999</v>
      </c>
      <c r="K144" s="116">
        <v>3646210.74871</v>
      </c>
      <c r="L144" t="s">
        <v>13</v>
      </c>
      <c r="M144" s="116">
        <v>2022</v>
      </c>
      <c r="N144" t="s">
        <v>13</v>
      </c>
    </row>
    <row r="145" spans="1:14" x14ac:dyDescent="0.25">
      <c r="A145" s="116">
        <v>143</v>
      </c>
      <c r="B145" s="117" t="s">
        <v>5414</v>
      </c>
      <c r="C145" s="117" t="s">
        <v>4263</v>
      </c>
      <c r="D145" s="123" t="s">
        <v>4141</v>
      </c>
      <c r="E145" s="123" t="s">
        <v>79</v>
      </c>
      <c r="F145" s="123">
        <v>41122</v>
      </c>
      <c r="G145" s="124">
        <v>44774</v>
      </c>
      <c r="H145" s="116">
        <v>636.63</v>
      </c>
      <c r="I145" s="116" t="s">
        <v>13</v>
      </c>
      <c r="J145">
        <v>7554.5907999999999</v>
      </c>
      <c r="K145" s="116">
        <v>3566969.7801799998</v>
      </c>
      <c r="L145" t="s">
        <v>13</v>
      </c>
      <c r="M145" s="116">
        <v>2022</v>
      </c>
      <c r="N145" t="s">
        <v>13</v>
      </c>
    </row>
    <row r="146" spans="1:14" x14ac:dyDescent="0.25">
      <c r="A146" s="116">
        <v>144</v>
      </c>
      <c r="B146" s="117" t="s">
        <v>5414</v>
      </c>
      <c r="C146" s="117" t="s">
        <v>4260</v>
      </c>
      <c r="D146" s="123" t="s">
        <v>4141</v>
      </c>
      <c r="E146" s="123" t="s">
        <v>79</v>
      </c>
      <c r="F146" s="123">
        <v>41122</v>
      </c>
      <c r="G146" s="124">
        <v>44774</v>
      </c>
      <c r="H146" s="116">
        <v>1154.67</v>
      </c>
      <c r="I146" s="116" t="s">
        <v>13</v>
      </c>
      <c r="J146">
        <v>12933.5756</v>
      </c>
      <c r="K146" s="116">
        <v>4491518.5620799996</v>
      </c>
      <c r="L146" t="s">
        <v>13</v>
      </c>
      <c r="M146" s="116">
        <v>2022</v>
      </c>
      <c r="N146" t="s">
        <v>13</v>
      </c>
    </row>
    <row r="147" spans="1:14" x14ac:dyDescent="0.25">
      <c r="A147" s="116">
        <v>145</v>
      </c>
      <c r="B147" s="117" t="s">
        <v>5414</v>
      </c>
      <c r="C147" s="117" t="s">
        <v>4266</v>
      </c>
      <c r="D147" s="123" t="s">
        <v>4141</v>
      </c>
      <c r="E147" s="123" t="s">
        <v>79</v>
      </c>
      <c r="F147" s="123">
        <v>41122</v>
      </c>
      <c r="G147" s="124">
        <v>44774</v>
      </c>
      <c r="H147" s="116">
        <v>636.32000000000005</v>
      </c>
      <c r="I147" s="116" t="s">
        <v>13</v>
      </c>
      <c r="J147">
        <v>7585.6566000000003</v>
      </c>
      <c r="K147" s="116">
        <v>3596386.4524599998</v>
      </c>
      <c r="L147" t="s">
        <v>13</v>
      </c>
      <c r="M147" s="116">
        <v>2022</v>
      </c>
      <c r="N147" t="s">
        <v>13</v>
      </c>
    </row>
    <row r="148" spans="1:14" x14ac:dyDescent="0.25">
      <c r="A148" s="116">
        <v>146</v>
      </c>
      <c r="B148" s="117" t="s">
        <v>5414</v>
      </c>
      <c r="C148" s="117" t="s">
        <v>4293</v>
      </c>
      <c r="D148" s="123" t="s">
        <v>4141</v>
      </c>
      <c r="E148" s="123" t="s">
        <v>79</v>
      </c>
      <c r="F148" s="123">
        <v>41122</v>
      </c>
      <c r="G148" s="124">
        <v>44774</v>
      </c>
      <c r="H148" s="116">
        <v>636.72</v>
      </c>
      <c r="I148" s="116" t="s">
        <v>13</v>
      </c>
      <c r="J148">
        <v>7642.9336000000003</v>
      </c>
      <c r="K148" s="116">
        <v>3650469.23208</v>
      </c>
      <c r="L148" t="s">
        <v>13</v>
      </c>
      <c r="M148" s="116">
        <v>2022</v>
      </c>
      <c r="N148" t="s">
        <v>13</v>
      </c>
    </row>
    <row r="149" spans="1:14" x14ac:dyDescent="0.25">
      <c r="A149" s="116">
        <v>147</v>
      </c>
      <c r="B149" s="117" t="s">
        <v>5414</v>
      </c>
      <c r="C149" s="117" t="s">
        <v>4291</v>
      </c>
      <c r="D149" s="123" t="s">
        <v>4141</v>
      </c>
      <c r="E149" s="123" t="s">
        <v>79</v>
      </c>
      <c r="F149" s="123">
        <v>41122</v>
      </c>
      <c r="G149" s="124">
        <v>44774</v>
      </c>
      <c r="H149" s="116">
        <v>636.67999999999995</v>
      </c>
      <c r="I149" s="116" t="s">
        <v>13</v>
      </c>
      <c r="J149">
        <v>7461.3660609999997</v>
      </c>
      <c r="K149" s="116">
        <v>3478837.5693700002</v>
      </c>
      <c r="L149" t="s">
        <v>13</v>
      </c>
      <c r="M149" s="116">
        <v>2022</v>
      </c>
      <c r="N149" t="s">
        <v>13</v>
      </c>
    </row>
    <row r="150" spans="1:14" x14ac:dyDescent="0.25">
      <c r="A150" s="116">
        <v>148</v>
      </c>
      <c r="B150" s="117" t="s">
        <v>5414</v>
      </c>
      <c r="C150" s="117" t="s">
        <v>4296</v>
      </c>
      <c r="D150" s="123" t="s">
        <v>4141</v>
      </c>
      <c r="E150" s="123" t="s">
        <v>79</v>
      </c>
      <c r="F150" s="123">
        <v>41122</v>
      </c>
      <c r="G150" s="124">
        <v>44774</v>
      </c>
      <c r="H150" s="116">
        <v>636.67999999999995</v>
      </c>
      <c r="I150" s="116" t="s">
        <v>13</v>
      </c>
      <c r="J150">
        <v>7668.9452259999998</v>
      </c>
      <c r="K150" s="116">
        <v>3670913.1441700002</v>
      </c>
      <c r="L150" t="s">
        <v>13</v>
      </c>
      <c r="M150" s="116">
        <v>2022</v>
      </c>
      <c r="N150" t="s">
        <v>13</v>
      </c>
    </row>
    <row r="151" spans="1:14" x14ac:dyDescent="0.25">
      <c r="A151" s="116">
        <v>149</v>
      </c>
      <c r="B151" s="117" t="s">
        <v>5414</v>
      </c>
      <c r="C151" s="117" t="s">
        <v>4231</v>
      </c>
      <c r="D151" s="123" t="s">
        <v>4141</v>
      </c>
      <c r="E151" s="123" t="s">
        <v>79</v>
      </c>
      <c r="F151" s="123">
        <v>41122</v>
      </c>
      <c r="G151" s="124">
        <v>44774</v>
      </c>
      <c r="H151" s="116">
        <v>637.4</v>
      </c>
      <c r="I151" s="116" t="s">
        <v>13</v>
      </c>
      <c r="J151">
        <v>7628.0451220000004</v>
      </c>
      <c r="K151" s="116">
        <v>3634457.0213700002</v>
      </c>
      <c r="L151" t="s">
        <v>13</v>
      </c>
      <c r="M151" s="116">
        <v>2022</v>
      </c>
      <c r="N151" t="s">
        <v>13</v>
      </c>
    </row>
    <row r="152" spans="1:14" x14ac:dyDescent="0.25">
      <c r="A152" s="116">
        <v>150</v>
      </c>
      <c r="B152" s="117" t="s">
        <v>5414</v>
      </c>
      <c r="C152" s="117" t="s">
        <v>4283</v>
      </c>
      <c r="D152" s="123" t="s">
        <v>4141</v>
      </c>
      <c r="E152" s="123" t="s">
        <v>79</v>
      </c>
      <c r="F152" s="123">
        <v>41122</v>
      </c>
      <c r="G152" s="124">
        <v>44774</v>
      </c>
      <c r="H152" s="116">
        <v>636.52</v>
      </c>
      <c r="I152" s="116" t="s">
        <v>13</v>
      </c>
      <c r="J152">
        <v>7589.3937269999997</v>
      </c>
      <c r="K152" s="116">
        <v>3598884.8780700001</v>
      </c>
      <c r="L152" t="s">
        <v>13</v>
      </c>
      <c r="M152" s="116">
        <v>2022</v>
      </c>
      <c r="N152" t="s">
        <v>13</v>
      </c>
    </row>
    <row r="153" spans="1:14" x14ac:dyDescent="0.25">
      <c r="A153" s="116">
        <v>151</v>
      </c>
      <c r="B153" s="117" t="s">
        <v>5414</v>
      </c>
      <c r="C153" s="117" t="s">
        <v>4280</v>
      </c>
      <c r="D153" s="123" t="s">
        <v>4141</v>
      </c>
      <c r="E153" s="123" t="s">
        <v>79</v>
      </c>
      <c r="F153" s="123">
        <v>41122</v>
      </c>
      <c r="G153" s="124">
        <v>44774</v>
      </c>
      <c r="H153" s="116">
        <v>591.1</v>
      </c>
      <c r="I153" s="116" t="s">
        <v>13</v>
      </c>
      <c r="J153">
        <v>8502.2458000000006</v>
      </c>
      <c r="K153" s="116">
        <v>3357975.9968300001</v>
      </c>
      <c r="L153" t="s">
        <v>13</v>
      </c>
      <c r="M153" s="116">
        <v>2022</v>
      </c>
      <c r="N153" t="s">
        <v>13</v>
      </c>
    </row>
    <row r="154" spans="1:14" x14ac:dyDescent="0.25">
      <c r="A154" s="116">
        <v>152</v>
      </c>
      <c r="B154" s="117" t="s">
        <v>5414</v>
      </c>
      <c r="C154" s="117" t="s">
        <v>4234</v>
      </c>
      <c r="D154" s="123" t="s">
        <v>4141</v>
      </c>
      <c r="E154" s="123" t="s">
        <v>79</v>
      </c>
      <c r="F154" s="123">
        <v>41122</v>
      </c>
      <c r="G154" s="124">
        <v>44774</v>
      </c>
      <c r="H154" s="116">
        <v>1274</v>
      </c>
      <c r="I154" s="116" t="s">
        <v>13</v>
      </c>
      <c r="J154">
        <v>11282.416422</v>
      </c>
      <c r="K154" s="116">
        <v>7099316.5607399996</v>
      </c>
      <c r="L154" t="s">
        <v>13</v>
      </c>
      <c r="M154" s="116">
        <v>2022</v>
      </c>
      <c r="N154" t="s">
        <v>13</v>
      </c>
    </row>
    <row r="155" spans="1:14" x14ac:dyDescent="0.25">
      <c r="A155" s="116">
        <v>153</v>
      </c>
      <c r="B155" s="117" t="s">
        <v>5414</v>
      </c>
      <c r="C155" s="117" t="s">
        <v>4277</v>
      </c>
      <c r="D155" s="123" t="s">
        <v>4141</v>
      </c>
      <c r="E155" s="123" t="s">
        <v>79</v>
      </c>
      <c r="F155" s="123">
        <v>41122</v>
      </c>
      <c r="G155" s="124">
        <v>44774</v>
      </c>
      <c r="H155" s="116">
        <v>637.76</v>
      </c>
      <c r="I155" s="116" t="s">
        <v>13</v>
      </c>
      <c r="J155">
        <v>7641.3231999999998</v>
      </c>
      <c r="K155" s="116">
        <v>3649362.56947</v>
      </c>
      <c r="L155" t="s">
        <v>13</v>
      </c>
      <c r="M155" s="116">
        <v>2022</v>
      </c>
      <c r="N155" t="s">
        <v>13</v>
      </c>
    </row>
    <row r="156" spans="1:14" x14ac:dyDescent="0.25">
      <c r="A156" s="116">
        <v>154</v>
      </c>
      <c r="B156" s="117" t="s">
        <v>5414</v>
      </c>
      <c r="C156" s="117" t="s">
        <v>4237</v>
      </c>
      <c r="D156" s="123" t="s">
        <v>4141</v>
      </c>
      <c r="E156" s="123" t="s">
        <v>79</v>
      </c>
      <c r="F156" s="123">
        <v>41122</v>
      </c>
      <c r="G156" s="124">
        <v>44774</v>
      </c>
      <c r="H156" s="116">
        <v>2054.08</v>
      </c>
      <c r="I156" s="116" t="s">
        <v>13</v>
      </c>
      <c r="J156">
        <v>15378.512665</v>
      </c>
      <c r="K156" s="116">
        <v>11293435.5266</v>
      </c>
      <c r="L156" t="s">
        <v>13</v>
      </c>
      <c r="M156" s="116">
        <v>2022</v>
      </c>
      <c r="N156" t="s">
        <v>13</v>
      </c>
    </row>
    <row r="157" spans="1:14" x14ac:dyDescent="0.25">
      <c r="A157" s="116">
        <v>155</v>
      </c>
      <c r="B157" s="117" t="s">
        <v>5414</v>
      </c>
      <c r="C157" s="117" t="s">
        <v>4275</v>
      </c>
      <c r="D157" s="123" t="s">
        <v>4141</v>
      </c>
      <c r="E157" s="123" t="s">
        <v>79</v>
      </c>
      <c r="F157" s="123">
        <v>41122</v>
      </c>
      <c r="G157" s="124">
        <v>44774</v>
      </c>
      <c r="H157" s="116">
        <v>1588.4</v>
      </c>
      <c r="I157" s="116" t="s">
        <v>13</v>
      </c>
      <c r="J157">
        <v>26372.328000000001</v>
      </c>
      <c r="K157" s="116">
        <v>9169551.2816799991</v>
      </c>
      <c r="L157" t="s">
        <v>13</v>
      </c>
      <c r="M157" s="116">
        <v>2022</v>
      </c>
      <c r="N157" t="s">
        <v>13</v>
      </c>
    </row>
    <row r="158" spans="1:14" x14ac:dyDescent="0.25">
      <c r="A158" s="116">
        <v>156</v>
      </c>
      <c r="B158" s="117" t="s">
        <v>5414</v>
      </c>
      <c r="C158" s="117" t="s">
        <v>4240</v>
      </c>
      <c r="D158" s="123" t="s">
        <v>4141</v>
      </c>
      <c r="E158" s="123" t="s">
        <v>79</v>
      </c>
      <c r="F158" s="123">
        <v>41122</v>
      </c>
      <c r="G158" s="124">
        <v>44774</v>
      </c>
      <c r="H158" s="116">
        <v>1911.48</v>
      </c>
      <c r="I158" s="116" t="s">
        <v>13</v>
      </c>
      <c r="J158">
        <v>14955.546925000001</v>
      </c>
      <c r="K158" s="116">
        <v>10530563.207699999</v>
      </c>
      <c r="L158" t="s">
        <v>13</v>
      </c>
      <c r="M158" s="116">
        <v>2022</v>
      </c>
      <c r="N158" t="s">
        <v>13</v>
      </c>
    </row>
    <row r="159" spans="1:14" x14ac:dyDescent="0.25">
      <c r="A159" s="116">
        <v>157</v>
      </c>
      <c r="B159" s="117" t="s">
        <v>5414</v>
      </c>
      <c r="C159" s="117" t="s">
        <v>4289</v>
      </c>
      <c r="D159" s="123" t="s">
        <v>4141</v>
      </c>
      <c r="E159" s="123" t="s">
        <v>79</v>
      </c>
      <c r="F159" s="123">
        <v>41122</v>
      </c>
      <c r="G159" s="124">
        <v>44774</v>
      </c>
      <c r="H159" s="116">
        <v>2498.37</v>
      </c>
      <c r="I159" s="116" t="s">
        <v>13</v>
      </c>
      <c r="J159">
        <v>21048.632269999998</v>
      </c>
      <c r="K159" s="116">
        <v>14059045.8675</v>
      </c>
      <c r="L159" t="s">
        <v>13</v>
      </c>
      <c r="M159" s="116">
        <v>2022</v>
      </c>
      <c r="N159" t="s">
        <v>13</v>
      </c>
    </row>
    <row r="160" spans="1:14" x14ac:dyDescent="0.25">
      <c r="A160" s="116">
        <v>158</v>
      </c>
      <c r="B160" s="117" t="s">
        <v>5414</v>
      </c>
      <c r="C160" s="117" t="s">
        <v>4286</v>
      </c>
      <c r="D160" s="123" t="s">
        <v>4141</v>
      </c>
      <c r="E160" s="123" t="s">
        <v>79</v>
      </c>
      <c r="F160" s="123">
        <v>41122</v>
      </c>
      <c r="G160" s="124">
        <v>44774</v>
      </c>
      <c r="H160" s="116">
        <v>89.1</v>
      </c>
      <c r="I160" s="116" t="s">
        <v>13</v>
      </c>
      <c r="J160">
        <v>3725.3407999999999</v>
      </c>
      <c r="K160" s="116">
        <v>492916.53474099998</v>
      </c>
      <c r="L160" t="s">
        <v>13</v>
      </c>
      <c r="M160" s="116">
        <v>2022</v>
      </c>
      <c r="N160" t="s">
        <v>13</v>
      </c>
    </row>
    <row r="161" spans="1:14" x14ac:dyDescent="0.25">
      <c r="A161" s="116">
        <v>159</v>
      </c>
      <c r="B161" s="117" t="s">
        <v>5414</v>
      </c>
      <c r="C161" s="117" t="s">
        <v>2854</v>
      </c>
      <c r="D161" s="123" t="s">
        <v>2831</v>
      </c>
      <c r="E161" s="123" t="s">
        <v>79</v>
      </c>
      <c r="F161" s="123">
        <v>40422</v>
      </c>
      <c r="G161" s="124">
        <v>44075</v>
      </c>
      <c r="H161" s="116">
        <v>110</v>
      </c>
      <c r="I161" s="116" t="s">
        <v>13</v>
      </c>
      <c r="J161">
        <v>4497.9255999999996</v>
      </c>
      <c r="K161" s="116">
        <v>655243.20204100001</v>
      </c>
      <c r="L161" t="s">
        <v>13</v>
      </c>
      <c r="M161" s="116">
        <v>2020</v>
      </c>
      <c r="N161" t="s">
        <v>13</v>
      </c>
    </row>
    <row r="162" spans="1:14" x14ac:dyDescent="0.25">
      <c r="A162" s="116">
        <v>160</v>
      </c>
      <c r="B162" s="117" t="s">
        <v>5414</v>
      </c>
      <c r="C162" s="117" t="s">
        <v>2852</v>
      </c>
      <c r="D162" s="123" t="s">
        <v>2831</v>
      </c>
      <c r="E162" s="123" t="s">
        <v>79</v>
      </c>
      <c r="F162" s="123">
        <v>40422</v>
      </c>
      <c r="G162" s="124">
        <v>44075</v>
      </c>
      <c r="H162" s="116">
        <v>159.91999999999999</v>
      </c>
      <c r="I162" s="116" t="s">
        <v>13</v>
      </c>
      <c r="J162">
        <v>5654.2096000000001</v>
      </c>
      <c r="K162" s="116">
        <v>887774.24475499999</v>
      </c>
      <c r="L162" t="s">
        <v>13</v>
      </c>
      <c r="M162" s="116">
        <v>2020</v>
      </c>
      <c r="N162" t="s">
        <v>13</v>
      </c>
    </row>
    <row r="163" spans="1:14" x14ac:dyDescent="0.25">
      <c r="A163" s="116">
        <v>161</v>
      </c>
      <c r="B163" s="117" t="s">
        <v>5414</v>
      </c>
      <c r="C163" s="117" t="s">
        <v>2845</v>
      </c>
      <c r="D163" s="123" t="s">
        <v>2831</v>
      </c>
      <c r="E163" s="123" t="s">
        <v>79</v>
      </c>
      <c r="F163" s="123">
        <v>40422</v>
      </c>
      <c r="G163" s="124">
        <v>44075</v>
      </c>
      <c r="H163" s="116">
        <v>634.84</v>
      </c>
      <c r="I163" s="116" t="s">
        <v>13</v>
      </c>
      <c r="J163">
        <v>7535.3486000000003</v>
      </c>
      <c r="K163" s="116">
        <v>3548142.3634299999</v>
      </c>
      <c r="L163" t="s">
        <v>13</v>
      </c>
      <c r="M163" s="116">
        <v>2020</v>
      </c>
      <c r="N163" t="s">
        <v>13</v>
      </c>
    </row>
    <row r="164" spans="1:14" x14ac:dyDescent="0.25">
      <c r="A164" s="116">
        <v>162</v>
      </c>
      <c r="B164" s="117" t="s">
        <v>5414</v>
      </c>
      <c r="C164" s="117" t="s">
        <v>2842</v>
      </c>
      <c r="D164" s="123" t="s">
        <v>2831</v>
      </c>
      <c r="E164" s="123" t="s">
        <v>79</v>
      </c>
      <c r="F164" s="123">
        <v>40422</v>
      </c>
      <c r="G164" s="124">
        <v>44075</v>
      </c>
      <c r="H164" s="116">
        <v>30.44</v>
      </c>
      <c r="I164" s="116" t="s">
        <v>13</v>
      </c>
      <c r="J164">
        <v>1661.5868</v>
      </c>
      <c r="K164" s="116">
        <v>169467.21585400001</v>
      </c>
      <c r="L164" t="s">
        <v>13</v>
      </c>
      <c r="M164" s="116">
        <v>2020</v>
      </c>
      <c r="N164" t="s">
        <v>13</v>
      </c>
    </row>
    <row r="165" spans="1:14" x14ac:dyDescent="0.25">
      <c r="A165" s="116">
        <v>163</v>
      </c>
      <c r="B165" s="117" t="s">
        <v>5414</v>
      </c>
      <c r="C165" s="117" t="s">
        <v>2839</v>
      </c>
      <c r="D165" s="123" t="s">
        <v>2831</v>
      </c>
      <c r="E165" s="123" t="s">
        <v>79</v>
      </c>
      <c r="F165" s="123">
        <v>40422</v>
      </c>
      <c r="G165" s="124">
        <v>44075</v>
      </c>
      <c r="H165" s="116">
        <v>40.08</v>
      </c>
      <c r="I165" s="116" t="s">
        <v>13</v>
      </c>
      <c r="J165">
        <v>1873.2538</v>
      </c>
      <c r="K165" s="116">
        <v>219310.48693099999</v>
      </c>
      <c r="L165" t="s">
        <v>13</v>
      </c>
      <c r="M165" s="116">
        <v>2020</v>
      </c>
      <c r="N165" t="s">
        <v>13</v>
      </c>
    </row>
    <row r="166" spans="1:14" x14ac:dyDescent="0.25">
      <c r="A166" s="116">
        <v>164</v>
      </c>
      <c r="B166" s="117" t="s">
        <v>5414</v>
      </c>
      <c r="C166" s="117" t="s">
        <v>2834</v>
      </c>
      <c r="D166" s="123" t="s">
        <v>2831</v>
      </c>
      <c r="E166" s="123" t="s">
        <v>79</v>
      </c>
      <c r="F166" s="123">
        <v>40422</v>
      </c>
      <c r="G166" s="124">
        <v>44075</v>
      </c>
      <c r="H166" s="116">
        <v>239.92</v>
      </c>
      <c r="I166" s="116" t="s">
        <v>13</v>
      </c>
      <c r="J166">
        <v>4742.5450000000001</v>
      </c>
      <c r="K166" s="116">
        <v>1347545.3363999999</v>
      </c>
      <c r="L166" t="s">
        <v>13</v>
      </c>
      <c r="M166" s="116">
        <v>2020</v>
      </c>
      <c r="N166" t="s">
        <v>13</v>
      </c>
    </row>
    <row r="167" spans="1:14" x14ac:dyDescent="0.25">
      <c r="A167" s="116">
        <v>165</v>
      </c>
      <c r="B167" s="117" t="s">
        <v>5414</v>
      </c>
      <c r="C167" s="117" t="s">
        <v>2285</v>
      </c>
      <c r="D167" s="123" t="s">
        <v>3923</v>
      </c>
      <c r="E167" s="123" t="s">
        <v>79</v>
      </c>
      <c r="F167" s="123">
        <v>39692</v>
      </c>
      <c r="G167" s="124">
        <v>44075</v>
      </c>
      <c r="H167" s="116">
        <v>613.97</v>
      </c>
      <c r="I167" s="116" t="s">
        <v>13</v>
      </c>
      <c r="J167">
        <v>7534.2637999999997</v>
      </c>
      <c r="K167" s="116">
        <v>3314316.6053200001</v>
      </c>
      <c r="L167" t="s">
        <v>13</v>
      </c>
      <c r="M167" s="116">
        <v>2020</v>
      </c>
      <c r="N167" t="s">
        <v>13</v>
      </c>
    </row>
    <row r="168" spans="1:14" x14ac:dyDescent="0.25">
      <c r="A168" s="116">
        <v>166</v>
      </c>
      <c r="B168" s="117" t="s">
        <v>5414</v>
      </c>
      <c r="C168" s="117" t="s">
        <v>2283</v>
      </c>
      <c r="D168" s="123" t="s">
        <v>3923</v>
      </c>
      <c r="E168" s="123" t="s">
        <v>79</v>
      </c>
      <c r="F168" s="123">
        <v>39692</v>
      </c>
      <c r="G168" s="124">
        <v>44075</v>
      </c>
      <c r="H168" s="116">
        <v>641.82000000000005</v>
      </c>
      <c r="I168" s="116" t="s">
        <v>13</v>
      </c>
      <c r="J168">
        <v>7455.7560000000003</v>
      </c>
      <c r="K168" s="116">
        <v>3473339.4738699999</v>
      </c>
      <c r="L168" t="s">
        <v>13</v>
      </c>
      <c r="M168" s="116">
        <v>2020</v>
      </c>
      <c r="N168" t="s">
        <v>13</v>
      </c>
    </row>
    <row r="169" spans="1:14" x14ac:dyDescent="0.25">
      <c r="A169" s="116">
        <v>167</v>
      </c>
      <c r="B169" s="117" t="s">
        <v>5414</v>
      </c>
      <c r="C169" s="117" t="s">
        <v>2281</v>
      </c>
      <c r="D169" s="123" t="s">
        <v>3923</v>
      </c>
      <c r="E169" s="123" t="s">
        <v>79</v>
      </c>
      <c r="F169" s="123">
        <v>39692</v>
      </c>
      <c r="G169" s="124">
        <v>44075</v>
      </c>
      <c r="H169" s="116">
        <v>640.46</v>
      </c>
      <c r="I169" s="116" t="s">
        <v>13</v>
      </c>
      <c r="J169">
        <v>7466.7728500000003</v>
      </c>
      <c r="K169" s="116">
        <v>3483500.1899899999</v>
      </c>
      <c r="L169" t="s">
        <v>13</v>
      </c>
      <c r="M169" s="116">
        <v>2020</v>
      </c>
      <c r="N169" t="s">
        <v>13</v>
      </c>
    </row>
    <row r="170" spans="1:14" x14ac:dyDescent="0.25">
      <c r="A170" s="116">
        <v>168</v>
      </c>
      <c r="B170" s="117" t="s">
        <v>5414</v>
      </c>
      <c r="C170" s="117" t="s">
        <v>2279</v>
      </c>
      <c r="D170" s="123" t="s">
        <v>3923</v>
      </c>
      <c r="E170" s="123" t="s">
        <v>79</v>
      </c>
      <c r="F170" s="123">
        <v>39692</v>
      </c>
      <c r="G170" s="124">
        <v>44075</v>
      </c>
      <c r="H170" s="116">
        <v>634.57000000000005</v>
      </c>
      <c r="I170" s="116" t="s">
        <v>13</v>
      </c>
      <c r="J170">
        <v>8401.7829999999994</v>
      </c>
      <c r="K170" s="116">
        <v>3263190.9857800002</v>
      </c>
      <c r="L170" t="s">
        <v>13</v>
      </c>
      <c r="M170" s="116">
        <v>2020</v>
      </c>
      <c r="N170" t="s">
        <v>13</v>
      </c>
    </row>
    <row r="171" spans="1:14" x14ac:dyDescent="0.25">
      <c r="A171" s="116">
        <v>169</v>
      </c>
      <c r="B171" s="117" t="s">
        <v>5414</v>
      </c>
      <c r="C171" s="117" t="s">
        <v>2277</v>
      </c>
      <c r="D171" s="123" t="s">
        <v>3923</v>
      </c>
      <c r="E171" s="123" t="s">
        <v>79</v>
      </c>
      <c r="F171" s="123">
        <v>39692</v>
      </c>
      <c r="G171" s="124">
        <v>44075</v>
      </c>
      <c r="H171" s="116">
        <v>644.08000000000004</v>
      </c>
      <c r="I171" s="116" t="s">
        <v>13</v>
      </c>
      <c r="J171">
        <v>7567.7399219999998</v>
      </c>
      <c r="K171" s="116">
        <v>3577779.39182</v>
      </c>
      <c r="L171" t="s">
        <v>13</v>
      </c>
      <c r="M171" s="116">
        <v>2020</v>
      </c>
      <c r="N171" t="s">
        <v>13</v>
      </c>
    </row>
    <row r="172" spans="1:14" x14ac:dyDescent="0.25">
      <c r="A172" s="116">
        <v>170</v>
      </c>
      <c r="B172" s="117" t="s">
        <v>5414</v>
      </c>
      <c r="C172" s="117" t="s">
        <v>2275</v>
      </c>
      <c r="D172" s="123" t="s">
        <v>3923</v>
      </c>
      <c r="E172" s="123" t="s">
        <v>79</v>
      </c>
      <c r="F172" s="123">
        <v>39692</v>
      </c>
      <c r="G172" s="124">
        <v>44075</v>
      </c>
      <c r="H172" s="116">
        <v>567.77</v>
      </c>
      <c r="I172" s="116" t="s">
        <v>13</v>
      </c>
      <c r="J172">
        <v>9469.6766000000007</v>
      </c>
      <c r="K172" s="116">
        <v>3154508.68359</v>
      </c>
      <c r="L172" t="s">
        <v>13</v>
      </c>
      <c r="M172" s="116">
        <v>2020</v>
      </c>
      <c r="N172" t="s">
        <v>13</v>
      </c>
    </row>
    <row r="173" spans="1:14" x14ac:dyDescent="0.25">
      <c r="A173" s="116">
        <v>171</v>
      </c>
      <c r="B173" s="117" t="s">
        <v>5414</v>
      </c>
      <c r="C173" s="117" t="s">
        <v>2273</v>
      </c>
      <c r="D173" s="123" t="s">
        <v>3923</v>
      </c>
      <c r="E173" s="123" t="s">
        <v>79</v>
      </c>
      <c r="F173" s="123">
        <v>39692</v>
      </c>
      <c r="G173" s="124">
        <v>44075</v>
      </c>
      <c r="H173" s="116">
        <v>648.34</v>
      </c>
      <c r="I173" s="116" t="s">
        <v>13</v>
      </c>
      <c r="J173">
        <v>7583.6318659999997</v>
      </c>
      <c r="K173" s="116">
        <v>3593505.54953</v>
      </c>
      <c r="L173" t="s">
        <v>13</v>
      </c>
      <c r="M173" s="116">
        <v>2020</v>
      </c>
      <c r="N173" t="s">
        <v>13</v>
      </c>
    </row>
    <row r="174" spans="1:14" x14ac:dyDescent="0.25">
      <c r="A174" s="116">
        <v>172</v>
      </c>
      <c r="B174" s="117" t="s">
        <v>5414</v>
      </c>
      <c r="C174" s="117" t="s">
        <v>2271</v>
      </c>
      <c r="D174" s="123" t="s">
        <v>3923</v>
      </c>
      <c r="E174" s="123" t="s">
        <v>79</v>
      </c>
      <c r="F174" s="123">
        <v>39692</v>
      </c>
      <c r="G174" s="124">
        <v>44075</v>
      </c>
      <c r="H174" s="116">
        <v>649.20000000000005</v>
      </c>
      <c r="I174" s="116" t="s">
        <v>13</v>
      </c>
      <c r="J174">
        <v>7576.8567999999996</v>
      </c>
      <c r="K174" s="116">
        <v>3588021.5752099999</v>
      </c>
      <c r="L174" t="s">
        <v>13</v>
      </c>
      <c r="M174" s="116">
        <v>2020</v>
      </c>
      <c r="N174" t="s">
        <v>13</v>
      </c>
    </row>
    <row r="175" spans="1:14" x14ac:dyDescent="0.25">
      <c r="A175" s="116">
        <v>173</v>
      </c>
      <c r="B175" s="117" t="s">
        <v>5414</v>
      </c>
      <c r="C175" s="117" t="s">
        <v>2269</v>
      </c>
      <c r="D175" s="123" t="s">
        <v>3923</v>
      </c>
      <c r="E175" s="123" t="s">
        <v>79</v>
      </c>
      <c r="F175" s="123">
        <v>39692</v>
      </c>
      <c r="G175" s="124">
        <v>44075</v>
      </c>
      <c r="H175" s="116">
        <v>181.1</v>
      </c>
      <c r="I175" s="116" t="s">
        <v>13</v>
      </c>
      <c r="J175">
        <v>6114.3707000000004</v>
      </c>
      <c r="K175" s="116">
        <v>1014551.85225</v>
      </c>
      <c r="L175" t="s">
        <v>13</v>
      </c>
      <c r="M175" s="116">
        <v>2020</v>
      </c>
      <c r="N175" t="s">
        <v>13</v>
      </c>
    </row>
    <row r="176" spans="1:14" x14ac:dyDescent="0.25">
      <c r="A176" s="116">
        <v>174</v>
      </c>
      <c r="B176" s="117" t="s">
        <v>5414</v>
      </c>
      <c r="C176" s="117" t="s">
        <v>2267</v>
      </c>
      <c r="D176" s="123" t="s">
        <v>3923</v>
      </c>
      <c r="E176" s="123" t="s">
        <v>79</v>
      </c>
      <c r="F176" s="123">
        <v>39692</v>
      </c>
      <c r="G176" s="124">
        <v>44075</v>
      </c>
      <c r="H176" s="116">
        <v>465.01</v>
      </c>
      <c r="I176" s="116" t="s">
        <v>13</v>
      </c>
      <c r="J176">
        <v>6622.2339000000002</v>
      </c>
      <c r="K176" s="116">
        <v>1924986.4094799999</v>
      </c>
      <c r="L176" t="s">
        <v>13</v>
      </c>
      <c r="M176" s="116">
        <v>2020</v>
      </c>
      <c r="N176" t="s">
        <v>13</v>
      </c>
    </row>
    <row r="177" spans="1:14" x14ac:dyDescent="0.25">
      <c r="A177" s="116">
        <v>175</v>
      </c>
      <c r="B177" s="117" t="s">
        <v>5414</v>
      </c>
      <c r="C177" s="117" t="s">
        <v>2265</v>
      </c>
      <c r="D177" s="123" t="s">
        <v>3923</v>
      </c>
      <c r="E177" s="123" t="s">
        <v>79</v>
      </c>
      <c r="F177" s="123">
        <v>39692</v>
      </c>
      <c r="G177" s="124">
        <v>44075</v>
      </c>
      <c r="H177" s="116">
        <v>407.22</v>
      </c>
      <c r="I177" s="116" t="s">
        <v>13</v>
      </c>
      <c r="J177">
        <v>9509.6874000000007</v>
      </c>
      <c r="K177" s="116">
        <v>2273389.8571600001</v>
      </c>
      <c r="L177" t="s">
        <v>13</v>
      </c>
      <c r="M177" s="116">
        <v>2020</v>
      </c>
      <c r="N177" t="s">
        <v>13</v>
      </c>
    </row>
    <row r="178" spans="1:14" x14ac:dyDescent="0.25">
      <c r="A178" s="116">
        <v>176</v>
      </c>
      <c r="B178" s="117" t="s">
        <v>5414</v>
      </c>
      <c r="C178" s="117" t="s">
        <v>2255</v>
      </c>
      <c r="D178" s="123" t="s">
        <v>3923</v>
      </c>
      <c r="E178" s="123" t="s">
        <v>79</v>
      </c>
      <c r="F178" s="123">
        <v>39692</v>
      </c>
      <c r="G178" s="124">
        <v>44075</v>
      </c>
      <c r="H178" s="116">
        <v>643.52</v>
      </c>
      <c r="I178" s="116" t="s">
        <v>13</v>
      </c>
      <c r="J178">
        <v>7528.6971999999996</v>
      </c>
      <c r="K178" s="116">
        <v>3542574.59045</v>
      </c>
      <c r="L178" t="s">
        <v>13</v>
      </c>
      <c r="M178" s="116">
        <v>2020</v>
      </c>
      <c r="N178" t="s">
        <v>13</v>
      </c>
    </row>
    <row r="179" spans="1:14" x14ac:dyDescent="0.25">
      <c r="A179" s="116">
        <v>177</v>
      </c>
      <c r="B179" s="117" t="s">
        <v>5414</v>
      </c>
      <c r="C179" s="117" t="s">
        <v>2253</v>
      </c>
      <c r="D179" s="123" t="s">
        <v>3923</v>
      </c>
      <c r="E179" s="123" t="s">
        <v>79</v>
      </c>
      <c r="F179" s="123">
        <v>39692</v>
      </c>
      <c r="G179" s="124">
        <v>44075</v>
      </c>
      <c r="H179" s="116">
        <v>642.64</v>
      </c>
      <c r="I179" s="116" t="s">
        <v>13</v>
      </c>
      <c r="J179">
        <v>7543.6229119999998</v>
      </c>
      <c r="K179" s="116">
        <v>3556808.6998999999</v>
      </c>
      <c r="L179" t="s">
        <v>13</v>
      </c>
      <c r="M179" s="116">
        <v>2020</v>
      </c>
      <c r="N179" t="s">
        <v>13</v>
      </c>
    </row>
    <row r="180" spans="1:14" x14ac:dyDescent="0.25">
      <c r="A180" s="116">
        <v>178</v>
      </c>
      <c r="B180" s="117" t="s">
        <v>5414</v>
      </c>
      <c r="C180" s="117" t="s">
        <v>2263</v>
      </c>
      <c r="D180" s="123" t="s">
        <v>3923</v>
      </c>
      <c r="E180" s="123" t="s">
        <v>79</v>
      </c>
      <c r="F180" s="123">
        <v>39692</v>
      </c>
      <c r="G180" s="124">
        <v>44075</v>
      </c>
      <c r="H180" s="116">
        <v>642.78</v>
      </c>
      <c r="I180" s="116" t="s">
        <v>13</v>
      </c>
      <c r="J180">
        <v>7576.2845209999996</v>
      </c>
      <c r="K180" s="116">
        <v>3568472.1208899999</v>
      </c>
      <c r="L180" t="s">
        <v>13</v>
      </c>
      <c r="M180" s="116">
        <v>2020</v>
      </c>
      <c r="N180" t="s">
        <v>13</v>
      </c>
    </row>
    <row r="181" spans="1:14" x14ac:dyDescent="0.25">
      <c r="A181" s="116">
        <v>179</v>
      </c>
      <c r="B181" s="117" t="s">
        <v>5414</v>
      </c>
      <c r="C181" s="117" t="s">
        <v>2261</v>
      </c>
      <c r="D181" s="123" t="s">
        <v>3923</v>
      </c>
      <c r="E181" s="123" t="s">
        <v>79</v>
      </c>
      <c r="F181" s="123">
        <v>39692</v>
      </c>
      <c r="G181" s="124">
        <v>44075</v>
      </c>
      <c r="H181" s="116">
        <v>641.34</v>
      </c>
      <c r="I181" s="116" t="s">
        <v>13</v>
      </c>
      <c r="J181">
        <v>7556.5154000000002</v>
      </c>
      <c r="K181" s="116">
        <v>3568779.8103299998</v>
      </c>
      <c r="L181" t="s">
        <v>13</v>
      </c>
      <c r="M181" s="116">
        <v>2020</v>
      </c>
      <c r="N181" t="s">
        <v>13</v>
      </c>
    </row>
    <row r="182" spans="1:14" x14ac:dyDescent="0.25">
      <c r="A182" s="116">
        <v>180</v>
      </c>
      <c r="B182" s="117" t="s">
        <v>5414</v>
      </c>
      <c r="C182" s="117" t="s">
        <v>2259</v>
      </c>
      <c r="D182" s="123" t="s">
        <v>3923</v>
      </c>
      <c r="E182" s="123" t="s">
        <v>79</v>
      </c>
      <c r="F182" s="123">
        <v>39692</v>
      </c>
      <c r="G182" s="124">
        <v>44075</v>
      </c>
      <c r="H182" s="116">
        <v>639.6</v>
      </c>
      <c r="I182" s="116" t="s">
        <v>13</v>
      </c>
      <c r="J182">
        <v>7531.4178959999999</v>
      </c>
      <c r="K182" s="116">
        <v>3542891.8976799999</v>
      </c>
      <c r="L182" t="s">
        <v>13</v>
      </c>
      <c r="M182" s="116">
        <v>2020</v>
      </c>
      <c r="N182" t="s">
        <v>13</v>
      </c>
    </row>
    <row r="183" spans="1:14" x14ac:dyDescent="0.25">
      <c r="A183" s="116">
        <v>181</v>
      </c>
      <c r="B183" s="117" t="s">
        <v>5414</v>
      </c>
      <c r="C183" s="117" t="s">
        <v>2257</v>
      </c>
      <c r="D183" s="123" t="s">
        <v>3923</v>
      </c>
      <c r="E183" s="123" t="s">
        <v>79</v>
      </c>
      <c r="F183" s="123">
        <v>39692</v>
      </c>
      <c r="G183" s="124">
        <v>44075</v>
      </c>
      <c r="H183" s="116">
        <v>601.12</v>
      </c>
      <c r="I183" s="116" t="s">
        <v>13</v>
      </c>
      <c r="J183">
        <v>8519.9028290000006</v>
      </c>
      <c r="K183" s="116">
        <v>2905054.7812299998</v>
      </c>
      <c r="L183" t="s">
        <v>13</v>
      </c>
      <c r="M183" s="116">
        <v>2020</v>
      </c>
      <c r="N183" t="s">
        <v>13</v>
      </c>
    </row>
    <row r="184" spans="1:14" x14ac:dyDescent="0.25">
      <c r="A184" s="116">
        <v>182</v>
      </c>
      <c r="B184" s="117" t="s">
        <v>5414</v>
      </c>
      <c r="C184" s="117" t="s">
        <v>2251</v>
      </c>
      <c r="D184" s="123" t="s">
        <v>3923</v>
      </c>
      <c r="E184" s="123" t="s">
        <v>79</v>
      </c>
      <c r="F184" s="123">
        <v>39692</v>
      </c>
      <c r="G184" s="124">
        <v>44075</v>
      </c>
      <c r="H184" s="116">
        <v>649.76</v>
      </c>
      <c r="I184" s="116" t="s">
        <v>13</v>
      </c>
      <c r="J184">
        <v>7592.5154000000002</v>
      </c>
      <c r="K184" s="116">
        <v>3602640.20193</v>
      </c>
      <c r="L184" t="s">
        <v>13</v>
      </c>
      <c r="M184" s="116">
        <v>2020</v>
      </c>
      <c r="N184" t="s">
        <v>13</v>
      </c>
    </row>
    <row r="185" spans="1:14" x14ac:dyDescent="0.25">
      <c r="A185" s="116">
        <v>183</v>
      </c>
      <c r="B185" s="117" t="s">
        <v>5414</v>
      </c>
      <c r="C185" s="117" t="s">
        <v>2249</v>
      </c>
      <c r="D185" s="123" t="s">
        <v>3923</v>
      </c>
      <c r="E185" s="123" t="s">
        <v>79</v>
      </c>
      <c r="F185" s="123">
        <v>39692</v>
      </c>
      <c r="G185" s="124">
        <v>44075</v>
      </c>
      <c r="H185" s="116">
        <v>641.44000000000005</v>
      </c>
      <c r="I185" s="116" t="s">
        <v>13</v>
      </c>
      <c r="J185">
        <v>7448.9755999999998</v>
      </c>
      <c r="K185" s="116">
        <v>3467420.5979399998</v>
      </c>
      <c r="L185" t="s">
        <v>13</v>
      </c>
      <c r="M185" s="116">
        <v>2020</v>
      </c>
      <c r="N185" t="s">
        <v>13</v>
      </c>
    </row>
    <row r="186" spans="1:14" x14ac:dyDescent="0.25">
      <c r="A186" s="116">
        <v>184</v>
      </c>
      <c r="B186" s="117" t="s">
        <v>5414</v>
      </c>
      <c r="C186" s="117" t="s">
        <v>2247</v>
      </c>
      <c r="D186" s="123" t="s">
        <v>3923</v>
      </c>
      <c r="E186" s="123" t="s">
        <v>79</v>
      </c>
      <c r="F186" s="123">
        <v>39692</v>
      </c>
      <c r="G186" s="124">
        <v>44075</v>
      </c>
      <c r="H186" s="116">
        <v>482.34</v>
      </c>
      <c r="I186" s="116" t="s">
        <v>13</v>
      </c>
      <c r="J186">
        <v>7627.4813999999997</v>
      </c>
      <c r="K186" s="116">
        <v>2714706.7172599998</v>
      </c>
      <c r="L186" t="s">
        <v>13</v>
      </c>
      <c r="M186" s="116">
        <v>2020</v>
      </c>
      <c r="N186" t="s">
        <v>13</v>
      </c>
    </row>
    <row r="187" spans="1:14" x14ac:dyDescent="0.25">
      <c r="A187" s="116">
        <v>185</v>
      </c>
      <c r="B187" s="117" t="s">
        <v>5414</v>
      </c>
      <c r="C187" s="117" t="s">
        <v>2245</v>
      </c>
      <c r="D187" s="123" t="s">
        <v>3923</v>
      </c>
      <c r="E187" s="123" t="s">
        <v>79</v>
      </c>
      <c r="F187" s="123">
        <v>39692</v>
      </c>
      <c r="G187" s="124">
        <v>44075</v>
      </c>
      <c r="H187" s="116">
        <v>646</v>
      </c>
      <c r="I187" s="116" t="s">
        <v>13</v>
      </c>
      <c r="J187">
        <v>7569.8501999999999</v>
      </c>
      <c r="K187" s="116">
        <v>3581235.0297099999</v>
      </c>
      <c r="L187" t="s">
        <v>13</v>
      </c>
      <c r="M187" s="116">
        <v>2020</v>
      </c>
      <c r="N187" t="s">
        <v>13</v>
      </c>
    </row>
    <row r="188" spans="1:14" x14ac:dyDescent="0.25">
      <c r="A188" s="116">
        <v>186</v>
      </c>
      <c r="B188" s="117" t="s">
        <v>5414</v>
      </c>
      <c r="C188" s="117" t="s">
        <v>2243</v>
      </c>
      <c r="D188" s="123" t="s">
        <v>3923</v>
      </c>
      <c r="E188" s="123" t="s">
        <v>79</v>
      </c>
      <c r="F188" s="123">
        <v>39692</v>
      </c>
      <c r="G188" s="124">
        <v>44075</v>
      </c>
      <c r="H188" s="116">
        <v>641.12</v>
      </c>
      <c r="I188" s="116" t="s">
        <v>13</v>
      </c>
      <c r="J188">
        <v>7500.7183999999997</v>
      </c>
      <c r="K188" s="116">
        <v>3515866.20419</v>
      </c>
      <c r="L188" t="s">
        <v>13</v>
      </c>
      <c r="M188" s="116">
        <v>2020</v>
      </c>
      <c r="N188" t="s">
        <v>13</v>
      </c>
    </row>
    <row r="189" spans="1:14" x14ac:dyDescent="0.25">
      <c r="A189" s="116">
        <v>187</v>
      </c>
      <c r="B189" s="117" t="s">
        <v>5414</v>
      </c>
      <c r="C189" s="117" t="s">
        <v>2241</v>
      </c>
      <c r="D189" s="123" t="s">
        <v>3923</v>
      </c>
      <c r="E189" s="123" t="s">
        <v>79</v>
      </c>
      <c r="F189" s="123">
        <v>39692</v>
      </c>
      <c r="G189" s="124">
        <v>44075</v>
      </c>
      <c r="H189" s="116">
        <v>648.96</v>
      </c>
      <c r="I189" s="116" t="s">
        <v>13</v>
      </c>
      <c r="J189">
        <v>7613.8086000000003</v>
      </c>
      <c r="K189" s="116">
        <v>3622865.54526</v>
      </c>
      <c r="L189" t="s">
        <v>13</v>
      </c>
      <c r="M189" s="116">
        <v>2020</v>
      </c>
      <c r="N189" t="s">
        <v>13</v>
      </c>
    </row>
    <row r="190" spans="1:14" x14ac:dyDescent="0.25">
      <c r="A190" s="116">
        <v>188</v>
      </c>
      <c r="B190" s="117" t="s">
        <v>5414</v>
      </c>
      <c r="C190" s="117" t="s">
        <v>2239</v>
      </c>
      <c r="D190" s="123" t="s">
        <v>3923</v>
      </c>
      <c r="E190" s="123" t="s">
        <v>79</v>
      </c>
      <c r="F190" s="123">
        <v>39692</v>
      </c>
      <c r="G190" s="124">
        <v>44075</v>
      </c>
      <c r="H190" s="116">
        <v>644.72</v>
      </c>
      <c r="I190" s="116" t="s">
        <v>13</v>
      </c>
      <c r="J190">
        <v>7556.9207509999997</v>
      </c>
      <c r="K190" s="116">
        <v>3568636.4396899999</v>
      </c>
      <c r="L190" t="s">
        <v>13</v>
      </c>
      <c r="M190" s="116">
        <v>2020</v>
      </c>
      <c r="N190" t="s">
        <v>13</v>
      </c>
    </row>
    <row r="191" spans="1:14" x14ac:dyDescent="0.25">
      <c r="A191" s="116">
        <v>189</v>
      </c>
      <c r="B191" s="117" t="s">
        <v>5414</v>
      </c>
      <c r="C191" s="117" t="s">
        <v>2235</v>
      </c>
      <c r="D191" s="123" t="s">
        <v>3923</v>
      </c>
      <c r="E191" s="123" t="s">
        <v>79</v>
      </c>
      <c r="F191" s="123">
        <v>39692</v>
      </c>
      <c r="G191" s="124">
        <v>44075</v>
      </c>
      <c r="H191" s="116">
        <v>647.22</v>
      </c>
      <c r="I191" s="116" t="s">
        <v>13</v>
      </c>
      <c r="J191">
        <v>7576.4923959999996</v>
      </c>
      <c r="K191" s="116">
        <v>3586196.8287499999</v>
      </c>
      <c r="L191" t="s">
        <v>13</v>
      </c>
      <c r="M191" s="116">
        <v>2020</v>
      </c>
      <c r="N191" t="s">
        <v>13</v>
      </c>
    </row>
    <row r="192" spans="1:14" x14ac:dyDescent="0.25">
      <c r="A192" s="116">
        <v>190</v>
      </c>
      <c r="B192" s="117" t="s">
        <v>5414</v>
      </c>
      <c r="C192" s="117" t="s">
        <v>2233</v>
      </c>
      <c r="D192" s="123" t="s">
        <v>3923</v>
      </c>
      <c r="E192" s="123" t="s">
        <v>79</v>
      </c>
      <c r="F192" s="123">
        <v>39692</v>
      </c>
      <c r="G192" s="124">
        <v>44075</v>
      </c>
      <c r="H192" s="116">
        <v>606.29</v>
      </c>
      <c r="I192" s="116" t="s">
        <v>13</v>
      </c>
      <c r="J192">
        <v>5677.6426270000002</v>
      </c>
      <c r="K192" s="116">
        <v>2014042.3083299999</v>
      </c>
      <c r="L192" t="s">
        <v>13</v>
      </c>
      <c r="M192" s="116">
        <v>2020</v>
      </c>
      <c r="N192" t="s">
        <v>13</v>
      </c>
    </row>
    <row r="193" spans="1:14" x14ac:dyDescent="0.25">
      <c r="A193" s="116">
        <v>191</v>
      </c>
      <c r="B193" s="117" t="s">
        <v>5414</v>
      </c>
      <c r="C193" s="117" t="s">
        <v>2231</v>
      </c>
      <c r="D193" s="123" t="s">
        <v>3923</v>
      </c>
      <c r="E193" s="123" t="s">
        <v>79</v>
      </c>
      <c r="F193" s="123">
        <v>39692</v>
      </c>
      <c r="G193" s="124">
        <v>44075</v>
      </c>
      <c r="H193" s="116">
        <v>645.28</v>
      </c>
      <c r="I193" s="116" t="s">
        <v>13</v>
      </c>
      <c r="J193">
        <v>7572.8718959999997</v>
      </c>
      <c r="K193" s="116">
        <v>3583802.5828399998</v>
      </c>
      <c r="L193" t="s">
        <v>13</v>
      </c>
      <c r="M193" s="116">
        <v>2020</v>
      </c>
      <c r="N193" t="s">
        <v>13</v>
      </c>
    </row>
    <row r="194" spans="1:14" x14ac:dyDescent="0.25">
      <c r="A194" s="116">
        <v>192</v>
      </c>
      <c r="B194" s="117" t="s">
        <v>5414</v>
      </c>
      <c r="C194" s="117" t="s">
        <v>2229</v>
      </c>
      <c r="D194" s="123" t="s">
        <v>3923</v>
      </c>
      <c r="E194" s="123" t="s">
        <v>79</v>
      </c>
      <c r="F194" s="123">
        <v>39692</v>
      </c>
      <c r="G194" s="124">
        <v>44075</v>
      </c>
      <c r="H194" s="116">
        <v>643.44000000000005</v>
      </c>
      <c r="I194" s="116" t="s">
        <v>13</v>
      </c>
      <c r="J194">
        <v>7562.1395560000001</v>
      </c>
      <c r="K194" s="116">
        <v>3573792.0681099999</v>
      </c>
      <c r="L194" t="s">
        <v>13</v>
      </c>
      <c r="M194" s="116">
        <v>2020</v>
      </c>
      <c r="N194" t="s">
        <v>13</v>
      </c>
    </row>
    <row r="195" spans="1:14" x14ac:dyDescent="0.25">
      <c r="A195" s="116">
        <v>193</v>
      </c>
      <c r="B195" s="117" t="s">
        <v>5414</v>
      </c>
      <c r="C195" s="117" t="s">
        <v>2227</v>
      </c>
      <c r="D195" s="123" t="s">
        <v>3923</v>
      </c>
      <c r="E195" s="123" t="s">
        <v>79</v>
      </c>
      <c r="F195" s="123">
        <v>39692</v>
      </c>
      <c r="G195" s="124">
        <v>44075</v>
      </c>
      <c r="H195" s="116">
        <v>646.22</v>
      </c>
      <c r="I195" s="116" t="s">
        <v>13</v>
      </c>
      <c r="J195">
        <v>7557.3109999999997</v>
      </c>
      <c r="K195" s="116">
        <v>3569259.0162999998</v>
      </c>
      <c r="L195" t="s">
        <v>13</v>
      </c>
      <c r="M195" s="116">
        <v>2020</v>
      </c>
      <c r="N195" t="s">
        <v>13</v>
      </c>
    </row>
    <row r="196" spans="1:14" x14ac:dyDescent="0.25">
      <c r="A196" s="116">
        <v>194</v>
      </c>
      <c r="B196" s="117" t="s">
        <v>5414</v>
      </c>
      <c r="C196" s="117" t="s">
        <v>2225</v>
      </c>
      <c r="D196" s="123" t="s">
        <v>3923</v>
      </c>
      <c r="E196" s="123" t="s">
        <v>79</v>
      </c>
      <c r="F196" s="123">
        <v>39692</v>
      </c>
      <c r="G196" s="124">
        <v>44075</v>
      </c>
      <c r="H196" s="116">
        <v>632.89</v>
      </c>
      <c r="I196" s="116" t="s">
        <v>13</v>
      </c>
      <c r="J196">
        <v>7441.45</v>
      </c>
      <c r="K196" s="116">
        <v>3460890.8835700001</v>
      </c>
      <c r="L196" t="s">
        <v>13</v>
      </c>
      <c r="M196" s="116">
        <v>2020</v>
      </c>
      <c r="N196" t="s">
        <v>13</v>
      </c>
    </row>
    <row r="197" spans="1:14" x14ac:dyDescent="0.25">
      <c r="A197" s="116">
        <v>195</v>
      </c>
      <c r="B197" s="117" t="s">
        <v>5414</v>
      </c>
      <c r="C197" s="117" t="s">
        <v>2223</v>
      </c>
      <c r="D197" s="123" t="s">
        <v>3923</v>
      </c>
      <c r="E197" s="123" t="s">
        <v>79</v>
      </c>
      <c r="F197" s="123">
        <v>39692</v>
      </c>
      <c r="G197" s="124">
        <v>44075</v>
      </c>
      <c r="H197" s="116">
        <v>630.32000000000005</v>
      </c>
      <c r="I197" s="116" t="s">
        <v>13</v>
      </c>
      <c r="J197">
        <v>7461.2654000000002</v>
      </c>
      <c r="K197" s="116">
        <v>3479342.0840400001</v>
      </c>
      <c r="L197" t="s">
        <v>13</v>
      </c>
      <c r="M197" s="116">
        <v>2020</v>
      </c>
      <c r="N197" t="s">
        <v>13</v>
      </c>
    </row>
    <row r="198" spans="1:14" x14ac:dyDescent="0.25">
      <c r="A198" s="116">
        <v>196</v>
      </c>
      <c r="B198" s="117" t="s">
        <v>5414</v>
      </c>
      <c r="C198" s="117" t="s">
        <v>2221</v>
      </c>
      <c r="D198" s="123" t="s">
        <v>3923</v>
      </c>
      <c r="E198" s="123" t="s">
        <v>79</v>
      </c>
      <c r="F198" s="123">
        <v>39692</v>
      </c>
      <c r="G198" s="124">
        <v>44075</v>
      </c>
      <c r="H198" s="116">
        <v>80.97</v>
      </c>
      <c r="I198" s="116" t="s">
        <v>13</v>
      </c>
      <c r="J198">
        <v>2825.7557999999999</v>
      </c>
      <c r="K198" s="116">
        <v>443605.32451000001</v>
      </c>
      <c r="L198" t="s">
        <v>13</v>
      </c>
      <c r="M198" s="116">
        <v>2020</v>
      </c>
      <c r="N198" t="s">
        <v>13</v>
      </c>
    </row>
    <row r="199" spans="1:14" x14ac:dyDescent="0.25">
      <c r="A199" s="116">
        <v>197</v>
      </c>
      <c r="B199" s="117" t="s">
        <v>5414</v>
      </c>
      <c r="C199" s="117" t="s">
        <v>2218</v>
      </c>
      <c r="D199" s="123" t="s">
        <v>3923</v>
      </c>
      <c r="E199" s="123" t="s">
        <v>79</v>
      </c>
      <c r="F199" s="123">
        <v>39692</v>
      </c>
      <c r="G199" s="124">
        <v>44075</v>
      </c>
      <c r="H199" s="116">
        <v>81.209999999999994</v>
      </c>
      <c r="I199" s="116" t="s">
        <v>13</v>
      </c>
      <c r="J199">
        <v>1873.2538</v>
      </c>
      <c r="K199" s="116">
        <v>219310.48693099999</v>
      </c>
      <c r="L199" t="s">
        <v>13</v>
      </c>
      <c r="M199" s="116">
        <v>2020</v>
      </c>
      <c r="N199" t="s">
        <v>13</v>
      </c>
    </row>
    <row r="200" spans="1:14" x14ac:dyDescent="0.25">
      <c r="A200" s="116">
        <v>198</v>
      </c>
      <c r="B200" s="117" t="s">
        <v>5414</v>
      </c>
      <c r="C200" s="117" t="s">
        <v>2216</v>
      </c>
      <c r="D200" s="123" t="s">
        <v>3923</v>
      </c>
      <c r="E200" s="123" t="s">
        <v>79</v>
      </c>
      <c r="F200" s="123">
        <v>39692</v>
      </c>
      <c r="G200" s="124">
        <v>44075</v>
      </c>
      <c r="H200" s="116">
        <v>635.04</v>
      </c>
      <c r="I200" s="116" t="s">
        <v>13</v>
      </c>
      <c r="J200">
        <v>7562.28935</v>
      </c>
      <c r="K200" s="116">
        <v>3577995.47615</v>
      </c>
      <c r="L200" t="s">
        <v>13</v>
      </c>
      <c r="M200" s="116">
        <v>2020</v>
      </c>
      <c r="N200" t="s">
        <v>13</v>
      </c>
    </row>
    <row r="201" spans="1:14" x14ac:dyDescent="0.25">
      <c r="A201" s="116">
        <v>199</v>
      </c>
      <c r="B201" s="117" t="s">
        <v>5414</v>
      </c>
      <c r="C201" s="117" t="s">
        <v>2214</v>
      </c>
      <c r="D201" s="123" t="s">
        <v>3923</v>
      </c>
      <c r="E201" s="123" t="s">
        <v>79</v>
      </c>
      <c r="F201" s="123">
        <v>39692</v>
      </c>
      <c r="G201" s="124">
        <v>44075</v>
      </c>
      <c r="H201" s="116">
        <v>687.67</v>
      </c>
      <c r="I201" s="116" t="s">
        <v>13</v>
      </c>
      <c r="J201">
        <v>10366.937293000001</v>
      </c>
      <c r="K201" s="116">
        <v>3700030.2180499998</v>
      </c>
      <c r="L201" t="s">
        <v>13</v>
      </c>
      <c r="M201" s="116">
        <v>2020</v>
      </c>
      <c r="N201" t="s">
        <v>13</v>
      </c>
    </row>
    <row r="202" spans="1:14" x14ac:dyDescent="0.25">
      <c r="A202" s="116">
        <v>200</v>
      </c>
      <c r="B202" s="117" t="s">
        <v>5414</v>
      </c>
      <c r="C202" s="117" t="s">
        <v>2212</v>
      </c>
      <c r="D202" s="123" t="s">
        <v>3923</v>
      </c>
      <c r="E202" s="123" t="s">
        <v>79</v>
      </c>
      <c r="F202" s="123">
        <v>39692</v>
      </c>
      <c r="G202" s="124">
        <v>44075</v>
      </c>
      <c r="H202" s="116">
        <v>690.54</v>
      </c>
      <c r="I202" s="116" t="s">
        <v>13</v>
      </c>
      <c r="J202">
        <v>7733.2020579999999</v>
      </c>
      <c r="K202" s="116">
        <v>3732936.0077300002</v>
      </c>
      <c r="L202" t="s">
        <v>13</v>
      </c>
      <c r="M202" s="116">
        <v>2020</v>
      </c>
      <c r="N202" t="s">
        <v>13</v>
      </c>
    </row>
    <row r="203" spans="1:14" x14ac:dyDescent="0.25">
      <c r="A203" s="116">
        <v>201</v>
      </c>
      <c r="B203" s="117" t="s">
        <v>5414</v>
      </c>
      <c r="C203" s="117" t="s">
        <v>2208</v>
      </c>
      <c r="D203" s="123" t="s">
        <v>3923</v>
      </c>
      <c r="E203" s="123" t="s">
        <v>79</v>
      </c>
      <c r="F203" s="123">
        <v>39692</v>
      </c>
      <c r="G203" s="124">
        <v>44075</v>
      </c>
      <c r="H203" s="116">
        <v>687.34</v>
      </c>
      <c r="I203" s="116" t="s">
        <v>13</v>
      </c>
      <c r="J203">
        <v>7779.5417550000002</v>
      </c>
      <c r="K203" s="116">
        <v>3780062.3999600001</v>
      </c>
      <c r="L203" t="s">
        <v>13</v>
      </c>
      <c r="M203" s="116">
        <v>2020</v>
      </c>
      <c r="N203" t="s">
        <v>13</v>
      </c>
    </row>
    <row r="204" spans="1:14" x14ac:dyDescent="0.25">
      <c r="A204" s="116">
        <v>202</v>
      </c>
      <c r="B204" s="117" t="s">
        <v>5414</v>
      </c>
      <c r="C204" s="117" t="s">
        <v>2210</v>
      </c>
      <c r="D204" s="123" t="s">
        <v>3923</v>
      </c>
      <c r="E204" s="123" t="s">
        <v>79</v>
      </c>
      <c r="F204" s="123">
        <v>39692</v>
      </c>
      <c r="G204" s="124">
        <v>44075</v>
      </c>
      <c r="H204" s="116">
        <v>638.91999999999996</v>
      </c>
      <c r="I204" s="116" t="s">
        <v>13</v>
      </c>
      <c r="J204">
        <v>7732.0245349999996</v>
      </c>
      <c r="K204" s="116">
        <v>3727677.1268799999</v>
      </c>
      <c r="L204" t="s">
        <v>13</v>
      </c>
      <c r="M204" s="116">
        <v>2020</v>
      </c>
      <c r="N204" t="s">
        <v>13</v>
      </c>
    </row>
    <row r="205" spans="1:14" x14ac:dyDescent="0.25">
      <c r="A205" s="116">
        <v>203</v>
      </c>
      <c r="B205" s="117" t="s">
        <v>5414</v>
      </c>
      <c r="C205" s="117" t="s">
        <v>2206</v>
      </c>
      <c r="D205" s="123" t="s">
        <v>3923</v>
      </c>
      <c r="E205" s="123" t="s">
        <v>79</v>
      </c>
      <c r="F205" s="123">
        <v>39692</v>
      </c>
      <c r="G205" s="124">
        <v>44075</v>
      </c>
      <c r="H205" s="116">
        <v>623.84</v>
      </c>
      <c r="I205" s="116" t="s">
        <v>13</v>
      </c>
      <c r="J205">
        <v>7725.8486000000003</v>
      </c>
      <c r="K205" s="116">
        <v>3727745.8544600001</v>
      </c>
      <c r="L205" t="s">
        <v>13</v>
      </c>
      <c r="M205" s="116">
        <v>2020</v>
      </c>
      <c r="N205" t="s">
        <v>13</v>
      </c>
    </row>
    <row r="206" spans="1:14" x14ac:dyDescent="0.25">
      <c r="A206" s="116">
        <v>204</v>
      </c>
      <c r="B206" s="117" t="s">
        <v>5414</v>
      </c>
      <c r="C206" s="117" t="s">
        <v>2204</v>
      </c>
      <c r="D206" s="123" t="s">
        <v>3923</v>
      </c>
      <c r="E206" s="123" t="s">
        <v>79</v>
      </c>
      <c r="F206" s="123">
        <v>39692</v>
      </c>
      <c r="G206" s="124">
        <v>44075</v>
      </c>
      <c r="H206" s="116">
        <v>540.19000000000005</v>
      </c>
      <c r="I206" s="116" t="s">
        <v>13</v>
      </c>
      <c r="J206">
        <v>13486.492630000001</v>
      </c>
      <c r="K206" s="116">
        <v>2853036.44997</v>
      </c>
      <c r="L206" t="s">
        <v>13</v>
      </c>
      <c r="M206" s="116">
        <v>2020</v>
      </c>
      <c r="N206" t="s">
        <v>13</v>
      </c>
    </row>
    <row r="207" spans="1:14" x14ac:dyDescent="0.25">
      <c r="A207" s="116">
        <v>205</v>
      </c>
      <c r="B207" s="117" t="s">
        <v>5414</v>
      </c>
      <c r="C207" s="117" t="s">
        <v>2202</v>
      </c>
      <c r="D207" s="123" t="s">
        <v>3923</v>
      </c>
      <c r="E207" s="123" t="s">
        <v>79</v>
      </c>
      <c r="F207" s="123">
        <v>39692</v>
      </c>
      <c r="G207" s="124">
        <v>44075</v>
      </c>
      <c r="H207" s="116">
        <v>394.48</v>
      </c>
      <c r="I207" s="116" t="s">
        <v>13</v>
      </c>
      <c r="J207">
        <v>8528.1815449999995</v>
      </c>
      <c r="K207" s="116">
        <v>2257959.65643</v>
      </c>
      <c r="L207" t="s">
        <v>13</v>
      </c>
      <c r="M207" s="116">
        <v>2020</v>
      </c>
      <c r="N207" t="s">
        <v>13</v>
      </c>
    </row>
    <row r="208" spans="1:14" x14ac:dyDescent="0.25">
      <c r="A208" s="116">
        <v>206</v>
      </c>
      <c r="B208" s="117" t="s">
        <v>5414</v>
      </c>
      <c r="C208" s="117" t="s">
        <v>2200</v>
      </c>
      <c r="D208" s="123" t="s">
        <v>3923</v>
      </c>
      <c r="E208" s="123" t="s">
        <v>79</v>
      </c>
      <c r="F208" s="123">
        <v>39692</v>
      </c>
      <c r="G208" s="124">
        <v>44075</v>
      </c>
      <c r="H208" s="116">
        <v>648.88</v>
      </c>
      <c r="I208" s="116" t="s">
        <v>13</v>
      </c>
      <c r="J208">
        <v>7529.4683919999998</v>
      </c>
      <c r="K208" s="116">
        <v>3542321.4526499999</v>
      </c>
      <c r="L208" t="s">
        <v>13</v>
      </c>
      <c r="M208" s="116">
        <v>2020</v>
      </c>
      <c r="N208" t="s">
        <v>13</v>
      </c>
    </row>
    <row r="209" spans="1:14" x14ac:dyDescent="0.25">
      <c r="A209" s="116">
        <v>207</v>
      </c>
      <c r="B209" s="117" t="s">
        <v>5414</v>
      </c>
      <c r="C209" s="117" t="s">
        <v>2198</v>
      </c>
      <c r="D209" s="123" t="s">
        <v>3923</v>
      </c>
      <c r="E209" s="123" t="s">
        <v>79</v>
      </c>
      <c r="F209" s="123">
        <v>39692</v>
      </c>
      <c r="G209" s="124">
        <v>44075</v>
      </c>
      <c r="H209" s="116">
        <v>650.48</v>
      </c>
      <c r="I209" s="116" t="s">
        <v>13</v>
      </c>
      <c r="J209">
        <v>7479.6027190000004</v>
      </c>
      <c r="K209" s="116">
        <v>3496014.57149</v>
      </c>
      <c r="L209" t="s">
        <v>13</v>
      </c>
      <c r="M209" s="116">
        <v>2020</v>
      </c>
      <c r="N209" t="s">
        <v>13</v>
      </c>
    </row>
    <row r="210" spans="1:14" x14ac:dyDescent="0.25">
      <c r="A210" s="116">
        <v>208</v>
      </c>
      <c r="B210" s="117" t="s">
        <v>5414</v>
      </c>
      <c r="C210" s="117" t="s">
        <v>2196</v>
      </c>
      <c r="D210" s="123" t="s">
        <v>3923</v>
      </c>
      <c r="E210" s="123" t="s">
        <v>79</v>
      </c>
      <c r="F210" s="123">
        <v>39692</v>
      </c>
      <c r="G210" s="124">
        <v>44075</v>
      </c>
      <c r="H210" s="116">
        <v>585.41</v>
      </c>
      <c r="I210" s="116" t="s">
        <v>13</v>
      </c>
      <c r="J210">
        <v>10517.397442</v>
      </c>
      <c r="K210" s="116">
        <v>3161630.27562</v>
      </c>
      <c r="L210" t="s">
        <v>13</v>
      </c>
      <c r="M210" s="116">
        <v>2020</v>
      </c>
      <c r="N210" t="s">
        <v>13</v>
      </c>
    </row>
    <row r="211" spans="1:14" x14ac:dyDescent="0.25">
      <c r="A211" s="116">
        <v>209</v>
      </c>
      <c r="B211" s="117" t="s">
        <v>5414</v>
      </c>
      <c r="C211" s="117" t="s">
        <v>2194</v>
      </c>
      <c r="D211" s="123" t="s">
        <v>3923</v>
      </c>
      <c r="E211" s="123" t="s">
        <v>79</v>
      </c>
      <c r="F211" s="123">
        <v>39692</v>
      </c>
      <c r="G211" s="124">
        <v>44075</v>
      </c>
      <c r="H211" s="116">
        <v>40</v>
      </c>
      <c r="I211" s="116" t="s">
        <v>13</v>
      </c>
      <c r="J211">
        <v>1936.7539999999999</v>
      </c>
      <c r="K211" s="116">
        <v>234375.49962700001</v>
      </c>
      <c r="L211" t="s">
        <v>13</v>
      </c>
      <c r="M211" s="116">
        <v>2020</v>
      </c>
      <c r="N211" t="s">
        <v>13</v>
      </c>
    </row>
    <row r="212" spans="1:14" x14ac:dyDescent="0.25">
      <c r="A212" s="116">
        <v>210</v>
      </c>
      <c r="B212" s="117" t="s">
        <v>5414</v>
      </c>
      <c r="C212" s="117" t="s">
        <v>2237</v>
      </c>
      <c r="D212" s="123" t="s">
        <v>3923</v>
      </c>
      <c r="E212" s="123" t="s">
        <v>79</v>
      </c>
      <c r="F212" s="123">
        <v>39692</v>
      </c>
      <c r="G212" s="124">
        <v>44075</v>
      </c>
      <c r="H212" s="116">
        <v>489.3</v>
      </c>
      <c r="I212" s="116" t="s">
        <v>13</v>
      </c>
      <c r="J212">
        <v>10450.775600000001</v>
      </c>
      <c r="K212" s="116">
        <v>2239377.8750200002</v>
      </c>
      <c r="L212" t="s">
        <v>13</v>
      </c>
      <c r="M212" s="116">
        <v>2020</v>
      </c>
      <c r="N212" t="s">
        <v>13</v>
      </c>
    </row>
    <row r="213" spans="1:14" x14ac:dyDescent="0.25">
      <c r="A213" s="116">
        <v>211</v>
      </c>
      <c r="B213" s="117" t="s">
        <v>5414</v>
      </c>
      <c r="C213" s="117" t="s">
        <v>4743</v>
      </c>
      <c r="D213" s="123" t="s">
        <v>1469</v>
      </c>
      <c r="E213" s="123" t="s">
        <v>79</v>
      </c>
      <c r="F213" s="123">
        <v>41730</v>
      </c>
      <c r="G213" s="124">
        <v>45383</v>
      </c>
      <c r="H213" s="116">
        <v>119.36</v>
      </c>
      <c r="I213" s="116" t="s">
        <v>13</v>
      </c>
      <c r="J213">
        <v>5021.9870819999996</v>
      </c>
      <c r="K213" s="116">
        <v>751928.57849700004</v>
      </c>
      <c r="L213" t="s">
        <v>13</v>
      </c>
      <c r="M213" s="116">
        <v>2024</v>
      </c>
      <c r="N213" t="s">
        <v>13</v>
      </c>
    </row>
    <row r="214" spans="1:14" x14ac:dyDescent="0.25">
      <c r="A214" s="116">
        <v>212</v>
      </c>
      <c r="B214" s="117" t="s">
        <v>5414</v>
      </c>
      <c r="C214" s="117" t="s">
        <v>4740</v>
      </c>
      <c r="D214" s="123" t="s">
        <v>1469</v>
      </c>
      <c r="E214" s="123" t="s">
        <v>79</v>
      </c>
      <c r="F214" s="123">
        <v>41760</v>
      </c>
      <c r="G214" s="124">
        <v>45413</v>
      </c>
      <c r="H214" s="116">
        <v>1304.98</v>
      </c>
      <c r="I214" s="116" t="s">
        <v>13</v>
      </c>
      <c r="J214">
        <v>11880.747608</v>
      </c>
      <c r="K214" s="116">
        <v>7614563.8135799998</v>
      </c>
      <c r="L214" t="s">
        <v>13</v>
      </c>
      <c r="M214" s="116">
        <v>2024</v>
      </c>
      <c r="N214" t="s">
        <v>13</v>
      </c>
    </row>
    <row r="215" spans="1:14" x14ac:dyDescent="0.25">
      <c r="A215" s="116">
        <v>213</v>
      </c>
      <c r="B215" s="117" t="s">
        <v>5414</v>
      </c>
      <c r="C215" s="117" t="s">
        <v>4737</v>
      </c>
      <c r="D215" s="123" t="s">
        <v>1469</v>
      </c>
      <c r="E215" s="123" t="s">
        <v>79</v>
      </c>
      <c r="F215" s="123">
        <v>41730</v>
      </c>
      <c r="G215" s="124">
        <v>45383</v>
      </c>
      <c r="H215" s="116">
        <v>2325</v>
      </c>
      <c r="I215" s="116" t="s">
        <v>13</v>
      </c>
      <c r="J215">
        <v>22997.637445</v>
      </c>
      <c r="K215" s="116">
        <v>13330026.091600001</v>
      </c>
      <c r="L215" t="s">
        <v>13</v>
      </c>
      <c r="M215" s="116">
        <v>2024</v>
      </c>
      <c r="N215" t="s">
        <v>13</v>
      </c>
    </row>
    <row r="216" spans="1:14" x14ac:dyDescent="0.25">
      <c r="A216" s="116">
        <v>214</v>
      </c>
      <c r="B216" s="117" t="s">
        <v>5414</v>
      </c>
      <c r="C216" s="117" t="s">
        <v>4734</v>
      </c>
      <c r="D216" s="123" t="s">
        <v>1469</v>
      </c>
      <c r="E216" s="123" t="s">
        <v>79</v>
      </c>
      <c r="F216" s="123">
        <v>41730</v>
      </c>
      <c r="G216" s="124">
        <v>45383</v>
      </c>
      <c r="H216" s="116">
        <v>2461</v>
      </c>
      <c r="I216" s="116" t="s">
        <v>13</v>
      </c>
      <c r="J216">
        <v>21260.143433000001</v>
      </c>
      <c r="K216" s="116">
        <v>15272478.3541</v>
      </c>
      <c r="L216" t="s">
        <v>13</v>
      </c>
      <c r="M216" s="116">
        <v>2024</v>
      </c>
      <c r="N216" t="s">
        <v>13</v>
      </c>
    </row>
    <row r="217" spans="1:14" x14ac:dyDescent="0.25">
      <c r="A217" s="116">
        <v>215</v>
      </c>
      <c r="B217" s="117" t="s">
        <v>5414</v>
      </c>
      <c r="C217" s="117" t="s">
        <v>4731</v>
      </c>
      <c r="D217" s="123" t="s">
        <v>1469</v>
      </c>
      <c r="E217" s="123" t="s">
        <v>79</v>
      </c>
      <c r="F217" s="123">
        <v>41730</v>
      </c>
      <c r="G217" s="124">
        <v>45383</v>
      </c>
      <c r="H217" s="116">
        <v>1860</v>
      </c>
      <c r="I217" s="116" t="s">
        <v>13</v>
      </c>
      <c r="J217">
        <v>16479.494897</v>
      </c>
      <c r="K217" s="116">
        <v>12327024.833000001</v>
      </c>
      <c r="L217" t="s">
        <v>13</v>
      </c>
      <c r="M217" s="116">
        <v>2024</v>
      </c>
      <c r="N217" t="s">
        <v>13</v>
      </c>
    </row>
    <row r="218" spans="1:14" x14ac:dyDescent="0.25">
      <c r="A218" s="116">
        <v>216</v>
      </c>
      <c r="B218" s="117" t="s">
        <v>5414</v>
      </c>
      <c r="C218" s="117" t="s">
        <v>4728</v>
      </c>
      <c r="D218" s="123" t="s">
        <v>1469</v>
      </c>
      <c r="E218" s="123" t="s">
        <v>79</v>
      </c>
      <c r="F218" s="123">
        <v>41730</v>
      </c>
      <c r="G218" s="124">
        <v>45383</v>
      </c>
      <c r="H218" s="116">
        <v>2040</v>
      </c>
      <c r="I218" s="116" t="s">
        <v>13</v>
      </c>
      <c r="J218">
        <v>17263.071132000001</v>
      </c>
      <c r="K218" s="116">
        <v>12906537.9553</v>
      </c>
      <c r="L218" t="s">
        <v>13</v>
      </c>
      <c r="M218" s="116">
        <v>2024</v>
      </c>
      <c r="N218" t="s">
        <v>13</v>
      </c>
    </row>
    <row r="219" spans="1:14" x14ac:dyDescent="0.25">
      <c r="A219" s="116">
        <v>217</v>
      </c>
      <c r="B219" s="117" t="s">
        <v>5414</v>
      </c>
      <c r="C219" s="117" t="s">
        <v>4719</v>
      </c>
      <c r="D219" s="123" t="s">
        <v>1469</v>
      </c>
      <c r="E219" s="123" t="s">
        <v>79</v>
      </c>
      <c r="F219" s="123">
        <v>41760</v>
      </c>
      <c r="G219" s="124">
        <v>45413</v>
      </c>
      <c r="H219" s="116">
        <v>199.88</v>
      </c>
      <c r="I219" s="116" t="s">
        <v>13</v>
      </c>
      <c r="J219">
        <v>6668.9534970000004</v>
      </c>
      <c r="K219" s="116">
        <v>1168286.2954200001</v>
      </c>
      <c r="L219" t="s">
        <v>13</v>
      </c>
      <c r="M219" s="116">
        <v>2024</v>
      </c>
      <c r="N219" t="s">
        <v>13</v>
      </c>
    </row>
    <row r="220" spans="1:14" x14ac:dyDescent="0.25">
      <c r="A220" s="116">
        <v>218</v>
      </c>
      <c r="B220" s="117" t="s">
        <v>5414</v>
      </c>
      <c r="C220" s="117" t="s">
        <v>2655</v>
      </c>
      <c r="D220" s="123" t="s">
        <v>1469</v>
      </c>
      <c r="E220" s="123" t="s">
        <v>79</v>
      </c>
      <c r="F220" s="123">
        <v>40057</v>
      </c>
      <c r="G220" s="124">
        <v>43709</v>
      </c>
      <c r="H220" s="116">
        <v>590.26</v>
      </c>
      <c r="I220" s="116" t="s">
        <v>13</v>
      </c>
      <c r="J220">
        <v>7640.3306689999999</v>
      </c>
      <c r="K220" s="116">
        <v>3406939.3210100001</v>
      </c>
      <c r="L220" t="s">
        <v>13</v>
      </c>
      <c r="M220" s="116">
        <v>2019</v>
      </c>
      <c r="N220" t="s">
        <v>13</v>
      </c>
    </row>
    <row r="221" spans="1:14" x14ac:dyDescent="0.25">
      <c r="A221" s="116">
        <v>219</v>
      </c>
      <c r="B221" s="117" t="s">
        <v>5414</v>
      </c>
      <c r="C221" s="117" t="s">
        <v>2446</v>
      </c>
      <c r="D221" s="123" t="s">
        <v>1469</v>
      </c>
      <c r="E221" s="123" t="s">
        <v>79</v>
      </c>
      <c r="F221" s="123">
        <v>39783</v>
      </c>
      <c r="G221" s="124">
        <v>43435</v>
      </c>
      <c r="H221" s="116">
        <v>390.59</v>
      </c>
      <c r="I221" s="116" t="s">
        <v>13</v>
      </c>
      <c r="J221">
        <v>6690.0081</v>
      </c>
      <c r="K221" s="116">
        <v>2238949.4608999998</v>
      </c>
      <c r="L221" t="s">
        <v>13</v>
      </c>
      <c r="M221" s="116">
        <v>2018</v>
      </c>
      <c r="N221" t="s">
        <v>13</v>
      </c>
    </row>
    <row r="222" spans="1:14" x14ac:dyDescent="0.25">
      <c r="A222" s="116">
        <v>220</v>
      </c>
      <c r="B222" s="117" t="s">
        <v>5414</v>
      </c>
      <c r="C222" s="117" t="s">
        <v>2443</v>
      </c>
      <c r="D222" s="123" t="s">
        <v>1469</v>
      </c>
      <c r="E222" s="123" t="s">
        <v>79</v>
      </c>
      <c r="F222" s="123">
        <v>39783</v>
      </c>
      <c r="G222" s="124">
        <v>43435</v>
      </c>
      <c r="H222" s="116">
        <v>521.63</v>
      </c>
      <c r="I222" s="116" t="s">
        <v>13</v>
      </c>
      <c r="J222">
        <v>7708.433857</v>
      </c>
      <c r="K222" s="116">
        <v>2986318.8082499998</v>
      </c>
      <c r="L222" t="s">
        <v>13</v>
      </c>
      <c r="M222" s="116">
        <v>2018</v>
      </c>
      <c r="N222" t="s">
        <v>13</v>
      </c>
    </row>
    <row r="223" spans="1:14" x14ac:dyDescent="0.25">
      <c r="A223" s="116">
        <v>221</v>
      </c>
      <c r="B223" s="117" t="s">
        <v>5414</v>
      </c>
      <c r="C223" s="117" t="s">
        <v>2440</v>
      </c>
      <c r="D223" s="123" t="s">
        <v>1469</v>
      </c>
      <c r="E223" s="123" t="s">
        <v>79</v>
      </c>
      <c r="F223" s="123">
        <v>39783</v>
      </c>
      <c r="G223" s="124">
        <v>43435</v>
      </c>
      <c r="H223" s="116">
        <v>478.64</v>
      </c>
      <c r="I223" s="116" t="s">
        <v>13</v>
      </c>
      <c r="J223">
        <v>10010.216399999999</v>
      </c>
      <c r="K223" s="116">
        <v>2706170.2466600002</v>
      </c>
      <c r="L223" t="s">
        <v>13</v>
      </c>
      <c r="M223" s="116">
        <v>2018</v>
      </c>
      <c r="N223" t="s">
        <v>13</v>
      </c>
    </row>
    <row r="224" spans="1:14" x14ac:dyDescent="0.25">
      <c r="A224" s="116">
        <v>222</v>
      </c>
      <c r="B224" s="117" t="s">
        <v>5414</v>
      </c>
      <c r="C224" s="117" t="s">
        <v>2437</v>
      </c>
      <c r="D224" s="123" t="s">
        <v>1469</v>
      </c>
      <c r="E224" s="123" t="s">
        <v>79</v>
      </c>
      <c r="F224" s="123">
        <v>39783</v>
      </c>
      <c r="G224" s="124">
        <v>43435</v>
      </c>
      <c r="H224" s="116">
        <v>319.07</v>
      </c>
      <c r="I224" s="116" t="s">
        <v>13</v>
      </c>
      <c r="J224">
        <v>10506.087686000001</v>
      </c>
      <c r="K224" s="116">
        <v>1814927.69114</v>
      </c>
      <c r="L224" t="s">
        <v>13</v>
      </c>
      <c r="M224" s="116">
        <v>2018</v>
      </c>
      <c r="N224" t="s">
        <v>13</v>
      </c>
    </row>
    <row r="225" spans="1:14" x14ac:dyDescent="0.25">
      <c r="A225" s="116">
        <v>223</v>
      </c>
      <c r="B225" s="117" t="s">
        <v>5414</v>
      </c>
      <c r="C225" s="117" t="s">
        <v>2434</v>
      </c>
      <c r="D225" s="123" t="s">
        <v>1469</v>
      </c>
      <c r="E225" s="123" t="s">
        <v>79</v>
      </c>
      <c r="F225" s="123">
        <v>39783</v>
      </c>
      <c r="G225" s="124">
        <v>43435</v>
      </c>
      <c r="H225" s="116">
        <v>519.21</v>
      </c>
      <c r="I225" s="116" t="s">
        <v>13</v>
      </c>
      <c r="J225">
        <v>9556.7690000000002</v>
      </c>
      <c r="K225" s="116">
        <v>2973600.1438799999</v>
      </c>
      <c r="L225" t="s">
        <v>13</v>
      </c>
      <c r="M225" s="116">
        <v>2018</v>
      </c>
      <c r="N225" t="s">
        <v>13</v>
      </c>
    </row>
    <row r="226" spans="1:14" x14ac:dyDescent="0.25">
      <c r="A226" s="116">
        <v>224</v>
      </c>
      <c r="B226" s="117" t="s">
        <v>5414</v>
      </c>
      <c r="C226" s="117" t="s">
        <v>2431</v>
      </c>
      <c r="D226" s="123" t="s">
        <v>1469</v>
      </c>
      <c r="E226" s="123" t="s">
        <v>79</v>
      </c>
      <c r="F226" s="123">
        <v>39783</v>
      </c>
      <c r="G226" s="124">
        <v>43435</v>
      </c>
      <c r="H226" s="116">
        <v>573.37</v>
      </c>
      <c r="I226" s="116" t="s">
        <v>13</v>
      </c>
      <c r="J226">
        <v>11408.718527000001</v>
      </c>
      <c r="K226" s="116">
        <v>3415583.5356600001</v>
      </c>
      <c r="L226" t="s">
        <v>13</v>
      </c>
      <c r="M226" s="116">
        <v>2018</v>
      </c>
      <c r="N226" t="s">
        <v>13</v>
      </c>
    </row>
    <row r="227" spans="1:14" x14ac:dyDescent="0.25">
      <c r="A227" s="116">
        <v>225</v>
      </c>
      <c r="B227" s="117" t="s">
        <v>5414</v>
      </c>
      <c r="C227" s="117" t="s">
        <v>2428</v>
      </c>
      <c r="D227" s="123" t="s">
        <v>1469</v>
      </c>
      <c r="E227" s="123" t="s">
        <v>79</v>
      </c>
      <c r="F227" s="123">
        <v>39783</v>
      </c>
      <c r="G227" s="124">
        <v>43435</v>
      </c>
      <c r="H227" s="116">
        <v>591.19000000000005</v>
      </c>
      <c r="I227" s="116" t="s">
        <v>13</v>
      </c>
      <c r="J227">
        <v>7634.1164419999996</v>
      </c>
      <c r="K227" s="116">
        <v>3400905.2210200001</v>
      </c>
      <c r="L227" t="s">
        <v>13</v>
      </c>
      <c r="M227" s="116">
        <v>2018</v>
      </c>
      <c r="N227" t="s">
        <v>13</v>
      </c>
    </row>
    <row r="228" spans="1:14" x14ac:dyDescent="0.25">
      <c r="A228" s="116">
        <v>226</v>
      </c>
      <c r="B228" s="117" t="s">
        <v>5414</v>
      </c>
      <c r="C228" s="117" t="s">
        <v>2425</v>
      </c>
      <c r="D228" s="123" t="s">
        <v>1469</v>
      </c>
      <c r="E228" s="123" t="s">
        <v>79</v>
      </c>
      <c r="F228" s="123">
        <v>39783</v>
      </c>
      <c r="G228" s="124">
        <v>43435</v>
      </c>
      <c r="H228" s="116">
        <v>601.91999999999996</v>
      </c>
      <c r="I228" s="116" t="s">
        <v>13</v>
      </c>
      <c r="J228">
        <v>7641.1818000000003</v>
      </c>
      <c r="K228" s="116">
        <v>3417345.4312</v>
      </c>
      <c r="L228" t="s">
        <v>13</v>
      </c>
      <c r="M228" s="116">
        <v>2018</v>
      </c>
      <c r="N228" t="s">
        <v>13</v>
      </c>
    </row>
    <row r="229" spans="1:14" x14ac:dyDescent="0.25">
      <c r="A229" s="116">
        <v>227</v>
      </c>
      <c r="B229" s="117" t="s">
        <v>5414</v>
      </c>
      <c r="C229" s="117" t="s">
        <v>2422</v>
      </c>
      <c r="D229" s="123" t="s">
        <v>1469</v>
      </c>
      <c r="E229" s="123" t="s">
        <v>79</v>
      </c>
      <c r="F229" s="123">
        <v>39783</v>
      </c>
      <c r="G229" s="124">
        <v>43435</v>
      </c>
      <c r="H229" s="116">
        <v>592.17999999999995</v>
      </c>
      <c r="I229" s="116" t="s">
        <v>13</v>
      </c>
      <c r="J229">
        <v>7846.609641</v>
      </c>
      <c r="K229" s="116">
        <v>3407876.3656500001</v>
      </c>
      <c r="L229" t="s">
        <v>13</v>
      </c>
      <c r="M229" s="116">
        <v>2018</v>
      </c>
      <c r="N229" t="s">
        <v>13</v>
      </c>
    </row>
    <row r="230" spans="1:14" x14ac:dyDescent="0.25">
      <c r="A230" s="116">
        <v>228</v>
      </c>
      <c r="B230" s="117" t="s">
        <v>5414</v>
      </c>
      <c r="C230" s="117" t="s">
        <v>2419</v>
      </c>
      <c r="D230" s="123" t="s">
        <v>1469</v>
      </c>
      <c r="E230" s="123" t="s">
        <v>79</v>
      </c>
      <c r="F230" s="123">
        <v>39783</v>
      </c>
      <c r="G230" s="124">
        <v>43435</v>
      </c>
      <c r="H230" s="116">
        <v>308.14</v>
      </c>
      <c r="I230" s="116" t="s">
        <v>13</v>
      </c>
      <c r="J230">
        <v>8172.8896000000004</v>
      </c>
      <c r="K230" s="116">
        <v>1721850.41502</v>
      </c>
      <c r="L230" t="s">
        <v>13</v>
      </c>
      <c r="M230" s="116">
        <v>2018</v>
      </c>
      <c r="N230" t="s">
        <v>13</v>
      </c>
    </row>
    <row r="231" spans="1:14" x14ac:dyDescent="0.25">
      <c r="A231" s="116">
        <v>229</v>
      </c>
      <c r="B231" s="117" t="s">
        <v>5414</v>
      </c>
      <c r="C231" s="117" t="s">
        <v>2416</v>
      </c>
      <c r="D231" s="123" t="s">
        <v>1469</v>
      </c>
      <c r="E231" s="123" t="s">
        <v>79</v>
      </c>
      <c r="F231" s="123">
        <v>39783</v>
      </c>
      <c r="G231" s="124">
        <v>43435</v>
      </c>
      <c r="H231" s="116">
        <v>311.89</v>
      </c>
      <c r="I231" s="116" t="s">
        <v>13</v>
      </c>
      <c r="J231">
        <v>5636.1537150000004</v>
      </c>
      <c r="K231" s="116">
        <v>1781729.6725999999</v>
      </c>
      <c r="L231" t="s">
        <v>13</v>
      </c>
      <c r="M231" s="116">
        <v>2018</v>
      </c>
      <c r="N231" t="s">
        <v>13</v>
      </c>
    </row>
    <row r="232" spans="1:14" x14ac:dyDescent="0.25">
      <c r="A232" s="116">
        <v>230</v>
      </c>
      <c r="B232" s="117" t="s">
        <v>5414</v>
      </c>
      <c r="C232" s="117" t="s">
        <v>2413</v>
      </c>
      <c r="D232" s="123" t="s">
        <v>1469</v>
      </c>
      <c r="E232" s="123" t="s">
        <v>79</v>
      </c>
      <c r="F232" s="123">
        <v>39783</v>
      </c>
      <c r="G232" s="124">
        <v>43435</v>
      </c>
      <c r="H232" s="116">
        <v>438.58</v>
      </c>
      <c r="I232" s="116" t="s">
        <v>13</v>
      </c>
      <c r="J232">
        <v>9558.3118259999992</v>
      </c>
      <c r="K232" s="116">
        <v>2507966.0424700002</v>
      </c>
      <c r="L232" t="s">
        <v>13</v>
      </c>
      <c r="M232" s="116">
        <v>2018</v>
      </c>
      <c r="N232" t="s">
        <v>13</v>
      </c>
    </row>
    <row r="233" spans="1:14" x14ac:dyDescent="0.25">
      <c r="A233" s="116">
        <v>231</v>
      </c>
      <c r="B233" s="117" t="s">
        <v>5414</v>
      </c>
      <c r="C233" s="117" t="s">
        <v>2410</v>
      </c>
      <c r="D233" s="123" t="s">
        <v>1469</v>
      </c>
      <c r="E233" s="123" t="s">
        <v>79</v>
      </c>
      <c r="F233" s="123">
        <v>39783</v>
      </c>
      <c r="G233" s="124">
        <v>43435</v>
      </c>
      <c r="H233" s="116">
        <v>597.87</v>
      </c>
      <c r="I233" s="116" t="s">
        <v>13</v>
      </c>
      <c r="J233">
        <v>10466.181167999999</v>
      </c>
      <c r="K233" s="116">
        <v>3361766.9811300002</v>
      </c>
      <c r="L233" t="s">
        <v>13</v>
      </c>
      <c r="M233" s="116">
        <v>2018</v>
      </c>
      <c r="N233" t="s">
        <v>13</v>
      </c>
    </row>
    <row r="234" spans="1:14" x14ac:dyDescent="0.25">
      <c r="A234" s="116">
        <v>232</v>
      </c>
      <c r="B234" s="117" t="s">
        <v>5414</v>
      </c>
      <c r="C234" s="117" t="s">
        <v>2407</v>
      </c>
      <c r="D234" s="123" t="s">
        <v>1469</v>
      </c>
      <c r="E234" s="123" t="s">
        <v>79</v>
      </c>
      <c r="F234" s="123">
        <v>39783</v>
      </c>
      <c r="G234" s="124">
        <v>43435</v>
      </c>
      <c r="H234" s="116">
        <v>606.9</v>
      </c>
      <c r="I234" s="116" t="s">
        <v>13</v>
      </c>
      <c r="J234">
        <v>9592.4846199999993</v>
      </c>
      <c r="K234" s="116">
        <v>3438903.5214900002</v>
      </c>
      <c r="L234" t="s">
        <v>13</v>
      </c>
      <c r="M234" s="116">
        <v>2018</v>
      </c>
      <c r="N234" t="s">
        <v>13</v>
      </c>
    </row>
    <row r="235" spans="1:14" x14ac:dyDescent="0.25">
      <c r="A235" s="116">
        <v>233</v>
      </c>
      <c r="B235" s="117" t="s">
        <v>5414</v>
      </c>
      <c r="C235" s="117" t="s">
        <v>2404</v>
      </c>
      <c r="D235" s="123" t="s">
        <v>1469</v>
      </c>
      <c r="E235" s="123" t="s">
        <v>79</v>
      </c>
      <c r="F235" s="123">
        <v>39783</v>
      </c>
      <c r="G235" s="124">
        <v>43435</v>
      </c>
      <c r="H235" s="116">
        <v>436.34</v>
      </c>
      <c r="I235" s="116" t="s">
        <v>13</v>
      </c>
      <c r="J235">
        <v>10478.030640999999</v>
      </c>
      <c r="K235" s="116">
        <v>2483399.8781599998</v>
      </c>
      <c r="L235" t="s">
        <v>13</v>
      </c>
      <c r="M235" s="116">
        <v>2018</v>
      </c>
      <c r="N235" t="s">
        <v>13</v>
      </c>
    </row>
    <row r="236" spans="1:14" x14ac:dyDescent="0.25">
      <c r="A236" s="116">
        <v>234</v>
      </c>
      <c r="B236" s="117" t="s">
        <v>5414</v>
      </c>
      <c r="C236" s="117" t="s">
        <v>2400</v>
      </c>
      <c r="D236" s="123" t="s">
        <v>1469</v>
      </c>
      <c r="E236" s="123" t="s">
        <v>79</v>
      </c>
      <c r="F236" s="123">
        <v>39783</v>
      </c>
      <c r="G236" s="124">
        <v>43435</v>
      </c>
      <c r="H236" s="116">
        <v>494.6</v>
      </c>
      <c r="I236" s="116" t="s">
        <v>13</v>
      </c>
      <c r="J236">
        <v>2370.6714000000002</v>
      </c>
      <c r="K236" s="116">
        <v>225554.902481</v>
      </c>
      <c r="L236" t="s">
        <v>13</v>
      </c>
      <c r="M236" s="116">
        <v>2018</v>
      </c>
      <c r="N236" t="s">
        <v>13</v>
      </c>
    </row>
    <row r="237" spans="1:14" x14ac:dyDescent="0.25">
      <c r="A237" s="116">
        <v>235</v>
      </c>
      <c r="B237" s="117" t="s">
        <v>5414</v>
      </c>
      <c r="C237" s="117" t="s">
        <v>3879</v>
      </c>
      <c r="D237" s="123" t="s">
        <v>453</v>
      </c>
      <c r="E237" s="123" t="s">
        <v>86</v>
      </c>
      <c r="F237" s="123">
        <v>40848</v>
      </c>
      <c r="G237" s="124">
        <v>44501</v>
      </c>
      <c r="H237" s="116">
        <v>505.72</v>
      </c>
      <c r="I237" s="116" t="s">
        <v>13</v>
      </c>
      <c r="J237">
        <v>5762.6364000000003</v>
      </c>
      <c r="K237" s="116">
        <v>936066.728994</v>
      </c>
      <c r="L237" t="s">
        <v>13</v>
      </c>
      <c r="M237" s="116">
        <v>2021</v>
      </c>
      <c r="N237" t="s">
        <v>13</v>
      </c>
    </row>
    <row r="238" spans="1:14" x14ac:dyDescent="0.25">
      <c r="A238" s="116">
        <v>236</v>
      </c>
      <c r="B238" s="117" t="s">
        <v>5414</v>
      </c>
      <c r="C238" s="117" t="s">
        <v>3877</v>
      </c>
      <c r="D238" s="123" t="s">
        <v>453</v>
      </c>
      <c r="E238" s="123" t="s">
        <v>86</v>
      </c>
      <c r="F238" s="123">
        <v>40848</v>
      </c>
      <c r="G238" s="124">
        <v>44501</v>
      </c>
      <c r="H238" s="116">
        <v>685.9</v>
      </c>
      <c r="I238" s="116" t="s">
        <v>13</v>
      </c>
      <c r="J238">
        <v>7760.6012440000004</v>
      </c>
      <c r="K238" s="116">
        <v>3774393.6473500002</v>
      </c>
      <c r="L238" t="s">
        <v>13</v>
      </c>
      <c r="M238" s="116">
        <v>2021</v>
      </c>
      <c r="N238" t="s">
        <v>13</v>
      </c>
    </row>
    <row r="239" spans="1:14" x14ac:dyDescent="0.25">
      <c r="A239" s="116">
        <v>237</v>
      </c>
      <c r="B239" s="117" t="s">
        <v>5414</v>
      </c>
      <c r="C239" s="117" t="s">
        <v>3875</v>
      </c>
      <c r="D239" s="123" t="s">
        <v>453</v>
      </c>
      <c r="E239" s="123" t="s">
        <v>86</v>
      </c>
      <c r="F239" s="123">
        <v>40848</v>
      </c>
      <c r="G239" s="124">
        <v>44501</v>
      </c>
      <c r="H239" s="116">
        <v>685.24</v>
      </c>
      <c r="I239" s="116" t="s">
        <v>13</v>
      </c>
      <c r="J239">
        <v>7744.4668890000003</v>
      </c>
      <c r="K239" s="116">
        <v>3767214.6542799999</v>
      </c>
      <c r="L239" t="s">
        <v>13</v>
      </c>
      <c r="M239" s="116">
        <v>2021</v>
      </c>
      <c r="N239" t="s">
        <v>13</v>
      </c>
    </row>
    <row r="240" spans="1:14" x14ac:dyDescent="0.25">
      <c r="A240" s="116">
        <v>238</v>
      </c>
      <c r="B240" s="117" t="s">
        <v>5414</v>
      </c>
      <c r="C240" s="117" t="s">
        <v>3872</v>
      </c>
      <c r="D240" s="123" t="s">
        <v>453</v>
      </c>
      <c r="E240" s="123" t="s">
        <v>86</v>
      </c>
      <c r="F240" s="123">
        <v>40848</v>
      </c>
      <c r="G240" s="124">
        <v>44501</v>
      </c>
      <c r="H240" s="116">
        <v>600.71</v>
      </c>
      <c r="I240" s="116" t="s">
        <v>13</v>
      </c>
      <c r="J240">
        <v>7563.2952230000001</v>
      </c>
      <c r="K240" s="116">
        <v>3353715.7549000001</v>
      </c>
      <c r="L240" t="s">
        <v>13</v>
      </c>
      <c r="M240" s="116">
        <v>2021</v>
      </c>
      <c r="N240" t="s">
        <v>13</v>
      </c>
    </row>
    <row r="241" spans="1:14" x14ac:dyDescent="0.25">
      <c r="A241" s="116">
        <v>239</v>
      </c>
      <c r="B241" s="117" t="s">
        <v>5414</v>
      </c>
      <c r="C241" s="117" t="s">
        <v>3869</v>
      </c>
      <c r="D241" s="123" t="s">
        <v>453</v>
      </c>
      <c r="E241" s="123" t="s">
        <v>86</v>
      </c>
      <c r="F241" s="123">
        <v>40909</v>
      </c>
      <c r="G241" s="124">
        <v>44562</v>
      </c>
      <c r="H241" s="116">
        <v>603.98</v>
      </c>
      <c r="I241" s="116" t="s">
        <v>13</v>
      </c>
      <c r="J241">
        <v>9432.4159999999993</v>
      </c>
      <c r="K241" s="116">
        <v>3353418.5162</v>
      </c>
      <c r="L241" t="s">
        <v>13</v>
      </c>
      <c r="M241" s="116">
        <v>2022</v>
      </c>
      <c r="N241" t="s">
        <v>13</v>
      </c>
    </row>
    <row r="242" spans="1:14" x14ac:dyDescent="0.25">
      <c r="A242" s="116">
        <v>240</v>
      </c>
      <c r="B242" s="117" t="s">
        <v>5414</v>
      </c>
      <c r="C242" s="117" t="s">
        <v>3867</v>
      </c>
      <c r="D242" s="123" t="s">
        <v>453</v>
      </c>
      <c r="E242" s="123" t="s">
        <v>86</v>
      </c>
      <c r="F242" s="123">
        <v>40909</v>
      </c>
      <c r="G242" s="124">
        <v>44562</v>
      </c>
      <c r="H242" s="116">
        <v>637.98</v>
      </c>
      <c r="I242" s="116" t="s">
        <v>13</v>
      </c>
      <c r="J242">
        <v>12074.354606999999</v>
      </c>
      <c r="K242" s="116">
        <v>3730722.2869099998</v>
      </c>
      <c r="L242" t="s">
        <v>13</v>
      </c>
      <c r="M242" s="116">
        <v>2022</v>
      </c>
      <c r="N242" t="s">
        <v>13</v>
      </c>
    </row>
    <row r="243" spans="1:14" x14ac:dyDescent="0.25">
      <c r="A243" s="116">
        <v>241</v>
      </c>
      <c r="B243" s="117" t="s">
        <v>5414</v>
      </c>
      <c r="C243" s="117" t="s">
        <v>3865</v>
      </c>
      <c r="D243" s="123" t="s">
        <v>453</v>
      </c>
      <c r="E243" s="123" t="s">
        <v>86</v>
      </c>
      <c r="F243" s="123">
        <v>40848</v>
      </c>
      <c r="G243" s="124">
        <v>44501</v>
      </c>
      <c r="H243" s="116">
        <v>351.11</v>
      </c>
      <c r="I243" s="116" t="s">
        <v>13</v>
      </c>
      <c r="J243">
        <v>7977.1799609999998</v>
      </c>
      <c r="K243" s="116">
        <v>1806413.7261399999</v>
      </c>
      <c r="L243" t="s">
        <v>13</v>
      </c>
      <c r="M243" s="116">
        <v>2021</v>
      </c>
      <c r="N243" t="s">
        <v>13</v>
      </c>
    </row>
    <row r="244" spans="1:14" x14ac:dyDescent="0.25">
      <c r="A244" s="116">
        <v>242</v>
      </c>
      <c r="B244" s="117" t="s">
        <v>5414</v>
      </c>
      <c r="C244" s="117" t="s">
        <v>3863</v>
      </c>
      <c r="D244" s="123" t="s">
        <v>453</v>
      </c>
      <c r="E244" s="123" t="s">
        <v>86</v>
      </c>
      <c r="F244" s="123">
        <v>40848</v>
      </c>
      <c r="G244" s="124">
        <v>44501</v>
      </c>
      <c r="H244" s="116">
        <v>520.73</v>
      </c>
      <c r="I244" s="116" t="s">
        <v>13</v>
      </c>
      <c r="J244">
        <v>9485.5628230000002</v>
      </c>
      <c r="K244" s="116">
        <v>2914322.1074000001</v>
      </c>
      <c r="L244" t="s">
        <v>13</v>
      </c>
      <c r="M244" s="116">
        <v>2021</v>
      </c>
      <c r="N244" t="s">
        <v>4866</v>
      </c>
    </row>
    <row r="245" spans="1:14" x14ac:dyDescent="0.25">
      <c r="A245" s="116">
        <v>243</v>
      </c>
      <c r="B245" s="117" t="s">
        <v>5414</v>
      </c>
      <c r="C245" s="117" t="s">
        <v>3914</v>
      </c>
      <c r="D245" s="123" t="s">
        <v>453</v>
      </c>
      <c r="E245" s="123" t="s">
        <v>86</v>
      </c>
      <c r="F245" s="123">
        <v>40878</v>
      </c>
      <c r="G245" s="124">
        <v>44531</v>
      </c>
      <c r="H245" s="116">
        <v>568.91999999999996</v>
      </c>
      <c r="I245" s="116" t="s">
        <v>13</v>
      </c>
      <c r="J245">
        <v>8875.9515269999993</v>
      </c>
      <c r="K245" s="116">
        <v>3113961.3524500001</v>
      </c>
      <c r="L245" t="s">
        <v>13</v>
      </c>
      <c r="M245" s="116">
        <v>2021</v>
      </c>
      <c r="N245" t="s">
        <v>13</v>
      </c>
    </row>
    <row r="246" spans="1:14" x14ac:dyDescent="0.25">
      <c r="A246" s="116">
        <v>244</v>
      </c>
      <c r="B246" s="117" t="s">
        <v>5414</v>
      </c>
      <c r="C246" s="117" t="s">
        <v>3911</v>
      </c>
      <c r="D246" s="123" t="s">
        <v>453</v>
      </c>
      <c r="E246" s="123" t="s">
        <v>86</v>
      </c>
      <c r="F246" s="123">
        <v>40848</v>
      </c>
      <c r="G246" s="124">
        <v>44501</v>
      </c>
      <c r="H246" s="116">
        <v>499.15</v>
      </c>
      <c r="I246" s="116" t="s">
        <v>13</v>
      </c>
      <c r="J246">
        <v>10202.335800000001</v>
      </c>
      <c r="K246" s="116">
        <v>2278679.1467800001</v>
      </c>
      <c r="L246" t="s">
        <v>13</v>
      </c>
      <c r="M246" s="116">
        <v>2021</v>
      </c>
      <c r="N246" t="s">
        <v>13</v>
      </c>
    </row>
    <row r="247" spans="1:14" x14ac:dyDescent="0.25">
      <c r="A247" s="116">
        <v>245</v>
      </c>
      <c r="B247" s="117" t="s">
        <v>5414</v>
      </c>
      <c r="C247" s="117" t="s">
        <v>3908</v>
      </c>
      <c r="D247" s="123" t="s">
        <v>453</v>
      </c>
      <c r="E247" s="123" t="s">
        <v>86</v>
      </c>
      <c r="F247" s="123">
        <v>40848</v>
      </c>
      <c r="G247" s="124">
        <v>44501</v>
      </c>
      <c r="H247" s="116">
        <v>434.19</v>
      </c>
      <c r="I247" s="116" t="s">
        <v>13</v>
      </c>
      <c r="J247">
        <v>7057.6250280000004</v>
      </c>
      <c r="K247" s="116">
        <v>2388146.5393099999</v>
      </c>
      <c r="L247" t="s">
        <v>13</v>
      </c>
      <c r="M247" s="116">
        <v>2021</v>
      </c>
      <c r="N247" t="s">
        <v>13</v>
      </c>
    </row>
    <row r="248" spans="1:14" x14ac:dyDescent="0.25">
      <c r="A248" s="116">
        <v>246</v>
      </c>
      <c r="B248" s="117" t="s">
        <v>5414</v>
      </c>
      <c r="C248" s="117" t="s">
        <v>3900</v>
      </c>
      <c r="D248" s="123" t="s">
        <v>453</v>
      </c>
      <c r="E248" s="123" t="s">
        <v>86</v>
      </c>
      <c r="F248" s="123">
        <v>40878</v>
      </c>
      <c r="G248" s="124">
        <v>44531</v>
      </c>
      <c r="H248" s="116">
        <v>406.45</v>
      </c>
      <c r="I248" s="116" t="s">
        <v>13</v>
      </c>
      <c r="J248">
        <v>11182.527179000001</v>
      </c>
      <c r="K248" s="116">
        <v>2446412.56427</v>
      </c>
      <c r="L248" t="s">
        <v>13</v>
      </c>
      <c r="M248" s="116">
        <v>2021</v>
      </c>
      <c r="N248" t="s">
        <v>13</v>
      </c>
    </row>
    <row r="249" spans="1:14" x14ac:dyDescent="0.25">
      <c r="A249" s="116">
        <v>247</v>
      </c>
      <c r="B249" s="117" t="s">
        <v>5414</v>
      </c>
      <c r="C249" s="117" t="s">
        <v>3897</v>
      </c>
      <c r="D249" s="123" t="s">
        <v>453</v>
      </c>
      <c r="E249" s="123" t="s">
        <v>86</v>
      </c>
      <c r="F249" s="123">
        <v>40878</v>
      </c>
      <c r="G249" s="124">
        <v>44531</v>
      </c>
      <c r="H249" s="116">
        <v>40</v>
      </c>
      <c r="I249" s="116" t="s">
        <v>13</v>
      </c>
      <c r="J249">
        <v>2004.2112</v>
      </c>
      <c r="K249" s="116">
        <v>249801.796008</v>
      </c>
      <c r="L249" t="s">
        <v>13</v>
      </c>
      <c r="M249" s="116">
        <v>2021</v>
      </c>
      <c r="N249" t="s">
        <v>13</v>
      </c>
    </row>
    <row r="250" spans="1:14" x14ac:dyDescent="0.25">
      <c r="A250" s="116">
        <v>248</v>
      </c>
      <c r="B250" s="117" t="s">
        <v>5414</v>
      </c>
      <c r="C250" s="117" t="s">
        <v>3857</v>
      </c>
      <c r="D250" s="123" t="s">
        <v>453</v>
      </c>
      <c r="E250" s="123" t="s">
        <v>86</v>
      </c>
      <c r="F250" s="123">
        <v>40848</v>
      </c>
      <c r="G250" s="124">
        <v>44501</v>
      </c>
      <c r="H250" s="116">
        <v>516</v>
      </c>
      <c r="I250" s="116" t="s">
        <v>13</v>
      </c>
      <c r="J250">
        <v>9155.1959999999999</v>
      </c>
      <c r="K250" s="116">
        <v>2857451.6112299999</v>
      </c>
      <c r="L250" t="s">
        <v>13</v>
      </c>
      <c r="M250" s="116">
        <v>2021</v>
      </c>
      <c r="N250" t="s">
        <v>1097</v>
      </c>
    </row>
    <row r="251" spans="1:14" x14ac:dyDescent="0.25">
      <c r="A251" s="116">
        <v>249</v>
      </c>
      <c r="B251" s="117" t="s">
        <v>5414</v>
      </c>
      <c r="C251" s="117" t="s">
        <v>3854</v>
      </c>
      <c r="D251" s="123" t="s">
        <v>453</v>
      </c>
      <c r="E251" s="123" t="s">
        <v>86</v>
      </c>
      <c r="F251" s="123">
        <v>40848</v>
      </c>
      <c r="G251" s="124">
        <v>44501</v>
      </c>
      <c r="H251" s="116">
        <v>382.12</v>
      </c>
      <c r="I251" s="116" t="s">
        <v>13</v>
      </c>
      <c r="J251">
        <v>9237.3546279999991</v>
      </c>
      <c r="K251" s="116">
        <v>2163044.5297900001</v>
      </c>
      <c r="L251" t="s">
        <v>13</v>
      </c>
      <c r="M251" s="116">
        <v>2021</v>
      </c>
      <c r="N251" t="s">
        <v>13</v>
      </c>
    </row>
    <row r="252" spans="1:14" x14ac:dyDescent="0.25">
      <c r="A252" s="116">
        <v>250</v>
      </c>
      <c r="B252" s="117" t="s">
        <v>5414</v>
      </c>
      <c r="C252" s="117" t="s">
        <v>3813</v>
      </c>
      <c r="D252" s="123" t="s">
        <v>453</v>
      </c>
      <c r="E252" s="123" t="s">
        <v>86</v>
      </c>
      <c r="F252" s="123">
        <v>40756</v>
      </c>
      <c r="G252" s="124">
        <v>44409</v>
      </c>
      <c r="H252" s="116">
        <v>161.55000000000001</v>
      </c>
      <c r="I252" s="116" t="s">
        <v>13</v>
      </c>
      <c r="J252">
        <v>5689.5630000000001</v>
      </c>
      <c r="K252" s="116">
        <v>786290.26799099997</v>
      </c>
      <c r="L252" t="s">
        <v>13</v>
      </c>
      <c r="M252" s="116">
        <v>2021</v>
      </c>
      <c r="N252" t="s">
        <v>13</v>
      </c>
    </row>
    <row r="253" spans="1:14" x14ac:dyDescent="0.25">
      <c r="A253" s="116">
        <v>251</v>
      </c>
      <c r="B253" s="117" t="s">
        <v>5414</v>
      </c>
      <c r="C253" s="117" t="s">
        <v>3810</v>
      </c>
      <c r="D253" s="123" t="s">
        <v>453</v>
      </c>
      <c r="E253" s="123" t="s">
        <v>86</v>
      </c>
      <c r="F253" s="123">
        <v>40756</v>
      </c>
      <c r="G253" s="124">
        <v>44409</v>
      </c>
      <c r="H253" s="116">
        <v>160</v>
      </c>
      <c r="I253" s="116" t="s">
        <v>13</v>
      </c>
      <c r="J253">
        <v>7598.5838000000003</v>
      </c>
      <c r="K253" s="116">
        <v>902192.21478899999</v>
      </c>
      <c r="L253" t="s">
        <v>13</v>
      </c>
      <c r="M253" s="116">
        <v>2021</v>
      </c>
      <c r="N253" t="s">
        <v>1097</v>
      </c>
    </row>
    <row r="254" spans="1:14" x14ac:dyDescent="0.25">
      <c r="A254" s="116">
        <v>252</v>
      </c>
      <c r="B254" s="117" t="s">
        <v>5414</v>
      </c>
      <c r="C254" s="117" t="s">
        <v>3807</v>
      </c>
      <c r="D254" s="123" t="s">
        <v>453</v>
      </c>
      <c r="E254" s="123" t="s">
        <v>86</v>
      </c>
      <c r="F254" s="123">
        <v>40756</v>
      </c>
      <c r="G254" s="124">
        <v>44409</v>
      </c>
      <c r="H254" s="116">
        <v>488.17</v>
      </c>
      <c r="I254" s="116" t="s">
        <v>13</v>
      </c>
      <c r="J254">
        <v>8396.5691999999999</v>
      </c>
      <c r="K254" s="116">
        <v>1533549.1420199999</v>
      </c>
      <c r="L254" t="s">
        <v>13</v>
      </c>
      <c r="M254" s="116">
        <v>2021</v>
      </c>
      <c r="N254" t="s">
        <v>13</v>
      </c>
    </row>
    <row r="255" spans="1:14" x14ac:dyDescent="0.25">
      <c r="A255" s="116">
        <v>253</v>
      </c>
      <c r="B255" s="117" t="s">
        <v>5414</v>
      </c>
      <c r="C255" s="117" t="s">
        <v>3804</v>
      </c>
      <c r="D255" s="123" t="s">
        <v>453</v>
      </c>
      <c r="E255" s="123" t="s">
        <v>86</v>
      </c>
      <c r="F255" s="123">
        <v>40756</v>
      </c>
      <c r="G255" s="124">
        <v>44409</v>
      </c>
      <c r="H255" s="116">
        <v>904.92</v>
      </c>
      <c r="I255" s="116" t="s">
        <v>13</v>
      </c>
      <c r="J255">
        <v>14756.695775</v>
      </c>
      <c r="K255" s="116">
        <v>4937990.2487500003</v>
      </c>
      <c r="L255" t="s">
        <v>13</v>
      </c>
      <c r="M255" s="116">
        <v>2021</v>
      </c>
      <c r="N255" t="s">
        <v>13</v>
      </c>
    </row>
    <row r="256" spans="1:14" x14ac:dyDescent="0.25">
      <c r="A256" s="116">
        <v>254</v>
      </c>
      <c r="B256" s="117" t="s">
        <v>5414</v>
      </c>
      <c r="C256" s="117" t="s">
        <v>3801</v>
      </c>
      <c r="D256" s="123" t="s">
        <v>453</v>
      </c>
      <c r="E256" s="123" t="s">
        <v>86</v>
      </c>
      <c r="F256" s="123">
        <v>40756</v>
      </c>
      <c r="G256" s="124">
        <v>44409</v>
      </c>
      <c r="H256" s="116">
        <v>408.79</v>
      </c>
      <c r="I256" s="116" t="s">
        <v>13</v>
      </c>
      <c r="J256">
        <v>12463.848098</v>
      </c>
      <c r="K256" s="116">
        <v>2113307.6660000002</v>
      </c>
      <c r="L256" t="s">
        <v>13</v>
      </c>
      <c r="M256" s="116">
        <v>2021</v>
      </c>
      <c r="N256" t="s">
        <v>13</v>
      </c>
    </row>
    <row r="257" spans="1:14" x14ac:dyDescent="0.25">
      <c r="A257" s="116">
        <v>255</v>
      </c>
      <c r="B257" s="117" t="s">
        <v>5414</v>
      </c>
      <c r="C257" s="117" t="s">
        <v>3792</v>
      </c>
      <c r="D257" s="123" t="s">
        <v>453</v>
      </c>
      <c r="E257" s="123" t="s">
        <v>86</v>
      </c>
      <c r="F257" s="123">
        <v>40756</v>
      </c>
      <c r="G257" s="124">
        <v>44409</v>
      </c>
      <c r="H257" s="116">
        <v>837</v>
      </c>
      <c r="I257" s="116" t="s">
        <v>13</v>
      </c>
      <c r="J257">
        <v>5153.8626750000003</v>
      </c>
      <c r="K257" s="116">
        <v>1126346.47545</v>
      </c>
      <c r="L257" t="s">
        <v>13</v>
      </c>
      <c r="M257" s="116">
        <v>2021</v>
      </c>
      <c r="N257" t="s">
        <v>13</v>
      </c>
    </row>
    <row r="258" spans="1:14" x14ac:dyDescent="0.25">
      <c r="A258" s="116">
        <v>256</v>
      </c>
      <c r="B258" s="117" t="s">
        <v>5414</v>
      </c>
      <c r="C258" s="117" t="s">
        <v>3789</v>
      </c>
      <c r="D258" s="123" t="s">
        <v>453</v>
      </c>
      <c r="E258" s="123" t="s">
        <v>86</v>
      </c>
      <c r="F258" s="123">
        <v>40756</v>
      </c>
      <c r="G258" s="124">
        <v>44409</v>
      </c>
      <c r="H258" s="116">
        <v>240</v>
      </c>
      <c r="I258" s="116" t="s">
        <v>13</v>
      </c>
      <c r="J258">
        <v>8317.8554000000004</v>
      </c>
      <c r="K258" s="116">
        <v>1291173.3970300001</v>
      </c>
      <c r="L258" t="s">
        <v>13</v>
      </c>
      <c r="M258" s="116">
        <v>2021</v>
      </c>
      <c r="N258" t="s">
        <v>13</v>
      </c>
    </row>
    <row r="259" spans="1:14" x14ac:dyDescent="0.25">
      <c r="A259" s="116">
        <v>257</v>
      </c>
      <c r="B259" s="117" t="s">
        <v>5414</v>
      </c>
      <c r="C259" s="117" t="s">
        <v>3228</v>
      </c>
      <c r="D259" s="123" t="s">
        <v>453</v>
      </c>
      <c r="E259" s="123" t="s">
        <v>86</v>
      </c>
      <c r="F259" s="123">
        <v>40575</v>
      </c>
      <c r="G259" s="124">
        <v>44228</v>
      </c>
      <c r="H259" s="116">
        <v>29.4</v>
      </c>
      <c r="I259" s="116" t="s">
        <v>13</v>
      </c>
      <c r="J259">
        <v>2021.4208000000001</v>
      </c>
      <c r="K259" s="116">
        <v>255040.858133</v>
      </c>
      <c r="L259" t="s">
        <v>13</v>
      </c>
      <c r="M259" s="116">
        <v>2021</v>
      </c>
      <c r="N259" t="s">
        <v>13</v>
      </c>
    </row>
    <row r="260" spans="1:14" x14ac:dyDescent="0.25">
      <c r="A260" s="116">
        <v>258</v>
      </c>
      <c r="B260" s="117" t="s">
        <v>5414</v>
      </c>
      <c r="C260" s="117" t="s">
        <v>3225</v>
      </c>
      <c r="D260" s="123" t="s">
        <v>453</v>
      </c>
      <c r="E260" s="123" t="s">
        <v>86</v>
      </c>
      <c r="F260" s="123">
        <v>40575</v>
      </c>
      <c r="G260" s="124">
        <v>44228</v>
      </c>
      <c r="H260" s="116">
        <v>65.05</v>
      </c>
      <c r="I260" s="116" t="s">
        <v>13</v>
      </c>
      <c r="J260">
        <v>5831.4286000000002</v>
      </c>
      <c r="K260" s="116">
        <v>937389.99015099998</v>
      </c>
      <c r="L260" t="s">
        <v>13</v>
      </c>
      <c r="M260" s="116">
        <v>2021</v>
      </c>
      <c r="N260" t="s">
        <v>13</v>
      </c>
    </row>
    <row r="261" spans="1:14" x14ac:dyDescent="0.25">
      <c r="A261" s="116">
        <v>259</v>
      </c>
      <c r="B261" s="117" t="s">
        <v>5414</v>
      </c>
      <c r="C261" s="117" t="s">
        <v>3860</v>
      </c>
      <c r="D261" s="123" t="s">
        <v>453</v>
      </c>
      <c r="E261" s="123" t="s">
        <v>86</v>
      </c>
      <c r="F261" s="123">
        <v>40848</v>
      </c>
      <c r="G261" s="124">
        <v>44501</v>
      </c>
      <c r="H261" s="116">
        <v>546.53</v>
      </c>
      <c r="I261" s="116" t="s">
        <v>13</v>
      </c>
      <c r="J261">
        <v>7493.7560899999999</v>
      </c>
      <c r="K261" s="116">
        <v>3076785.9154500002</v>
      </c>
      <c r="L261" t="s">
        <v>13</v>
      </c>
      <c r="M261" s="116">
        <v>2021</v>
      </c>
      <c r="N261" t="s">
        <v>13</v>
      </c>
    </row>
    <row r="262" spans="1:14" x14ac:dyDescent="0.25">
      <c r="A262" s="116">
        <v>260</v>
      </c>
      <c r="B262" s="117" t="s">
        <v>5414</v>
      </c>
      <c r="C262" s="117" t="s">
        <v>5402</v>
      </c>
      <c r="D262" s="123" t="s">
        <v>453</v>
      </c>
      <c r="E262" s="123" t="s">
        <v>86</v>
      </c>
      <c r="F262" s="123">
        <v>40848</v>
      </c>
      <c r="G262" s="124">
        <v>44501</v>
      </c>
      <c r="H262" s="116">
        <v>637.12</v>
      </c>
      <c r="I262" s="116" t="s">
        <v>13</v>
      </c>
      <c r="J262">
        <v>8880.6302689999993</v>
      </c>
      <c r="K262" s="116">
        <v>3674402.4958299999</v>
      </c>
      <c r="L262" t="s">
        <v>13</v>
      </c>
      <c r="M262" s="116">
        <v>2021</v>
      </c>
      <c r="N262" t="s">
        <v>13</v>
      </c>
    </row>
    <row r="263" spans="1:14" x14ac:dyDescent="0.25">
      <c r="A263" s="116">
        <v>261</v>
      </c>
      <c r="B263" s="117" t="s">
        <v>5414</v>
      </c>
      <c r="C263" s="117" t="s">
        <v>3745</v>
      </c>
      <c r="D263" s="123" t="s">
        <v>453</v>
      </c>
      <c r="E263" s="123" t="s">
        <v>86</v>
      </c>
      <c r="F263" s="123">
        <v>40756</v>
      </c>
      <c r="G263" s="124">
        <v>44409</v>
      </c>
      <c r="H263" s="116">
        <v>76.900000000000006</v>
      </c>
      <c r="I263" s="116" t="s">
        <v>13</v>
      </c>
      <c r="J263">
        <v>2698.8670729999999</v>
      </c>
      <c r="K263" s="116">
        <v>215001.671256</v>
      </c>
      <c r="L263" t="s">
        <v>13</v>
      </c>
      <c r="M263" s="116">
        <v>2021</v>
      </c>
      <c r="N263" t="s">
        <v>13</v>
      </c>
    </row>
    <row r="264" spans="1:14" x14ac:dyDescent="0.25">
      <c r="A264" s="116">
        <v>262</v>
      </c>
      <c r="B264" s="117" t="s">
        <v>5414</v>
      </c>
      <c r="C264" s="117" t="s">
        <v>3787</v>
      </c>
      <c r="D264" s="123" t="s">
        <v>453</v>
      </c>
      <c r="E264" s="123" t="s">
        <v>86</v>
      </c>
      <c r="F264" s="123">
        <v>40756</v>
      </c>
      <c r="G264" s="124">
        <v>44409</v>
      </c>
      <c r="H264" s="116">
        <v>973.07</v>
      </c>
      <c r="I264" s="116" t="s">
        <v>13</v>
      </c>
      <c r="J264">
        <v>17462.567147000002</v>
      </c>
      <c r="K264" s="116">
        <v>4478338.8727700002</v>
      </c>
      <c r="L264" t="s">
        <v>13</v>
      </c>
      <c r="M264" s="116">
        <v>2021</v>
      </c>
      <c r="N264" t="s">
        <v>13</v>
      </c>
    </row>
    <row r="265" spans="1:14" x14ac:dyDescent="0.25">
      <c r="A265" s="116">
        <v>263</v>
      </c>
      <c r="B265" s="117" t="s">
        <v>5414</v>
      </c>
      <c r="C265" s="117" t="s">
        <v>3795</v>
      </c>
      <c r="D265" s="123" t="s">
        <v>453</v>
      </c>
      <c r="E265" s="123" t="s">
        <v>86</v>
      </c>
      <c r="F265" s="123">
        <v>40756</v>
      </c>
      <c r="G265" s="124">
        <v>44409</v>
      </c>
      <c r="H265" s="116">
        <v>1705.39</v>
      </c>
      <c r="I265" s="116" t="s">
        <v>13</v>
      </c>
      <c r="J265">
        <v>11627.792428999999</v>
      </c>
      <c r="K265" s="116">
        <v>7718989.4884000001</v>
      </c>
      <c r="L265" t="s">
        <v>13</v>
      </c>
      <c r="M265" s="116">
        <v>2021</v>
      </c>
      <c r="N265" t="s">
        <v>13</v>
      </c>
    </row>
    <row r="266" spans="1:14" x14ac:dyDescent="0.25">
      <c r="A266" s="116">
        <v>264</v>
      </c>
      <c r="B266" s="117" t="s">
        <v>5414</v>
      </c>
      <c r="C266" s="117" t="s">
        <v>3798</v>
      </c>
      <c r="D266" s="123" t="s">
        <v>453</v>
      </c>
      <c r="E266" s="123" t="s">
        <v>86</v>
      </c>
      <c r="F266" s="123">
        <v>40756</v>
      </c>
      <c r="G266" s="124">
        <v>44409</v>
      </c>
      <c r="H266" s="116">
        <v>282.05</v>
      </c>
      <c r="I266" s="116" t="s">
        <v>13</v>
      </c>
      <c r="J266">
        <v>7753.7492570000004</v>
      </c>
      <c r="K266" s="116">
        <v>1923838.95264</v>
      </c>
      <c r="L266" t="s">
        <v>13</v>
      </c>
      <c r="M266" s="116">
        <v>2021</v>
      </c>
      <c r="N266" t="s">
        <v>13</v>
      </c>
    </row>
    <row r="267" spans="1:14" x14ac:dyDescent="0.25">
      <c r="A267" s="116">
        <v>265</v>
      </c>
      <c r="B267" s="117" t="s">
        <v>5414</v>
      </c>
      <c r="C267" s="117" t="s">
        <v>3881</v>
      </c>
      <c r="D267" s="123" t="s">
        <v>453</v>
      </c>
      <c r="E267" s="123" t="s">
        <v>86</v>
      </c>
      <c r="F267" s="123">
        <v>40848</v>
      </c>
      <c r="G267" s="124">
        <v>44501</v>
      </c>
      <c r="H267" s="116">
        <v>141.91999999999999</v>
      </c>
      <c r="I267" s="116" t="s">
        <v>13</v>
      </c>
      <c r="J267">
        <v>3762.4498100000001</v>
      </c>
      <c r="K267" s="116">
        <v>884137.34224799997</v>
      </c>
      <c r="L267" t="s">
        <v>13</v>
      </c>
      <c r="M267" s="116">
        <v>2021</v>
      </c>
      <c r="N267" t="s">
        <v>13</v>
      </c>
    </row>
    <row r="268" spans="1:14" x14ac:dyDescent="0.25">
      <c r="A268" s="116">
        <v>266</v>
      </c>
      <c r="B268" s="117" t="s">
        <v>5414</v>
      </c>
      <c r="C268" s="117" t="s">
        <v>2735</v>
      </c>
      <c r="D268" s="123" t="s">
        <v>2736</v>
      </c>
      <c r="E268" s="123" t="s">
        <v>86</v>
      </c>
      <c r="F268" s="123">
        <v>40330</v>
      </c>
      <c r="G268" s="124">
        <v>43983</v>
      </c>
      <c r="H268" s="116">
        <v>400</v>
      </c>
      <c r="I268" s="116" t="s">
        <v>13</v>
      </c>
      <c r="J268">
        <v>11290.241792999999</v>
      </c>
      <c r="K268" s="116">
        <v>2194763.8844400002</v>
      </c>
      <c r="L268" t="s">
        <v>13</v>
      </c>
      <c r="M268" s="116">
        <v>2020</v>
      </c>
      <c r="N268" t="s">
        <v>13</v>
      </c>
    </row>
    <row r="269" spans="1:14" x14ac:dyDescent="0.25">
      <c r="A269" s="116">
        <v>267</v>
      </c>
      <c r="B269" s="117" t="s">
        <v>5414</v>
      </c>
      <c r="C269" s="117" t="s">
        <v>4035</v>
      </c>
      <c r="D269" s="123" t="s">
        <v>3660</v>
      </c>
      <c r="E269" s="123" t="s">
        <v>86</v>
      </c>
      <c r="F269" s="123">
        <v>40909</v>
      </c>
      <c r="G269" s="124">
        <v>44562</v>
      </c>
      <c r="H269" s="116">
        <v>2353.9</v>
      </c>
      <c r="I269" s="116" t="s">
        <v>13</v>
      </c>
      <c r="J269">
        <v>39932.3802</v>
      </c>
      <c r="K269" s="116">
        <v>15061158.2552</v>
      </c>
      <c r="L269" t="s">
        <v>13</v>
      </c>
      <c r="M269" s="116">
        <v>2022</v>
      </c>
      <c r="N269" t="s">
        <v>13</v>
      </c>
    </row>
    <row r="270" spans="1:14" x14ac:dyDescent="0.25">
      <c r="A270" s="116">
        <v>268</v>
      </c>
      <c r="B270" s="117" t="s">
        <v>5414</v>
      </c>
      <c r="C270" s="117" t="s">
        <v>4032</v>
      </c>
      <c r="D270" s="123" t="s">
        <v>3660</v>
      </c>
      <c r="E270" s="123" t="s">
        <v>86</v>
      </c>
      <c r="F270" s="123">
        <v>40909</v>
      </c>
      <c r="G270" s="124">
        <v>44562</v>
      </c>
      <c r="H270" s="116">
        <v>79</v>
      </c>
      <c r="I270" s="116" t="s">
        <v>13</v>
      </c>
      <c r="J270">
        <v>2912.8971999999999</v>
      </c>
      <c r="K270" s="116">
        <v>472487.55153400003</v>
      </c>
      <c r="L270" t="s">
        <v>13</v>
      </c>
      <c r="M270" s="116">
        <v>2022</v>
      </c>
      <c r="N270" t="s">
        <v>13</v>
      </c>
    </row>
    <row r="271" spans="1:14" x14ac:dyDescent="0.25">
      <c r="A271" s="116">
        <v>269</v>
      </c>
      <c r="B271" s="117" t="s">
        <v>5414</v>
      </c>
      <c r="C271" s="117" t="s">
        <v>4030</v>
      </c>
      <c r="D271" s="123" t="s">
        <v>3660</v>
      </c>
      <c r="E271" s="123" t="s">
        <v>86</v>
      </c>
      <c r="F271" s="123">
        <v>40909</v>
      </c>
      <c r="G271" s="124">
        <v>44562</v>
      </c>
      <c r="H271" s="116">
        <v>568.29999999999995</v>
      </c>
      <c r="I271" s="116" t="s">
        <v>13</v>
      </c>
      <c r="J271">
        <v>14288.428099999999</v>
      </c>
      <c r="K271" s="116">
        <v>3326702.3714899998</v>
      </c>
      <c r="L271" t="s">
        <v>13</v>
      </c>
      <c r="M271" s="116">
        <v>2022</v>
      </c>
      <c r="N271" t="s">
        <v>13</v>
      </c>
    </row>
    <row r="272" spans="1:14" x14ac:dyDescent="0.25">
      <c r="A272" s="116">
        <v>270</v>
      </c>
      <c r="B272" s="117" t="s">
        <v>5414</v>
      </c>
      <c r="C272" s="117" t="s">
        <v>4028</v>
      </c>
      <c r="D272" s="123" t="s">
        <v>3660</v>
      </c>
      <c r="E272" s="123" t="s">
        <v>86</v>
      </c>
      <c r="F272" s="123">
        <v>40909</v>
      </c>
      <c r="G272" s="124">
        <v>44562</v>
      </c>
      <c r="H272" s="116">
        <v>1422.8</v>
      </c>
      <c r="I272" s="116" t="s">
        <v>13</v>
      </c>
      <c r="J272">
        <v>16446.5334</v>
      </c>
      <c r="K272" s="116">
        <v>8644583.2607099991</v>
      </c>
      <c r="L272" t="s">
        <v>13</v>
      </c>
      <c r="M272" s="116">
        <v>2022</v>
      </c>
      <c r="N272" t="s">
        <v>13</v>
      </c>
    </row>
    <row r="273" spans="1:14" x14ac:dyDescent="0.25">
      <c r="A273" s="116">
        <v>271</v>
      </c>
      <c r="B273" s="117" t="s">
        <v>5414</v>
      </c>
      <c r="C273" s="117" t="s">
        <v>4026</v>
      </c>
      <c r="D273" s="123" t="s">
        <v>3660</v>
      </c>
      <c r="E273" s="123" t="s">
        <v>86</v>
      </c>
      <c r="F273" s="123">
        <v>40909</v>
      </c>
      <c r="G273" s="124">
        <v>44562</v>
      </c>
      <c r="H273" s="116">
        <v>1419.3</v>
      </c>
      <c r="I273" s="116" t="s">
        <v>13</v>
      </c>
      <c r="J273">
        <v>13726.858399999999</v>
      </c>
      <c r="K273" s="116">
        <v>8980084.1046099998</v>
      </c>
      <c r="L273" t="s">
        <v>13</v>
      </c>
      <c r="M273" s="116">
        <v>2022</v>
      </c>
      <c r="N273" t="s">
        <v>13</v>
      </c>
    </row>
    <row r="274" spans="1:14" x14ac:dyDescent="0.25">
      <c r="A274" s="116">
        <v>272</v>
      </c>
      <c r="B274" s="117" t="s">
        <v>5414</v>
      </c>
      <c r="C274" s="117" t="s">
        <v>4024</v>
      </c>
      <c r="D274" s="123" t="s">
        <v>3660</v>
      </c>
      <c r="E274" s="123" t="s">
        <v>86</v>
      </c>
      <c r="F274" s="123">
        <v>40909</v>
      </c>
      <c r="G274" s="124">
        <v>44562</v>
      </c>
      <c r="H274" s="116">
        <v>1940</v>
      </c>
      <c r="I274" s="116" t="s">
        <v>13</v>
      </c>
      <c r="J274">
        <v>20386.885999999999</v>
      </c>
      <c r="K274" s="116">
        <v>11495093.6942</v>
      </c>
      <c r="L274" t="s">
        <v>13</v>
      </c>
      <c r="M274" s="116">
        <v>2022</v>
      </c>
      <c r="N274" t="s">
        <v>13</v>
      </c>
    </row>
    <row r="275" spans="1:14" x14ac:dyDescent="0.25">
      <c r="A275" s="116">
        <v>273</v>
      </c>
      <c r="B275" s="117" t="s">
        <v>5414</v>
      </c>
      <c r="C275" s="117" t="s">
        <v>4021</v>
      </c>
      <c r="D275" s="123" t="s">
        <v>3660</v>
      </c>
      <c r="E275" s="123" t="s">
        <v>86</v>
      </c>
      <c r="F275" s="123">
        <v>40909</v>
      </c>
      <c r="G275" s="124">
        <v>44562</v>
      </c>
      <c r="H275" s="116">
        <v>246</v>
      </c>
      <c r="I275" s="116" t="s">
        <v>13</v>
      </c>
      <c r="J275">
        <v>5819.9629999999997</v>
      </c>
      <c r="K275" s="116">
        <v>1472647.3782200001</v>
      </c>
      <c r="L275" t="s">
        <v>13</v>
      </c>
      <c r="M275" s="116">
        <v>2022</v>
      </c>
      <c r="N275" t="s">
        <v>13</v>
      </c>
    </row>
    <row r="276" spans="1:14" x14ac:dyDescent="0.25">
      <c r="A276" s="116">
        <v>274</v>
      </c>
      <c r="B276" s="117" t="s">
        <v>5414</v>
      </c>
      <c r="C276" s="117" t="s">
        <v>3658</v>
      </c>
      <c r="D276" s="123" t="s">
        <v>5423</v>
      </c>
      <c r="E276" s="123" t="s">
        <v>86</v>
      </c>
      <c r="F276" s="123">
        <v>40787</v>
      </c>
      <c r="G276" s="124">
        <v>44440</v>
      </c>
      <c r="H276" s="116">
        <v>40.200000000000003</v>
      </c>
      <c r="I276" s="116" t="s">
        <v>13</v>
      </c>
      <c r="J276">
        <v>1936.7538</v>
      </c>
      <c r="K276" s="116">
        <v>234375.45041399999</v>
      </c>
      <c r="L276" t="s">
        <v>13</v>
      </c>
      <c r="M276" s="116">
        <v>2021</v>
      </c>
      <c r="N276" t="s">
        <v>13</v>
      </c>
    </row>
    <row r="277" spans="1:14" x14ac:dyDescent="0.25">
      <c r="A277" s="116">
        <v>275</v>
      </c>
      <c r="B277" s="117" t="s">
        <v>5414</v>
      </c>
      <c r="C277" s="117" t="s">
        <v>4218</v>
      </c>
      <c r="D277" s="123" t="s">
        <v>4220</v>
      </c>
      <c r="E277" s="123" t="s">
        <v>86</v>
      </c>
      <c r="F277" s="123">
        <v>41122</v>
      </c>
      <c r="G277" s="124">
        <v>44774</v>
      </c>
      <c r="H277" s="116">
        <v>160</v>
      </c>
      <c r="I277" s="116" t="s">
        <v>13</v>
      </c>
      <c r="J277">
        <v>4851.4098000000004</v>
      </c>
      <c r="K277" s="116">
        <v>946977.75615699997</v>
      </c>
      <c r="L277" t="s">
        <v>13</v>
      </c>
      <c r="M277" s="116">
        <v>2022</v>
      </c>
      <c r="N277" t="s">
        <v>13</v>
      </c>
    </row>
    <row r="278" spans="1:14" x14ac:dyDescent="0.25">
      <c r="A278" s="116">
        <v>276</v>
      </c>
      <c r="B278" s="117" t="s">
        <v>5414</v>
      </c>
      <c r="C278" s="117" t="s">
        <v>4222</v>
      </c>
      <c r="D278" s="123" t="s">
        <v>4220</v>
      </c>
      <c r="E278" s="123" t="s">
        <v>86</v>
      </c>
      <c r="F278" s="123">
        <v>41122</v>
      </c>
      <c r="G278" s="124">
        <v>44774</v>
      </c>
      <c r="H278" s="116">
        <v>1285.44</v>
      </c>
      <c r="I278" s="116" t="s">
        <v>13</v>
      </c>
      <c r="J278">
        <v>11430.022800000001</v>
      </c>
      <c r="K278" s="116">
        <v>7305820.8925299998</v>
      </c>
      <c r="L278" t="s">
        <v>13</v>
      </c>
      <c r="M278" s="116">
        <v>2022</v>
      </c>
      <c r="N278" t="s">
        <v>13</v>
      </c>
    </row>
    <row r="279" spans="1:14" x14ac:dyDescent="0.25">
      <c r="A279" s="116">
        <v>277</v>
      </c>
      <c r="B279" s="117" t="s">
        <v>5414</v>
      </c>
      <c r="C279" s="117" t="s">
        <v>4225</v>
      </c>
      <c r="D279" s="123" t="s">
        <v>4220</v>
      </c>
      <c r="E279" s="123" t="s">
        <v>86</v>
      </c>
      <c r="F279" s="123">
        <v>41122</v>
      </c>
      <c r="G279" s="124">
        <v>44774</v>
      </c>
      <c r="H279" s="116">
        <v>210.3</v>
      </c>
      <c r="I279" s="116" t="s">
        <v>13</v>
      </c>
      <c r="J279">
        <v>7036.126698</v>
      </c>
      <c r="K279" s="116">
        <v>1187649.6758999999</v>
      </c>
      <c r="L279" t="s">
        <v>13</v>
      </c>
      <c r="M279" s="116">
        <v>2022</v>
      </c>
      <c r="N279" t="s">
        <v>13</v>
      </c>
    </row>
    <row r="280" spans="1:14" x14ac:dyDescent="0.25">
      <c r="A280" s="116">
        <v>278</v>
      </c>
      <c r="B280" s="117" t="s">
        <v>5414</v>
      </c>
      <c r="C280" s="117" t="s">
        <v>4228</v>
      </c>
      <c r="D280" s="123" t="s">
        <v>4220</v>
      </c>
      <c r="E280" s="123" t="s">
        <v>86</v>
      </c>
      <c r="F280" s="123">
        <v>41122</v>
      </c>
      <c r="G280" s="124">
        <v>44774</v>
      </c>
      <c r="H280" s="116">
        <v>639.55999999999995</v>
      </c>
      <c r="I280" s="116" t="s">
        <v>13</v>
      </c>
      <c r="J280">
        <v>7632.8810810000004</v>
      </c>
      <c r="K280" s="116">
        <v>3639134.0326200002</v>
      </c>
      <c r="L280" t="s">
        <v>13</v>
      </c>
      <c r="M280" s="116">
        <v>2022</v>
      </c>
      <c r="N280" t="s">
        <v>13</v>
      </c>
    </row>
    <row r="281" spans="1:14" x14ac:dyDescent="0.25">
      <c r="A281" s="116">
        <v>279</v>
      </c>
      <c r="B281" s="117" t="s">
        <v>5414</v>
      </c>
      <c r="C281" s="117" t="s">
        <v>4243</v>
      </c>
      <c r="D281" s="123" t="s">
        <v>4220</v>
      </c>
      <c r="E281" s="123" t="s">
        <v>86</v>
      </c>
      <c r="F281" s="123">
        <v>41122</v>
      </c>
      <c r="G281" s="124">
        <v>44774</v>
      </c>
      <c r="H281" s="116">
        <v>642.53</v>
      </c>
      <c r="I281" s="116" t="s">
        <v>13</v>
      </c>
      <c r="J281">
        <v>7596.2025999999996</v>
      </c>
      <c r="K281" s="116">
        <v>3606389.4336199998</v>
      </c>
      <c r="L281" t="s">
        <v>13</v>
      </c>
      <c r="M281" s="116">
        <v>2022</v>
      </c>
      <c r="N281" t="s">
        <v>13</v>
      </c>
    </row>
    <row r="282" spans="1:14" x14ac:dyDescent="0.25">
      <c r="A282" s="116">
        <v>280</v>
      </c>
      <c r="B282" s="117" t="s">
        <v>5414</v>
      </c>
      <c r="C282" s="117" t="s">
        <v>4257</v>
      </c>
      <c r="D282" s="123" t="s">
        <v>4220</v>
      </c>
      <c r="E282" s="123" t="s">
        <v>86</v>
      </c>
      <c r="F282" s="123">
        <v>41122</v>
      </c>
      <c r="G282" s="124">
        <v>44774</v>
      </c>
      <c r="H282" s="116">
        <v>1501.96</v>
      </c>
      <c r="I282" s="116" t="s">
        <v>13</v>
      </c>
      <c r="J282">
        <v>14699.8986</v>
      </c>
      <c r="K282" s="116">
        <v>8497997.4778099991</v>
      </c>
      <c r="L282" t="s">
        <v>13</v>
      </c>
      <c r="M282" s="116">
        <v>2022</v>
      </c>
      <c r="N282" t="s">
        <v>13</v>
      </c>
    </row>
    <row r="283" spans="1:14" x14ac:dyDescent="0.25">
      <c r="A283" s="116">
        <v>281</v>
      </c>
      <c r="B283" s="117" t="s">
        <v>5414</v>
      </c>
      <c r="C283" s="117" t="s">
        <v>4632</v>
      </c>
      <c r="D283" s="123" t="s">
        <v>4220</v>
      </c>
      <c r="E283" s="123" t="s">
        <v>86</v>
      </c>
      <c r="F283" s="123">
        <v>41609</v>
      </c>
      <c r="G283" s="124">
        <v>45261</v>
      </c>
      <c r="H283" s="116">
        <v>80</v>
      </c>
      <c r="I283" s="116" t="s">
        <v>13</v>
      </c>
      <c r="J283">
        <v>2895.8160459999999</v>
      </c>
      <c r="K283" s="116">
        <v>468831.595355</v>
      </c>
      <c r="L283" t="s">
        <v>13</v>
      </c>
      <c r="M283" s="116">
        <v>2023</v>
      </c>
      <c r="N283" t="s">
        <v>13</v>
      </c>
    </row>
    <row r="284" spans="1:14" x14ac:dyDescent="0.25">
      <c r="A284" s="116">
        <v>282</v>
      </c>
      <c r="B284" s="117" t="s">
        <v>5414</v>
      </c>
      <c r="C284" s="117" t="s">
        <v>2878</v>
      </c>
      <c r="D284" s="123" t="s">
        <v>2758</v>
      </c>
      <c r="E284" s="123" t="s">
        <v>86</v>
      </c>
      <c r="F284" s="123">
        <v>40422</v>
      </c>
      <c r="G284" s="124">
        <v>44075</v>
      </c>
      <c r="H284" s="116">
        <v>80</v>
      </c>
      <c r="I284" s="116" t="s">
        <v>13</v>
      </c>
      <c r="J284">
        <v>2868.0891999999999</v>
      </c>
      <c r="K284" s="116">
        <v>458670.336679</v>
      </c>
      <c r="L284" t="s">
        <v>13</v>
      </c>
      <c r="M284" s="116">
        <v>2020</v>
      </c>
      <c r="N284" t="s">
        <v>13</v>
      </c>
    </row>
    <row r="285" spans="1:14" x14ac:dyDescent="0.25">
      <c r="A285" s="116">
        <v>283</v>
      </c>
      <c r="B285" s="117" t="s">
        <v>5414</v>
      </c>
      <c r="C285" s="117" t="s">
        <v>2742</v>
      </c>
      <c r="D285" s="123" t="s">
        <v>2743</v>
      </c>
      <c r="E285" s="123" t="s">
        <v>86</v>
      </c>
      <c r="F285" s="123">
        <v>40330</v>
      </c>
      <c r="G285" s="124">
        <v>43983</v>
      </c>
      <c r="H285" s="116">
        <v>173.33</v>
      </c>
      <c r="I285" s="116" t="s">
        <v>13</v>
      </c>
      <c r="J285">
        <v>4743.9885999999997</v>
      </c>
      <c r="K285" s="116">
        <v>1065739.8672</v>
      </c>
      <c r="L285" t="s">
        <v>13</v>
      </c>
      <c r="M285" s="116">
        <v>2020</v>
      </c>
      <c r="N285" t="s">
        <v>13</v>
      </c>
    </row>
    <row r="286" spans="1:14" x14ac:dyDescent="0.25">
      <c r="A286" s="116">
        <v>284</v>
      </c>
      <c r="B286" s="117" t="s">
        <v>5414</v>
      </c>
      <c r="C286" s="117" t="s">
        <v>4375</v>
      </c>
      <c r="D286" s="123" t="s">
        <v>287</v>
      </c>
      <c r="E286" s="123" t="s">
        <v>86</v>
      </c>
      <c r="F286" s="123">
        <v>41518</v>
      </c>
      <c r="G286" s="124">
        <v>45170</v>
      </c>
      <c r="H286" s="116">
        <v>115</v>
      </c>
      <c r="I286" s="116" t="s">
        <v>13</v>
      </c>
      <c r="J286">
        <v>4650.0613999999996</v>
      </c>
      <c r="K286" s="116">
        <v>656916.80266799999</v>
      </c>
      <c r="L286" t="s">
        <v>13</v>
      </c>
      <c r="M286" s="116">
        <v>2023</v>
      </c>
      <c r="N286" t="s">
        <v>13</v>
      </c>
    </row>
    <row r="287" spans="1:14" x14ac:dyDescent="0.25">
      <c r="A287" s="116">
        <v>285</v>
      </c>
      <c r="B287" s="117" t="s">
        <v>5414</v>
      </c>
      <c r="C287" s="117" t="s">
        <v>4372</v>
      </c>
      <c r="D287" s="123" t="s">
        <v>287</v>
      </c>
      <c r="E287" s="123" t="s">
        <v>86</v>
      </c>
      <c r="F287" s="123">
        <v>41518</v>
      </c>
      <c r="G287" s="124">
        <v>45170</v>
      </c>
      <c r="H287" s="116">
        <v>425.96</v>
      </c>
      <c r="I287" s="116" t="s">
        <v>13</v>
      </c>
      <c r="J287">
        <v>8254.0286799999994</v>
      </c>
      <c r="K287" s="116">
        <v>2371618.6922300002</v>
      </c>
      <c r="L287" t="s">
        <v>13</v>
      </c>
      <c r="M287" s="116">
        <v>2023</v>
      </c>
      <c r="N287" t="s">
        <v>13</v>
      </c>
    </row>
    <row r="288" spans="1:14" x14ac:dyDescent="0.25">
      <c r="A288" s="116">
        <v>286</v>
      </c>
      <c r="B288" s="117" t="s">
        <v>5414</v>
      </c>
      <c r="C288" s="117" t="s">
        <v>4365</v>
      </c>
      <c r="D288" s="123" t="s">
        <v>287</v>
      </c>
      <c r="E288" s="123" t="s">
        <v>86</v>
      </c>
      <c r="F288" s="123">
        <v>41518</v>
      </c>
      <c r="G288" s="124">
        <v>45170</v>
      </c>
      <c r="H288" s="116">
        <v>659.34</v>
      </c>
      <c r="I288" s="116" t="s">
        <v>13</v>
      </c>
      <c r="J288">
        <v>17941.519885000002</v>
      </c>
      <c r="K288" s="116">
        <v>3518589.98685</v>
      </c>
      <c r="L288" t="s">
        <v>13</v>
      </c>
      <c r="M288" s="116">
        <v>2023</v>
      </c>
      <c r="N288" t="s">
        <v>13</v>
      </c>
    </row>
    <row r="289" spans="1:14" x14ac:dyDescent="0.25">
      <c r="A289" s="116">
        <v>287</v>
      </c>
      <c r="B289" s="117" t="s">
        <v>5414</v>
      </c>
      <c r="C289" s="117" t="s">
        <v>4362</v>
      </c>
      <c r="D289" s="123" t="s">
        <v>287</v>
      </c>
      <c r="E289" s="123" t="s">
        <v>86</v>
      </c>
      <c r="F289" s="123">
        <v>41518</v>
      </c>
      <c r="G289" s="124">
        <v>45170</v>
      </c>
      <c r="H289" s="116">
        <v>4</v>
      </c>
      <c r="I289" s="116" t="s">
        <v>13</v>
      </c>
      <c r="J289">
        <v>1077.3856000000001</v>
      </c>
      <c r="K289" s="116">
        <v>25705.711437000002</v>
      </c>
      <c r="L289" t="s">
        <v>13</v>
      </c>
      <c r="M289" s="116">
        <v>2023</v>
      </c>
      <c r="N289" t="s">
        <v>13</v>
      </c>
    </row>
    <row r="290" spans="1:14" x14ac:dyDescent="0.25">
      <c r="A290" s="116">
        <v>288</v>
      </c>
      <c r="B290" s="117" t="s">
        <v>5414</v>
      </c>
      <c r="C290" s="117" t="s">
        <v>4359</v>
      </c>
      <c r="D290" s="123" t="s">
        <v>287</v>
      </c>
      <c r="E290" s="123" t="s">
        <v>86</v>
      </c>
      <c r="F290" s="123">
        <v>41518</v>
      </c>
      <c r="G290" s="124">
        <v>45170</v>
      </c>
      <c r="H290" s="116">
        <v>40.049999999999997</v>
      </c>
      <c r="I290" s="116" t="s">
        <v>13</v>
      </c>
      <c r="J290">
        <v>1899.7121999999999</v>
      </c>
      <c r="K290" s="116">
        <v>225540.901702</v>
      </c>
      <c r="L290" t="s">
        <v>13</v>
      </c>
      <c r="M290" s="116">
        <v>2023</v>
      </c>
      <c r="N290" t="s">
        <v>13</v>
      </c>
    </row>
    <row r="291" spans="1:14" x14ac:dyDescent="0.25">
      <c r="A291" s="116">
        <v>289</v>
      </c>
      <c r="B291" s="117" t="s">
        <v>5414</v>
      </c>
      <c r="C291" s="117" t="s">
        <v>4325</v>
      </c>
      <c r="D291" s="123" t="s">
        <v>287</v>
      </c>
      <c r="E291" s="123" t="s">
        <v>86</v>
      </c>
      <c r="F291" s="123">
        <v>41122</v>
      </c>
      <c r="G291" s="124">
        <v>44774</v>
      </c>
      <c r="H291" s="116">
        <v>1245.75</v>
      </c>
      <c r="I291" s="116" t="s">
        <v>13</v>
      </c>
      <c r="J291">
        <v>36378.741399999999</v>
      </c>
      <c r="K291" s="116">
        <v>7071161.0012600003</v>
      </c>
      <c r="L291" t="s">
        <v>13</v>
      </c>
      <c r="M291" s="116">
        <v>2022</v>
      </c>
      <c r="N291" t="s">
        <v>13</v>
      </c>
    </row>
    <row r="292" spans="1:14" x14ac:dyDescent="0.25">
      <c r="A292" s="116">
        <v>290</v>
      </c>
      <c r="B292" s="117" t="s">
        <v>5414</v>
      </c>
      <c r="C292" s="117" t="s">
        <v>4323</v>
      </c>
      <c r="D292" s="123" t="s">
        <v>287</v>
      </c>
      <c r="E292" s="123" t="s">
        <v>86</v>
      </c>
      <c r="F292" s="123">
        <v>41122</v>
      </c>
      <c r="G292" s="124">
        <v>44774</v>
      </c>
      <c r="H292" s="116">
        <v>2532.17</v>
      </c>
      <c r="I292" s="116" t="s">
        <v>13</v>
      </c>
      <c r="J292">
        <v>52329.358999999997</v>
      </c>
      <c r="K292" s="116">
        <v>13469151.498299999</v>
      </c>
      <c r="L292" t="s">
        <v>13</v>
      </c>
      <c r="M292" s="116">
        <v>2022</v>
      </c>
      <c r="N292" t="s">
        <v>13</v>
      </c>
    </row>
    <row r="293" spans="1:14" x14ac:dyDescent="0.25">
      <c r="A293" s="116">
        <v>291</v>
      </c>
      <c r="B293" s="117" t="s">
        <v>5414</v>
      </c>
      <c r="C293" s="117" t="s">
        <v>4254</v>
      </c>
      <c r="D293" s="123" t="s">
        <v>287</v>
      </c>
      <c r="E293" s="123" t="s">
        <v>86</v>
      </c>
      <c r="F293" s="123">
        <v>41122</v>
      </c>
      <c r="G293" s="124">
        <v>44774</v>
      </c>
      <c r="H293" s="116">
        <v>233</v>
      </c>
      <c r="I293" s="116" t="s">
        <v>13</v>
      </c>
      <c r="J293">
        <v>6985.6688340000001</v>
      </c>
      <c r="K293" s="116">
        <v>1320686.36732</v>
      </c>
      <c r="L293" t="s">
        <v>13</v>
      </c>
      <c r="M293" s="116">
        <v>2022</v>
      </c>
      <c r="N293" t="s">
        <v>13</v>
      </c>
    </row>
    <row r="294" spans="1:14" x14ac:dyDescent="0.25">
      <c r="A294" s="116">
        <v>292</v>
      </c>
      <c r="B294" s="117" t="s">
        <v>5414</v>
      </c>
      <c r="C294" s="117" t="s">
        <v>4212</v>
      </c>
      <c r="D294" s="123" t="s">
        <v>287</v>
      </c>
      <c r="E294" s="123" t="s">
        <v>86</v>
      </c>
      <c r="F294" s="123">
        <v>41122</v>
      </c>
      <c r="G294" s="124">
        <v>44774</v>
      </c>
      <c r="H294" s="116">
        <v>233.29</v>
      </c>
      <c r="I294" s="116" t="s">
        <v>13</v>
      </c>
      <c r="J294">
        <v>7837.5443089999999</v>
      </c>
      <c r="K294" s="116">
        <v>1247659.25682</v>
      </c>
      <c r="L294" t="s">
        <v>13</v>
      </c>
      <c r="M294" s="116">
        <v>2022</v>
      </c>
      <c r="N294" t="s">
        <v>13</v>
      </c>
    </row>
    <row r="295" spans="1:14" x14ac:dyDescent="0.25">
      <c r="A295" s="116">
        <v>293</v>
      </c>
      <c r="B295" s="117" t="s">
        <v>5414</v>
      </c>
      <c r="C295" s="117" t="s">
        <v>4136</v>
      </c>
      <c r="D295" s="123" t="s">
        <v>287</v>
      </c>
      <c r="E295" s="123" t="s">
        <v>86</v>
      </c>
      <c r="F295" s="123">
        <v>41030</v>
      </c>
      <c r="G295" s="124">
        <v>44682</v>
      </c>
      <c r="H295" s="116">
        <v>482.28</v>
      </c>
      <c r="I295" s="116" t="s">
        <v>13</v>
      </c>
      <c r="J295">
        <v>7323.5599730000004</v>
      </c>
      <c r="K295" s="116">
        <v>3328827.6489300001</v>
      </c>
      <c r="L295" t="s">
        <v>13</v>
      </c>
      <c r="M295" s="116">
        <v>2022</v>
      </c>
      <c r="N295" t="s">
        <v>13</v>
      </c>
    </row>
    <row r="296" spans="1:14" x14ac:dyDescent="0.25">
      <c r="A296" s="116">
        <v>294</v>
      </c>
      <c r="B296" s="117" t="s">
        <v>5414</v>
      </c>
      <c r="C296" s="117" t="s">
        <v>4133</v>
      </c>
      <c r="D296" s="123" t="s">
        <v>287</v>
      </c>
      <c r="E296" s="123" t="s">
        <v>86</v>
      </c>
      <c r="F296" s="123">
        <v>41030</v>
      </c>
      <c r="G296" s="124">
        <v>44682</v>
      </c>
      <c r="H296" s="116">
        <v>151.75</v>
      </c>
      <c r="I296" s="116" t="s">
        <v>13</v>
      </c>
      <c r="J296">
        <v>3810.0075999999999</v>
      </c>
      <c r="K296" s="116">
        <v>875015.227892</v>
      </c>
      <c r="L296" t="s">
        <v>13</v>
      </c>
      <c r="M296" s="116">
        <v>2022</v>
      </c>
      <c r="N296" t="s">
        <v>13</v>
      </c>
    </row>
    <row r="297" spans="1:14" x14ac:dyDescent="0.25">
      <c r="A297" s="116">
        <v>295</v>
      </c>
      <c r="B297" s="117" t="s">
        <v>5414</v>
      </c>
      <c r="C297" s="117" t="s">
        <v>3687</v>
      </c>
      <c r="D297" s="123" t="s">
        <v>287</v>
      </c>
      <c r="E297" s="123" t="s">
        <v>86</v>
      </c>
      <c r="F297" s="123">
        <v>40756</v>
      </c>
      <c r="G297" s="124">
        <v>44409</v>
      </c>
      <c r="H297" s="116">
        <v>488.92</v>
      </c>
      <c r="I297" s="116" t="s">
        <v>13</v>
      </c>
      <c r="J297">
        <v>10335.663925000001</v>
      </c>
      <c r="K297" s="116">
        <v>2812672.8632800002</v>
      </c>
      <c r="L297" t="s">
        <v>13</v>
      </c>
      <c r="M297" s="116">
        <v>2021</v>
      </c>
      <c r="N297" t="s">
        <v>13</v>
      </c>
    </row>
    <row r="298" spans="1:14" x14ac:dyDescent="0.25">
      <c r="A298" s="116">
        <v>296</v>
      </c>
      <c r="B298" s="117" t="s">
        <v>5414</v>
      </c>
      <c r="C298" s="117" t="s">
        <v>3684</v>
      </c>
      <c r="D298" s="123" t="s">
        <v>287</v>
      </c>
      <c r="E298" s="123" t="s">
        <v>86</v>
      </c>
      <c r="F298" s="123">
        <v>40756</v>
      </c>
      <c r="G298" s="124">
        <v>44409</v>
      </c>
      <c r="H298" s="116">
        <v>159.38</v>
      </c>
      <c r="I298" s="116" t="s">
        <v>13</v>
      </c>
      <c r="J298">
        <v>4995.563427</v>
      </c>
      <c r="K298" s="116">
        <v>964609.07443499996</v>
      </c>
      <c r="L298" t="s">
        <v>13</v>
      </c>
      <c r="M298" s="116">
        <v>2021</v>
      </c>
      <c r="N298" t="s">
        <v>13</v>
      </c>
    </row>
    <row r="299" spans="1:14" x14ac:dyDescent="0.25">
      <c r="A299" s="116">
        <v>297</v>
      </c>
      <c r="B299" s="117" t="s">
        <v>5414</v>
      </c>
      <c r="C299" s="117" t="s">
        <v>3679</v>
      </c>
      <c r="D299" s="123" t="s">
        <v>287</v>
      </c>
      <c r="E299" s="123" t="s">
        <v>86</v>
      </c>
      <c r="F299" s="123">
        <v>40756</v>
      </c>
      <c r="G299" s="124">
        <v>44409</v>
      </c>
      <c r="H299" s="116">
        <v>543.22</v>
      </c>
      <c r="I299" s="116" t="s">
        <v>13</v>
      </c>
      <c r="J299">
        <v>14094.786849</v>
      </c>
      <c r="K299" s="116">
        <v>3103577.9061500002</v>
      </c>
      <c r="L299" t="s">
        <v>13</v>
      </c>
      <c r="M299" s="116">
        <v>2021</v>
      </c>
      <c r="N299" t="s">
        <v>13</v>
      </c>
    </row>
    <row r="300" spans="1:14" x14ac:dyDescent="0.25">
      <c r="A300" s="116">
        <v>298</v>
      </c>
      <c r="B300" s="117" t="s">
        <v>5414</v>
      </c>
      <c r="C300" s="117" t="s">
        <v>3676</v>
      </c>
      <c r="D300" s="123" t="s">
        <v>5424</v>
      </c>
      <c r="E300" s="123" t="s">
        <v>86</v>
      </c>
      <c r="F300" s="123">
        <v>40756</v>
      </c>
      <c r="G300" s="124">
        <v>44409</v>
      </c>
      <c r="H300" s="116">
        <v>60.04</v>
      </c>
      <c r="I300" s="116" t="s">
        <v>13</v>
      </c>
      <c r="J300">
        <v>2906.9630069999998</v>
      </c>
      <c r="K300" s="116">
        <v>353725.71874600003</v>
      </c>
      <c r="L300" t="s">
        <v>13</v>
      </c>
      <c r="M300" s="116">
        <v>2021</v>
      </c>
      <c r="N300" t="s">
        <v>13</v>
      </c>
    </row>
    <row r="301" spans="1:14" x14ac:dyDescent="0.25">
      <c r="A301" s="116">
        <v>299</v>
      </c>
      <c r="B301" s="117" t="s">
        <v>5414</v>
      </c>
      <c r="C301" s="117" t="s">
        <v>3673</v>
      </c>
      <c r="D301" s="123" t="s">
        <v>5424</v>
      </c>
      <c r="E301" s="123" t="s">
        <v>86</v>
      </c>
      <c r="F301" s="123">
        <v>40756</v>
      </c>
      <c r="G301" s="124">
        <v>44409</v>
      </c>
      <c r="H301" s="116">
        <v>199.61</v>
      </c>
      <c r="I301" s="116" t="s">
        <v>13</v>
      </c>
      <c r="J301">
        <v>5944.897054</v>
      </c>
      <c r="K301" s="116">
        <v>1224408.1624199999</v>
      </c>
      <c r="L301" t="s">
        <v>13</v>
      </c>
      <c r="M301" s="116">
        <v>2021</v>
      </c>
      <c r="N301" t="s">
        <v>13</v>
      </c>
    </row>
    <row r="302" spans="1:14" x14ac:dyDescent="0.25">
      <c r="A302" s="116">
        <v>300</v>
      </c>
      <c r="B302" s="117" t="s">
        <v>5414</v>
      </c>
      <c r="C302" s="117" t="s">
        <v>3670</v>
      </c>
      <c r="D302" s="123" t="s">
        <v>5424</v>
      </c>
      <c r="E302" s="123" t="s">
        <v>86</v>
      </c>
      <c r="F302" s="123">
        <v>40756</v>
      </c>
      <c r="G302" s="124">
        <v>44409</v>
      </c>
      <c r="H302" s="116">
        <v>159.19</v>
      </c>
      <c r="I302" s="116" t="s">
        <v>13</v>
      </c>
      <c r="J302">
        <v>4039.4427719999999</v>
      </c>
      <c r="K302" s="116">
        <v>495085.81692399998</v>
      </c>
      <c r="L302" t="s">
        <v>13</v>
      </c>
      <c r="M302" s="116">
        <v>2021</v>
      </c>
      <c r="N302" t="s">
        <v>13</v>
      </c>
    </row>
    <row r="303" spans="1:14" x14ac:dyDescent="0.25">
      <c r="A303" s="116">
        <v>301</v>
      </c>
      <c r="B303" s="117" t="s">
        <v>5414</v>
      </c>
      <c r="C303" s="117" t="s">
        <v>3667</v>
      </c>
      <c r="D303" s="123" t="s">
        <v>5424</v>
      </c>
      <c r="E303" s="123" t="s">
        <v>86</v>
      </c>
      <c r="F303" s="123">
        <v>40756</v>
      </c>
      <c r="G303" s="124">
        <v>44409</v>
      </c>
      <c r="H303" s="116">
        <v>638.96</v>
      </c>
      <c r="I303" s="116" t="s">
        <v>13</v>
      </c>
      <c r="J303">
        <v>7650.0354150000003</v>
      </c>
      <c r="K303" s="116">
        <v>3657500.7461600001</v>
      </c>
      <c r="L303" t="s">
        <v>13</v>
      </c>
      <c r="M303" s="116">
        <v>2021</v>
      </c>
      <c r="N303" t="s">
        <v>13</v>
      </c>
    </row>
    <row r="304" spans="1:14" x14ac:dyDescent="0.25">
      <c r="A304" s="116">
        <v>302</v>
      </c>
      <c r="B304" s="117" t="s">
        <v>5414</v>
      </c>
      <c r="C304" s="117" t="s">
        <v>3663</v>
      </c>
      <c r="D304" s="123" t="s">
        <v>5424</v>
      </c>
      <c r="E304" s="123" t="s">
        <v>86</v>
      </c>
      <c r="F304" s="123">
        <v>40756</v>
      </c>
      <c r="G304" s="124">
        <v>44409</v>
      </c>
      <c r="H304" s="116">
        <v>35.19</v>
      </c>
      <c r="I304" s="116" t="s">
        <v>13</v>
      </c>
      <c r="J304">
        <v>1790.7203930000001</v>
      </c>
      <c r="K304" s="116">
        <v>199343.65366800001</v>
      </c>
      <c r="L304" t="s">
        <v>13</v>
      </c>
      <c r="M304" s="116">
        <v>2021</v>
      </c>
      <c r="N304" t="s">
        <v>13</v>
      </c>
    </row>
    <row r="305" spans="1:14" x14ac:dyDescent="0.25">
      <c r="A305" s="116">
        <v>303</v>
      </c>
      <c r="B305" s="117" t="s">
        <v>5414</v>
      </c>
      <c r="C305" s="117" t="s">
        <v>4215</v>
      </c>
      <c r="D305" s="123" t="s">
        <v>287</v>
      </c>
      <c r="E305" s="123" t="s">
        <v>86</v>
      </c>
      <c r="F305" s="123">
        <v>41122</v>
      </c>
      <c r="G305" s="124">
        <v>44774</v>
      </c>
      <c r="H305" s="116">
        <v>471.91</v>
      </c>
      <c r="I305" s="116" t="s">
        <v>13</v>
      </c>
      <c r="J305">
        <v>13385.173081999999</v>
      </c>
      <c r="K305" s="116">
        <v>2688790.6960300002</v>
      </c>
      <c r="L305" t="s">
        <v>13</v>
      </c>
      <c r="M305" s="116">
        <v>2022</v>
      </c>
      <c r="N305" t="s">
        <v>13</v>
      </c>
    </row>
    <row r="306" spans="1:14" x14ac:dyDescent="0.25">
      <c r="A306" s="116">
        <v>304</v>
      </c>
      <c r="B306" s="117" t="s">
        <v>5414</v>
      </c>
      <c r="C306" s="117" t="s">
        <v>4248</v>
      </c>
      <c r="D306" s="123" t="s">
        <v>287</v>
      </c>
      <c r="E306" s="123" t="s">
        <v>86</v>
      </c>
      <c r="F306" s="123">
        <v>41122</v>
      </c>
      <c r="G306" s="124">
        <v>44774</v>
      </c>
      <c r="H306" s="116">
        <v>251.13</v>
      </c>
      <c r="I306" s="116" t="s">
        <v>13</v>
      </c>
      <c r="J306">
        <v>10882.310533</v>
      </c>
      <c r="K306" s="116">
        <v>1447618.2286799999</v>
      </c>
      <c r="L306" t="s">
        <v>13</v>
      </c>
      <c r="M306" s="116">
        <v>2022</v>
      </c>
      <c r="N306" t="s">
        <v>13</v>
      </c>
    </row>
    <row r="307" spans="1:14" x14ac:dyDescent="0.25">
      <c r="A307" s="116">
        <v>305</v>
      </c>
      <c r="B307" s="117" t="s">
        <v>5414</v>
      </c>
      <c r="C307" s="117" t="s">
        <v>3682</v>
      </c>
      <c r="D307" s="123" t="s">
        <v>287</v>
      </c>
      <c r="E307" s="123" t="s">
        <v>86</v>
      </c>
      <c r="F307" s="123">
        <v>40756</v>
      </c>
      <c r="G307" s="124">
        <v>44409</v>
      </c>
      <c r="H307" s="116">
        <v>99.54</v>
      </c>
      <c r="I307" s="116" t="s">
        <v>13</v>
      </c>
      <c r="J307">
        <v>4376.2590149999996</v>
      </c>
      <c r="K307" s="116">
        <v>587925.77817800001</v>
      </c>
      <c r="L307" t="s">
        <v>13</v>
      </c>
      <c r="M307" s="116">
        <v>2021</v>
      </c>
      <c r="N307" t="s">
        <v>13</v>
      </c>
    </row>
    <row r="308" spans="1:14" x14ac:dyDescent="0.25">
      <c r="A308" s="116">
        <v>306</v>
      </c>
      <c r="B308" s="117" t="s">
        <v>5414</v>
      </c>
      <c r="C308" s="117" t="s">
        <v>2866</v>
      </c>
      <c r="D308" s="123" t="s">
        <v>2867</v>
      </c>
      <c r="E308" s="123" t="s">
        <v>86</v>
      </c>
      <c r="F308" s="123">
        <v>40422</v>
      </c>
      <c r="G308" s="124">
        <v>44075</v>
      </c>
      <c r="H308" s="116">
        <v>120</v>
      </c>
      <c r="I308" s="116" t="s">
        <v>13</v>
      </c>
      <c r="J308">
        <v>3823.3485230000001</v>
      </c>
      <c r="K308" s="116">
        <v>696108.39729500003</v>
      </c>
      <c r="L308" t="s">
        <v>13</v>
      </c>
      <c r="M308" s="116">
        <v>2020</v>
      </c>
      <c r="N308" t="s">
        <v>13</v>
      </c>
    </row>
    <row r="309" spans="1:14" x14ac:dyDescent="0.25">
      <c r="A309" s="116">
        <v>307</v>
      </c>
      <c r="B309" s="117" t="s">
        <v>5414</v>
      </c>
      <c r="C309" s="117" t="s">
        <v>4370</v>
      </c>
      <c r="D309" s="123" t="s">
        <v>684</v>
      </c>
      <c r="E309" s="123" t="s">
        <v>86</v>
      </c>
      <c r="F309" s="123">
        <v>41518</v>
      </c>
      <c r="G309" s="124">
        <v>45170</v>
      </c>
      <c r="H309" s="116">
        <v>41.73</v>
      </c>
      <c r="I309" s="116" t="s">
        <v>13</v>
      </c>
      <c r="J309">
        <v>3102.460834</v>
      </c>
      <c r="K309" s="116">
        <v>242380.70966600001</v>
      </c>
      <c r="L309" t="s">
        <v>13</v>
      </c>
      <c r="M309" s="116">
        <v>2023</v>
      </c>
      <c r="N309" t="s">
        <v>13</v>
      </c>
    </row>
    <row r="310" spans="1:14" x14ac:dyDescent="0.25">
      <c r="A310" s="116">
        <v>308</v>
      </c>
      <c r="B310" s="117" t="s">
        <v>5414</v>
      </c>
      <c r="C310" s="117" t="s">
        <v>4367</v>
      </c>
      <c r="D310" s="123" t="s">
        <v>684</v>
      </c>
      <c r="E310" s="123" t="s">
        <v>86</v>
      </c>
      <c r="F310" s="123">
        <v>41518</v>
      </c>
      <c r="G310" s="124">
        <v>45170</v>
      </c>
      <c r="H310" s="116">
        <v>109.84</v>
      </c>
      <c r="I310" s="116" t="s">
        <v>13</v>
      </c>
      <c r="J310">
        <v>3783.5491999999999</v>
      </c>
      <c r="K310" s="116">
        <v>631912.03708899999</v>
      </c>
      <c r="L310" t="s">
        <v>13</v>
      </c>
      <c r="M310" s="116">
        <v>2023</v>
      </c>
      <c r="N310" t="s">
        <v>13</v>
      </c>
    </row>
    <row r="311" spans="1:14" x14ac:dyDescent="0.25">
      <c r="A311" s="116">
        <v>309</v>
      </c>
      <c r="B311" s="117" t="s">
        <v>5414</v>
      </c>
      <c r="C311" s="117" t="s">
        <v>4127</v>
      </c>
      <c r="D311" s="123" t="s">
        <v>684</v>
      </c>
      <c r="E311" s="123" t="s">
        <v>86</v>
      </c>
      <c r="F311" s="123">
        <v>41030</v>
      </c>
      <c r="G311" s="124">
        <v>44682</v>
      </c>
      <c r="H311" s="116">
        <v>40</v>
      </c>
      <c r="I311" s="116" t="s">
        <v>13</v>
      </c>
      <c r="J311">
        <v>3077.0043999999998</v>
      </c>
      <c r="K311" s="116">
        <v>196380.12575400001</v>
      </c>
      <c r="L311" t="s">
        <v>13</v>
      </c>
      <c r="M311" s="116">
        <v>2022</v>
      </c>
      <c r="N311" t="s">
        <v>13</v>
      </c>
    </row>
    <row r="312" spans="1:14" x14ac:dyDescent="0.25">
      <c r="A312" s="116">
        <v>310</v>
      </c>
      <c r="B312" s="117" t="s">
        <v>5414</v>
      </c>
      <c r="C312" s="117" t="s">
        <v>3997</v>
      </c>
      <c r="D312" s="123" t="s">
        <v>684</v>
      </c>
      <c r="E312" s="123" t="s">
        <v>86</v>
      </c>
      <c r="F312" s="123">
        <v>40940</v>
      </c>
      <c r="G312" s="124">
        <v>44593</v>
      </c>
      <c r="H312" s="116">
        <v>40.049999999999997</v>
      </c>
      <c r="I312" s="116" t="s">
        <v>13</v>
      </c>
      <c r="J312">
        <v>1941.9426840000001</v>
      </c>
      <c r="K312" s="116">
        <v>232278.63656899999</v>
      </c>
      <c r="L312" t="s">
        <v>13</v>
      </c>
      <c r="M312" s="116">
        <v>2022</v>
      </c>
      <c r="N312" t="s">
        <v>13</v>
      </c>
    </row>
    <row r="313" spans="1:14" x14ac:dyDescent="0.25">
      <c r="A313" s="116">
        <v>311</v>
      </c>
      <c r="B313" s="117" t="s">
        <v>5414</v>
      </c>
      <c r="C313" s="117" t="s">
        <v>3469</v>
      </c>
      <c r="D313" s="123" t="s">
        <v>684</v>
      </c>
      <c r="E313" s="123" t="s">
        <v>86</v>
      </c>
      <c r="F313" s="123">
        <v>40664</v>
      </c>
      <c r="G313" s="124">
        <v>44317</v>
      </c>
      <c r="H313" s="116">
        <v>757.18</v>
      </c>
      <c r="I313" s="116" t="s">
        <v>13</v>
      </c>
      <c r="J313">
        <v>9114.9140000000007</v>
      </c>
      <c r="K313" s="116">
        <v>3571395.8759099999</v>
      </c>
      <c r="L313" t="s">
        <v>13</v>
      </c>
      <c r="M313" s="116">
        <v>2021</v>
      </c>
      <c r="N313" t="s">
        <v>13</v>
      </c>
    </row>
    <row r="314" spans="1:14" x14ac:dyDescent="0.25">
      <c r="A314" s="116">
        <v>312</v>
      </c>
      <c r="B314" s="117" t="s">
        <v>5414</v>
      </c>
      <c r="C314" s="117" t="s">
        <v>3467</v>
      </c>
      <c r="D314" s="123" t="s">
        <v>684</v>
      </c>
      <c r="E314" s="123" t="s">
        <v>86</v>
      </c>
      <c r="F314" s="123">
        <v>40664</v>
      </c>
      <c r="G314" s="124">
        <v>44317</v>
      </c>
      <c r="H314" s="116">
        <v>726.54</v>
      </c>
      <c r="I314" s="116" t="s">
        <v>13</v>
      </c>
      <c r="J314">
        <v>13557.2772</v>
      </c>
      <c r="K314" s="116">
        <v>3707392.2797300001</v>
      </c>
      <c r="L314" t="s">
        <v>13</v>
      </c>
      <c r="M314" s="116">
        <v>2021</v>
      </c>
      <c r="N314" t="s">
        <v>13</v>
      </c>
    </row>
    <row r="315" spans="1:14" x14ac:dyDescent="0.25">
      <c r="A315" s="116">
        <v>313</v>
      </c>
      <c r="B315" s="117" t="s">
        <v>5414</v>
      </c>
      <c r="C315" s="117" t="s">
        <v>3465</v>
      </c>
      <c r="D315" s="123" t="s">
        <v>684</v>
      </c>
      <c r="E315" s="123" t="s">
        <v>86</v>
      </c>
      <c r="F315" s="123">
        <v>40664</v>
      </c>
      <c r="G315" s="124">
        <v>44317</v>
      </c>
      <c r="H315" s="116">
        <v>591.4</v>
      </c>
      <c r="I315" s="116" t="s">
        <v>13</v>
      </c>
      <c r="J315">
        <v>6731.0133999999998</v>
      </c>
      <c r="K315" s="116">
        <v>2481985.7570699998</v>
      </c>
      <c r="L315" t="s">
        <v>13</v>
      </c>
      <c r="M315" s="116">
        <v>2021</v>
      </c>
      <c r="N315" t="s">
        <v>13</v>
      </c>
    </row>
    <row r="316" spans="1:14" x14ac:dyDescent="0.25">
      <c r="A316" s="116">
        <v>314</v>
      </c>
      <c r="B316" s="117" t="s">
        <v>5414</v>
      </c>
      <c r="C316" s="117" t="s">
        <v>3461</v>
      </c>
      <c r="D316" s="123" t="s">
        <v>684</v>
      </c>
      <c r="E316" s="123" t="s">
        <v>86</v>
      </c>
      <c r="F316" s="123">
        <v>40664</v>
      </c>
      <c r="G316" s="124">
        <v>44317</v>
      </c>
      <c r="H316" s="116">
        <v>555.62</v>
      </c>
      <c r="I316" s="116" t="s">
        <v>13</v>
      </c>
      <c r="J316">
        <v>11522.627200000001</v>
      </c>
      <c r="K316" s="116">
        <v>3252699.0600100001</v>
      </c>
      <c r="L316" t="s">
        <v>13</v>
      </c>
      <c r="M316" s="116">
        <v>2021</v>
      </c>
      <c r="N316" t="s">
        <v>13</v>
      </c>
    </row>
    <row r="317" spans="1:14" x14ac:dyDescent="0.25">
      <c r="A317" s="116">
        <v>315</v>
      </c>
      <c r="B317" s="117" t="s">
        <v>5414</v>
      </c>
      <c r="C317" s="117" t="s">
        <v>3457</v>
      </c>
      <c r="D317" s="123" t="s">
        <v>684</v>
      </c>
      <c r="E317" s="123" t="s">
        <v>86</v>
      </c>
      <c r="F317" s="123">
        <v>40664</v>
      </c>
      <c r="G317" s="124">
        <v>44317</v>
      </c>
      <c r="H317" s="116">
        <v>1011.72</v>
      </c>
      <c r="I317" s="116" t="s">
        <v>13</v>
      </c>
      <c r="J317">
        <v>20646.2772</v>
      </c>
      <c r="K317" s="116">
        <v>4688415.4403799996</v>
      </c>
      <c r="L317" t="s">
        <v>13</v>
      </c>
      <c r="M317" s="116">
        <v>2021</v>
      </c>
      <c r="N317" t="s">
        <v>13</v>
      </c>
    </row>
    <row r="318" spans="1:14" x14ac:dyDescent="0.25">
      <c r="A318" s="116">
        <v>316</v>
      </c>
      <c r="B318" s="117" t="s">
        <v>5414</v>
      </c>
      <c r="C318" s="117" t="s">
        <v>3452</v>
      </c>
      <c r="D318" s="123" t="s">
        <v>684</v>
      </c>
      <c r="E318" s="123" t="s">
        <v>86</v>
      </c>
      <c r="F318" s="123">
        <v>40664</v>
      </c>
      <c r="G318" s="124">
        <v>44317</v>
      </c>
      <c r="H318" s="116">
        <v>407</v>
      </c>
      <c r="I318" s="116" t="s">
        <v>13</v>
      </c>
      <c r="J318">
        <v>9689.0609999999997</v>
      </c>
      <c r="K318" s="116">
        <v>2294943.9327199999</v>
      </c>
      <c r="L318" t="s">
        <v>13</v>
      </c>
      <c r="M318" s="116">
        <v>2021</v>
      </c>
      <c r="N318" t="s">
        <v>13</v>
      </c>
    </row>
    <row r="319" spans="1:14" hidden="1" x14ac:dyDescent="0.25">
      <c r="A319" s="116">
        <v>317</v>
      </c>
      <c r="B319" s="117" t="s">
        <v>5414</v>
      </c>
      <c r="C319" s="117" t="s">
        <v>2301</v>
      </c>
      <c r="D319" s="123" t="s">
        <v>684</v>
      </c>
      <c r="E319" s="123" t="s">
        <v>86</v>
      </c>
      <c r="F319" s="123">
        <v>39692</v>
      </c>
      <c r="G319" s="124">
        <v>43344</v>
      </c>
      <c r="H319" s="116">
        <v>39.979999999999997</v>
      </c>
      <c r="I319" s="116" t="s">
        <v>13</v>
      </c>
      <c r="J319">
        <v>1912.9413999999999</v>
      </c>
      <c r="K319" s="116">
        <v>228705.112345</v>
      </c>
      <c r="L319" t="s">
        <v>13</v>
      </c>
      <c r="M319" s="116">
        <v>2018</v>
      </c>
      <c r="N319" t="s">
        <v>13</v>
      </c>
    </row>
    <row r="320" spans="1:14" hidden="1" x14ac:dyDescent="0.25">
      <c r="A320" s="116">
        <v>318</v>
      </c>
      <c r="B320" s="117" t="s">
        <v>5414</v>
      </c>
      <c r="C320" s="117" t="s">
        <v>2294</v>
      </c>
      <c r="D320" s="123" t="s">
        <v>684</v>
      </c>
      <c r="E320" s="123" t="s">
        <v>86</v>
      </c>
      <c r="F320" s="123">
        <v>39692</v>
      </c>
      <c r="G320" s="124">
        <v>43344</v>
      </c>
      <c r="H320" s="116">
        <v>80</v>
      </c>
      <c r="I320" s="116" t="s">
        <v>13</v>
      </c>
      <c r="J320">
        <v>2882.9056</v>
      </c>
      <c r="K320" s="116">
        <v>462742.78990099998</v>
      </c>
      <c r="L320" t="s">
        <v>13</v>
      </c>
      <c r="M320" s="116">
        <v>2018</v>
      </c>
      <c r="N320" t="s">
        <v>13</v>
      </c>
    </row>
    <row r="321" spans="1:14" hidden="1" x14ac:dyDescent="0.25">
      <c r="A321" s="116">
        <v>319</v>
      </c>
      <c r="B321" s="117" t="s">
        <v>5414</v>
      </c>
      <c r="C321" s="117" t="s">
        <v>2291</v>
      </c>
      <c r="D321" s="123" t="s">
        <v>684</v>
      </c>
      <c r="E321" s="123" t="s">
        <v>86</v>
      </c>
      <c r="F321" s="123">
        <v>39692</v>
      </c>
      <c r="G321" s="124">
        <v>43344</v>
      </c>
      <c r="H321" s="116">
        <v>50</v>
      </c>
      <c r="I321" s="116" t="s">
        <v>13</v>
      </c>
      <c r="J321">
        <v>2390.6362140000001</v>
      </c>
      <c r="K321" s="116">
        <v>274305.69097</v>
      </c>
      <c r="L321" t="s">
        <v>13</v>
      </c>
      <c r="M321" s="116">
        <v>2018</v>
      </c>
      <c r="N321" t="s">
        <v>13</v>
      </c>
    </row>
    <row r="322" spans="1:14" hidden="1" x14ac:dyDescent="0.25">
      <c r="A322" s="116">
        <v>320</v>
      </c>
      <c r="B322" s="117" t="s">
        <v>5414</v>
      </c>
      <c r="C322" s="117" t="s">
        <v>2287</v>
      </c>
      <c r="D322" s="123" t="s">
        <v>684</v>
      </c>
      <c r="E322" s="123" t="s">
        <v>86</v>
      </c>
      <c r="F322" s="123">
        <v>39692</v>
      </c>
      <c r="G322" s="124">
        <v>43344</v>
      </c>
      <c r="H322" s="116">
        <v>200</v>
      </c>
      <c r="I322" s="116" t="s">
        <v>13</v>
      </c>
      <c r="J322">
        <v>8513.6470000000008</v>
      </c>
      <c r="K322" s="116">
        <v>1536764.2655100001</v>
      </c>
      <c r="L322" t="s">
        <v>13</v>
      </c>
      <c r="M322" s="116">
        <v>2018</v>
      </c>
      <c r="N322" t="s">
        <v>13</v>
      </c>
    </row>
    <row r="323" spans="1:14" hidden="1" x14ac:dyDescent="0.25">
      <c r="A323" s="116">
        <v>321</v>
      </c>
      <c r="B323" s="117" t="s">
        <v>5414</v>
      </c>
      <c r="C323" s="117" t="s">
        <v>2297</v>
      </c>
      <c r="D323" s="123" t="s">
        <v>684</v>
      </c>
      <c r="E323" s="123" t="s">
        <v>86</v>
      </c>
      <c r="F323" s="123">
        <v>39692</v>
      </c>
      <c r="G323" s="124">
        <v>43344</v>
      </c>
      <c r="H323" s="116">
        <v>24.96</v>
      </c>
      <c r="I323" s="116" t="s">
        <v>13</v>
      </c>
      <c r="J323">
        <v>1312.0430699999999</v>
      </c>
      <c r="K323" s="116">
        <v>101350.66604900001</v>
      </c>
      <c r="L323" t="s">
        <v>13</v>
      </c>
      <c r="M323" s="116">
        <v>2018</v>
      </c>
      <c r="N323" t="s">
        <v>13</v>
      </c>
    </row>
    <row r="324" spans="1:14" x14ac:dyDescent="0.25">
      <c r="A324" s="116">
        <v>322</v>
      </c>
      <c r="B324" s="117" t="s">
        <v>5414</v>
      </c>
      <c r="C324" s="117" t="s">
        <v>4018</v>
      </c>
      <c r="D324" s="123" t="s">
        <v>684</v>
      </c>
      <c r="E324" s="123" t="s">
        <v>86</v>
      </c>
      <c r="F324" s="123">
        <v>40909</v>
      </c>
      <c r="G324" s="124">
        <v>44562</v>
      </c>
      <c r="H324" s="116">
        <v>160</v>
      </c>
      <c r="I324" s="116" t="s">
        <v>13</v>
      </c>
      <c r="J324">
        <v>5735.4607070000002</v>
      </c>
      <c r="K324" s="116">
        <v>916486.86741399998</v>
      </c>
      <c r="L324" t="s">
        <v>13</v>
      </c>
      <c r="M324" s="116">
        <v>2022</v>
      </c>
      <c r="N324" t="s">
        <v>13</v>
      </c>
    </row>
    <row r="325" spans="1:14" x14ac:dyDescent="0.25">
      <c r="A325" s="116">
        <v>323</v>
      </c>
      <c r="B325" s="117" t="s">
        <v>5414</v>
      </c>
      <c r="C325" s="117" t="s">
        <v>4754</v>
      </c>
      <c r="D325" s="123" t="s">
        <v>97</v>
      </c>
      <c r="E325" s="123" t="s">
        <v>86</v>
      </c>
      <c r="F325" s="123">
        <v>41730</v>
      </c>
      <c r="G325" s="124">
        <v>45383</v>
      </c>
      <c r="H325" s="116">
        <v>1040</v>
      </c>
      <c r="I325" s="116" t="s">
        <v>13</v>
      </c>
      <c r="J325">
        <v>14221.3824</v>
      </c>
      <c r="K325" s="116">
        <v>5842137.0041199997</v>
      </c>
      <c r="L325" t="s">
        <v>13</v>
      </c>
      <c r="M325" s="116">
        <v>2024</v>
      </c>
      <c r="N325" t="s">
        <v>13</v>
      </c>
    </row>
    <row r="326" spans="1:14" x14ac:dyDescent="0.25">
      <c r="A326" s="116">
        <v>324</v>
      </c>
      <c r="B326" s="117" t="s">
        <v>5414</v>
      </c>
      <c r="C326" s="117" t="s">
        <v>4124</v>
      </c>
      <c r="D326" s="123" t="s">
        <v>97</v>
      </c>
      <c r="E326" s="123" t="s">
        <v>86</v>
      </c>
      <c r="F326" s="123">
        <v>41030</v>
      </c>
      <c r="G326" s="124">
        <v>44682</v>
      </c>
      <c r="H326" s="116">
        <v>39.81</v>
      </c>
      <c r="I326" s="116" t="s">
        <v>13</v>
      </c>
      <c r="J326">
        <v>1889.1286</v>
      </c>
      <c r="K326" s="116">
        <v>223048.679011</v>
      </c>
      <c r="L326" t="s">
        <v>13</v>
      </c>
      <c r="M326" s="116">
        <v>2022</v>
      </c>
      <c r="N326" t="s">
        <v>13</v>
      </c>
    </row>
    <row r="327" spans="1:14" x14ac:dyDescent="0.25">
      <c r="A327" s="116">
        <v>325</v>
      </c>
      <c r="B327" s="117" t="s">
        <v>5414</v>
      </c>
      <c r="C327" s="117" t="s">
        <v>4104</v>
      </c>
      <c r="D327" s="123" t="s">
        <v>97</v>
      </c>
      <c r="E327" s="123" t="s">
        <v>86</v>
      </c>
      <c r="F327" s="123">
        <v>41030</v>
      </c>
      <c r="G327" s="124">
        <v>44682</v>
      </c>
      <c r="H327" s="116">
        <v>200.31</v>
      </c>
      <c r="I327" s="116" t="s">
        <v>13</v>
      </c>
      <c r="J327">
        <v>4715.1521409999996</v>
      </c>
      <c r="K327" s="116">
        <v>1107833.63313</v>
      </c>
      <c r="L327" t="s">
        <v>13</v>
      </c>
      <c r="M327" s="116">
        <v>2022</v>
      </c>
      <c r="N327" t="s">
        <v>13</v>
      </c>
    </row>
    <row r="328" spans="1:14" x14ac:dyDescent="0.25">
      <c r="A328" s="116">
        <v>326</v>
      </c>
      <c r="B328" s="117" t="s">
        <v>5414</v>
      </c>
      <c r="C328" s="117" t="s">
        <v>3536</v>
      </c>
      <c r="D328" s="123" t="s">
        <v>97</v>
      </c>
      <c r="E328" s="123" t="s">
        <v>86</v>
      </c>
      <c r="F328" s="123">
        <v>40664</v>
      </c>
      <c r="G328" s="124">
        <v>44317</v>
      </c>
      <c r="H328" s="116">
        <v>1232.4100000000001</v>
      </c>
      <c r="I328" s="116" t="s">
        <v>13</v>
      </c>
      <c r="J328">
        <v>19903.465533999999</v>
      </c>
      <c r="K328" s="116">
        <v>5151147.6030900003</v>
      </c>
      <c r="L328" t="s">
        <v>13</v>
      </c>
      <c r="M328" s="116">
        <v>2021</v>
      </c>
      <c r="N328" t="s">
        <v>13</v>
      </c>
    </row>
    <row r="329" spans="1:14" x14ac:dyDescent="0.25">
      <c r="A329" s="116">
        <v>327</v>
      </c>
      <c r="B329" s="117" t="s">
        <v>5414</v>
      </c>
      <c r="C329" s="117" t="s">
        <v>3534</v>
      </c>
      <c r="D329" s="123" t="s">
        <v>97</v>
      </c>
      <c r="E329" s="123" t="s">
        <v>86</v>
      </c>
      <c r="F329" s="123">
        <v>40664</v>
      </c>
      <c r="G329" s="124">
        <v>44317</v>
      </c>
      <c r="H329" s="116">
        <v>1217.5999999999999</v>
      </c>
      <c r="I329" s="116" t="s">
        <v>13</v>
      </c>
      <c r="J329">
        <v>11188.722400000001</v>
      </c>
      <c r="K329" s="116">
        <v>6823965.2928900002</v>
      </c>
      <c r="L329" t="s">
        <v>13</v>
      </c>
      <c r="M329" s="116">
        <v>2021</v>
      </c>
      <c r="N329" t="s">
        <v>13</v>
      </c>
    </row>
    <row r="330" spans="1:14" x14ac:dyDescent="0.25">
      <c r="A330" s="116">
        <v>328</v>
      </c>
      <c r="B330" s="117" t="s">
        <v>5414</v>
      </c>
      <c r="C330" s="117" t="s">
        <v>3532</v>
      </c>
      <c r="D330" s="123" t="s">
        <v>97</v>
      </c>
      <c r="E330" s="123" t="s">
        <v>86</v>
      </c>
      <c r="F330" s="123">
        <v>40664</v>
      </c>
      <c r="G330" s="124">
        <v>44317</v>
      </c>
      <c r="H330" s="116">
        <v>1000</v>
      </c>
      <c r="I330" s="116" t="s">
        <v>13</v>
      </c>
      <c r="J330">
        <v>18441.1646</v>
      </c>
      <c r="K330" s="116">
        <v>7282351.00373</v>
      </c>
      <c r="L330" t="s">
        <v>13</v>
      </c>
      <c r="M330" s="116">
        <v>2021</v>
      </c>
      <c r="N330" t="s">
        <v>13</v>
      </c>
    </row>
    <row r="331" spans="1:14" x14ac:dyDescent="0.25">
      <c r="A331" s="116">
        <v>329</v>
      </c>
      <c r="B331" s="117" t="s">
        <v>5414</v>
      </c>
      <c r="C331" s="117" t="s">
        <v>3530</v>
      </c>
      <c r="D331" s="123" t="s">
        <v>97</v>
      </c>
      <c r="E331" s="123" t="s">
        <v>86</v>
      </c>
      <c r="F331" s="123">
        <v>40664</v>
      </c>
      <c r="G331" s="124">
        <v>44317</v>
      </c>
      <c r="H331" s="116">
        <v>944.25</v>
      </c>
      <c r="I331" s="116" t="s">
        <v>13</v>
      </c>
      <c r="J331">
        <v>22349.133999999998</v>
      </c>
      <c r="K331" s="116">
        <v>5197494.5054200003</v>
      </c>
      <c r="L331" t="s">
        <v>13</v>
      </c>
      <c r="M331" s="116">
        <v>2021</v>
      </c>
      <c r="N331" t="s">
        <v>13</v>
      </c>
    </row>
    <row r="332" spans="1:14" x14ac:dyDescent="0.25">
      <c r="A332" s="116">
        <v>330</v>
      </c>
      <c r="B332" s="117" t="s">
        <v>5414</v>
      </c>
      <c r="C332" s="117" t="s">
        <v>3528</v>
      </c>
      <c r="D332" s="123" t="s">
        <v>97</v>
      </c>
      <c r="E332" s="123" t="s">
        <v>86</v>
      </c>
      <c r="F332" s="123">
        <v>40664</v>
      </c>
      <c r="G332" s="124">
        <v>44317</v>
      </c>
      <c r="H332" s="116">
        <v>999.45</v>
      </c>
      <c r="I332" s="116" t="s">
        <v>13</v>
      </c>
      <c r="J332">
        <v>16060.240400000001</v>
      </c>
      <c r="K332" s="116">
        <v>5585400.3258300005</v>
      </c>
      <c r="L332" t="s">
        <v>13</v>
      </c>
      <c r="M332" s="116">
        <v>2021</v>
      </c>
      <c r="N332" t="s">
        <v>5425</v>
      </c>
    </row>
    <row r="333" spans="1:14" x14ac:dyDescent="0.25">
      <c r="A333" s="116">
        <v>331</v>
      </c>
      <c r="B333" s="117" t="s">
        <v>5414</v>
      </c>
      <c r="C333" s="117" t="s">
        <v>3526</v>
      </c>
      <c r="D333" s="123" t="s">
        <v>97</v>
      </c>
      <c r="E333" s="123" t="s">
        <v>86</v>
      </c>
      <c r="F333" s="123">
        <v>40664</v>
      </c>
      <c r="G333" s="124">
        <v>44317</v>
      </c>
      <c r="H333" s="116">
        <v>880.55</v>
      </c>
      <c r="I333" s="116" t="s">
        <v>13</v>
      </c>
      <c r="J333">
        <v>22694.680400000001</v>
      </c>
      <c r="K333" s="116">
        <v>4912018.0563300001</v>
      </c>
      <c r="L333" t="s">
        <v>13</v>
      </c>
      <c r="M333" s="116">
        <v>2021</v>
      </c>
      <c r="N333" t="s">
        <v>13</v>
      </c>
    </row>
    <row r="334" spans="1:14" x14ac:dyDescent="0.25">
      <c r="A334" s="116">
        <v>332</v>
      </c>
      <c r="B334" s="117" t="s">
        <v>5414</v>
      </c>
      <c r="C334" s="117" t="s">
        <v>3524</v>
      </c>
      <c r="D334" s="123" t="s">
        <v>97</v>
      </c>
      <c r="E334" s="123" t="s">
        <v>86</v>
      </c>
      <c r="F334" s="123">
        <v>40664</v>
      </c>
      <c r="G334" s="124">
        <v>44317</v>
      </c>
      <c r="H334" s="116">
        <v>1206.1099999999999</v>
      </c>
      <c r="I334" s="116" t="s">
        <v>13</v>
      </c>
      <c r="J334">
        <v>12088.967229</v>
      </c>
      <c r="K334" s="116">
        <v>6757227.5228899997</v>
      </c>
      <c r="L334" t="s">
        <v>13</v>
      </c>
      <c r="M334" s="116">
        <v>2021</v>
      </c>
      <c r="N334" t="s">
        <v>13</v>
      </c>
    </row>
    <row r="335" spans="1:14" x14ac:dyDescent="0.25">
      <c r="A335" s="116">
        <v>333</v>
      </c>
      <c r="B335" s="117" t="s">
        <v>5414</v>
      </c>
      <c r="C335" s="117" t="s">
        <v>3520</v>
      </c>
      <c r="D335" s="123" t="s">
        <v>97</v>
      </c>
      <c r="E335" s="123" t="s">
        <v>86</v>
      </c>
      <c r="F335" s="123">
        <v>40664</v>
      </c>
      <c r="G335" s="124">
        <v>44317</v>
      </c>
      <c r="H335" s="116">
        <v>1311.72</v>
      </c>
      <c r="I335" s="116" t="s">
        <v>13</v>
      </c>
      <c r="J335">
        <v>24414.547269999999</v>
      </c>
      <c r="K335" s="116">
        <v>7089092.9642899996</v>
      </c>
      <c r="L335" t="s">
        <v>13</v>
      </c>
      <c r="M335" s="116">
        <v>2021</v>
      </c>
      <c r="N335" t="s">
        <v>13</v>
      </c>
    </row>
    <row r="336" spans="1:14" x14ac:dyDescent="0.25">
      <c r="A336" s="116">
        <v>334</v>
      </c>
      <c r="B336" s="117" t="s">
        <v>5414</v>
      </c>
      <c r="C336" s="117" t="s">
        <v>2739</v>
      </c>
      <c r="D336" s="123" t="s">
        <v>97</v>
      </c>
      <c r="E336" s="123" t="s">
        <v>86</v>
      </c>
      <c r="F336" s="123">
        <v>40330</v>
      </c>
      <c r="G336" s="124">
        <v>43983</v>
      </c>
      <c r="H336" s="116">
        <v>160</v>
      </c>
      <c r="I336" s="116" t="s">
        <v>13</v>
      </c>
      <c r="J336">
        <v>5688.5532000000003</v>
      </c>
      <c r="K336" s="116">
        <v>674232.03655600001</v>
      </c>
      <c r="L336" t="s">
        <v>13</v>
      </c>
      <c r="M336" s="116">
        <v>2020</v>
      </c>
      <c r="N336" t="s">
        <v>13</v>
      </c>
    </row>
    <row r="337" spans="1:14" x14ac:dyDescent="0.25">
      <c r="A337" s="116">
        <v>335</v>
      </c>
      <c r="B337" s="117" t="s">
        <v>5414</v>
      </c>
      <c r="C337" s="117" t="s">
        <v>4098</v>
      </c>
      <c r="D337" s="123" t="s">
        <v>97</v>
      </c>
      <c r="E337" s="123" t="s">
        <v>86</v>
      </c>
      <c r="F337" s="123">
        <v>41030</v>
      </c>
      <c r="G337" s="124">
        <v>44682</v>
      </c>
      <c r="H337" s="116">
        <v>1669.63</v>
      </c>
      <c r="I337" s="116" t="s">
        <v>13</v>
      </c>
      <c r="J337">
        <v>20773.275739000001</v>
      </c>
      <c r="K337" s="116">
        <v>9222572.4306799993</v>
      </c>
      <c r="L337" t="s">
        <v>13</v>
      </c>
      <c r="M337" s="116">
        <v>2022</v>
      </c>
      <c r="N337" t="s">
        <v>13</v>
      </c>
    </row>
    <row r="338" spans="1:14" x14ac:dyDescent="0.25">
      <c r="A338" s="116">
        <v>336</v>
      </c>
      <c r="B338" s="117" t="s">
        <v>5414</v>
      </c>
      <c r="C338" s="117" t="s">
        <v>4107</v>
      </c>
      <c r="D338" s="123" t="s">
        <v>97</v>
      </c>
      <c r="E338" s="123" t="s">
        <v>86</v>
      </c>
      <c r="F338" s="123">
        <v>41030</v>
      </c>
      <c r="G338" s="124">
        <v>44682</v>
      </c>
      <c r="H338" s="116">
        <v>1803.88</v>
      </c>
      <c r="I338" s="116" t="s">
        <v>13</v>
      </c>
      <c r="J338">
        <v>18968.818218</v>
      </c>
      <c r="K338" s="116">
        <v>10102136.758300001</v>
      </c>
      <c r="L338" t="s">
        <v>13</v>
      </c>
      <c r="M338" s="116">
        <v>2022</v>
      </c>
      <c r="N338" t="s">
        <v>13</v>
      </c>
    </row>
    <row r="339" spans="1:14" x14ac:dyDescent="0.25">
      <c r="A339" s="116">
        <v>337</v>
      </c>
      <c r="B339" s="117" t="s">
        <v>5414</v>
      </c>
      <c r="C339" s="117" t="s">
        <v>4110</v>
      </c>
      <c r="D339" s="123" t="s">
        <v>97</v>
      </c>
      <c r="E339" s="123" t="s">
        <v>86</v>
      </c>
      <c r="F339" s="123">
        <v>41030</v>
      </c>
      <c r="G339" s="124">
        <v>44682</v>
      </c>
      <c r="H339" s="116">
        <v>1833.65</v>
      </c>
      <c r="I339" s="116" t="s">
        <v>13</v>
      </c>
      <c r="J339">
        <v>16057.594800000001</v>
      </c>
      <c r="K339" s="116">
        <v>10286311.2202</v>
      </c>
      <c r="L339" t="s">
        <v>13</v>
      </c>
      <c r="M339" s="116">
        <v>2022</v>
      </c>
      <c r="N339" t="s">
        <v>13</v>
      </c>
    </row>
    <row r="340" spans="1:14" x14ac:dyDescent="0.25">
      <c r="A340" s="116">
        <v>338</v>
      </c>
      <c r="B340" s="117" t="s">
        <v>5414</v>
      </c>
      <c r="C340" s="117" t="s">
        <v>4118</v>
      </c>
      <c r="D340" s="123" t="s">
        <v>97</v>
      </c>
      <c r="E340" s="123" t="s">
        <v>86</v>
      </c>
      <c r="F340" s="123">
        <v>41030</v>
      </c>
      <c r="G340" s="124">
        <v>44682</v>
      </c>
      <c r="H340" s="116">
        <v>2107.7800000000002</v>
      </c>
      <c r="I340" s="116" t="s">
        <v>13</v>
      </c>
      <c r="J340">
        <v>22673.185600000001</v>
      </c>
      <c r="K340" s="116">
        <v>11796642.8927</v>
      </c>
      <c r="L340" t="s">
        <v>13</v>
      </c>
      <c r="M340" s="116">
        <v>2022</v>
      </c>
      <c r="N340" t="s">
        <v>13</v>
      </c>
    </row>
    <row r="341" spans="1:14" x14ac:dyDescent="0.25">
      <c r="A341" s="116">
        <v>339</v>
      </c>
      <c r="B341" s="117" t="s">
        <v>5414</v>
      </c>
      <c r="C341" s="117" t="s">
        <v>4121</v>
      </c>
      <c r="D341" s="123" t="s">
        <v>97</v>
      </c>
      <c r="E341" s="123" t="s">
        <v>86</v>
      </c>
      <c r="F341" s="123">
        <v>41030</v>
      </c>
      <c r="G341" s="124">
        <v>44682</v>
      </c>
      <c r="H341" s="116">
        <v>1925.7</v>
      </c>
      <c r="I341" s="116" t="s">
        <v>13</v>
      </c>
      <c r="J341">
        <v>24669.582493000002</v>
      </c>
      <c r="K341" s="116">
        <v>10778314.6916</v>
      </c>
      <c r="L341" t="s">
        <v>13</v>
      </c>
      <c r="M341" s="116">
        <v>2022</v>
      </c>
      <c r="N341" t="s">
        <v>13</v>
      </c>
    </row>
    <row r="342" spans="1:14" x14ac:dyDescent="0.25">
      <c r="A342" s="116">
        <v>340</v>
      </c>
      <c r="B342" s="117" t="s">
        <v>5414</v>
      </c>
      <c r="C342" s="117" t="s">
        <v>4130</v>
      </c>
      <c r="D342" s="123" t="s">
        <v>97</v>
      </c>
      <c r="E342" s="123" t="s">
        <v>86</v>
      </c>
      <c r="F342" s="123">
        <v>41030</v>
      </c>
      <c r="G342" s="124">
        <v>44682</v>
      </c>
      <c r="H342" s="116">
        <v>1998.92</v>
      </c>
      <c r="I342" s="116" t="s">
        <v>13</v>
      </c>
      <c r="J342">
        <v>27739.617154</v>
      </c>
      <c r="K342" s="116">
        <v>11251169.6086</v>
      </c>
      <c r="L342" t="s">
        <v>13</v>
      </c>
      <c r="M342" s="116">
        <v>2022</v>
      </c>
      <c r="N342" t="s">
        <v>13</v>
      </c>
    </row>
    <row r="343" spans="1:14" x14ac:dyDescent="0.25">
      <c r="A343" s="116">
        <v>341</v>
      </c>
      <c r="B343" s="117" t="s">
        <v>5414</v>
      </c>
      <c r="C343" s="117" t="s">
        <v>3994</v>
      </c>
      <c r="D343" s="123" t="s">
        <v>3750</v>
      </c>
      <c r="E343" s="123" t="s">
        <v>86</v>
      </c>
      <c r="F343" s="123">
        <v>40940</v>
      </c>
      <c r="G343" s="124">
        <v>44593</v>
      </c>
      <c r="H343" s="116">
        <v>44.21</v>
      </c>
      <c r="I343" s="116" t="s">
        <v>13</v>
      </c>
      <c r="J343">
        <v>1979.0873999999999</v>
      </c>
      <c r="K343" s="116">
        <v>243952.12618399999</v>
      </c>
      <c r="L343" t="s">
        <v>13</v>
      </c>
      <c r="M343" s="116">
        <v>2022</v>
      </c>
      <c r="N343" t="s">
        <v>13</v>
      </c>
    </row>
    <row r="344" spans="1:14" x14ac:dyDescent="0.25">
      <c r="A344" s="116">
        <v>342</v>
      </c>
      <c r="B344" s="117" t="s">
        <v>5414</v>
      </c>
      <c r="C344" s="117" t="s">
        <v>3991</v>
      </c>
      <c r="D344" s="123" t="s">
        <v>3750</v>
      </c>
      <c r="E344" s="123" t="s">
        <v>86</v>
      </c>
      <c r="F344" s="123">
        <v>40909</v>
      </c>
      <c r="G344" s="124">
        <v>44562</v>
      </c>
      <c r="H344" s="116">
        <v>213.67</v>
      </c>
      <c r="I344" s="116" t="s">
        <v>13</v>
      </c>
      <c r="J344">
        <v>4854.2123840000004</v>
      </c>
      <c r="K344" s="116">
        <v>995513.58550100005</v>
      </c>
      <c r="L344" t="s">
        <v>13</v>
      </c>
      <c r="M344" s="116">
        <v>2022</v>
      </c>
      <c r="N344" t="s">
        <v>13</v>
      </c>
    </row>
    <row r="345" spans="1:14" x14ac:dyDescent="0.25">
      <c r="A345" s="116">
        <v>343</v>
      </c>
      <c r="B345" s="117" t="s">
        <v>5414</v>
      </c>
      <c r="C345" s="117" t="s">
        <v>3988</v>
      </c>
      <c r="D345" s="123" t="s">
        <v>3750</v>
      </c>
      <c r="E345" s="123" t="s">
        <v>86</v>
      </c>
      <c r="F345" s="123">
        <v>40909</v>
      </c>
      <c r="G345" s="124">
        <v>44562</v>
      </c>
      <c r="H345" s="116">
        <v>242.63</v>
      </c>
      <c r="I345" s="116" t="s">
        <v>13</v>
      </c>
      <c r="J345">
        <v>7912.5381180000004</v>
      </c>
      <c r="K345" s="116">
        <v>1352944.31115</v>
      </c>
      <c r="L345" t="s">
        <v>13</v>
      </c>
      <c r="M345" s="116">
        <v>2022</v>
      </c>
      <c r="N345" t="s">
        <v>13</v>
      </c>
    </row>
    <row r="346" spans="1:14" x14ac:dyDescent="0.25">
      <c r="A346" s="116">
        <v>344</v>
      </c>
      <c r="B346" s="117" t="s">
        <v>5414</v>
      </c>
      <c r="C346" s="117" t="s">
        <v>3985</v>
      </c>
      <c r="D346" s="123" t="s">
        <v>3750</v>
      </c>
      <c r="E346" s="123" t="s">
        <v>86</v>
      </c>
      <c r="F346" s="123">
        <v>40909</v>
      </c>
      <c r="G346" s="124">
        <v>44562</v>
      </c>
      <c r="H346" s="116">
        <v>209.04</v>
      </c>
      <c r="I346" s="116" t="s">
        <v>13</v>
      </c>
      <c r="J346">
        <v>6860.924</v>
      </c>
      <c r="K346" s="116">
        <v>1203163.67028</v>
      </c>
      <c r="L346" t="s">
        <v>13</v>
      </c>
      <c r="M346" s="116">
        <v>2022</v>
      </c>
      <c r="N346" t="s">
        <v>13</v>
      </c>
    </row>
    <row r="347" spans="1:14" x14ac:dyDescent="0.25">
      <c r="A347" s="116">
        <v>345</v>
      </c>
      <c r="B347" s="117" t="s">
        <v>5414</v>
      </c>
      <c r="C347" s="117" t="s">
        <v>3982</v>
      </c>
      <c r="D347" s="123" t="s">
        <v>3750</v>
      </c>
      <c r="E347" s="123" t="s">
        <v>86</v>
      </c>
      <c r="F347" s="123">
        <v>40909</v>
      </c>
      <c r="G347" s="124">
        <v>44562</v>
      </c>
      <c r="H347" s="116">
        <v>103.54</v>
      </c>
      <c r="I347" s="116" t="s">
        <v>13</v>
      </c>
      <c r="J347">
        <v>4259.8</v>
      </c>
      <c r="K347" s="116">
        <v>566709.20232000004</v>
      </c>
      <c r="L347" t="s">
        <v>13</v>
      </c>
      <c r="M347" s="116">
        <v>2022</v>
      </c>
      <c r="N347" t="s">
        <v>13</v>
      </c>
    </row>
    <row r="348" spans="1:14" x14ac:dyDescent="0.25">
      <c r="A348" s="116">
        <v>346</v>
      </c>
      <c r="B348" s="117" t="s">
        <v>5414</v>
      </c>
      <c r="C348" s="117" t="s">
        <v>3979</v>
      </c>
      <c r="D348" s="123" t="s">
        <v>3750</v>
      </c>
      <c r="E348" s="123" t="s">
        <v>86</v>
      </c>
      <c r="F348" s="123">
        <v>40909</v>
      </c>
      <c r="G348" s="124">
        <v>44562</v>
      </c>
      <c r="H348" s="116">
        <v>647.30999999999995</v>
      </c>
      <c r="I348" s="116" t="s">
        <v>13</v>
      </c>
      <c r="J348">
        <v>8696.2513490000001</v>
      </c>
      <c r="K348" s="116">
        <v>3517317.42184</v>
      </c>
      <c r="L348" t="s">
        <v>13</v>
      </c>
      <c r="M348" s="116">
        <v>2022</v>
      </c>
      <c r="N348" t="s">
        <v>13</v>
      </c>
    </row>
    <row r="349" spans="1:14" x14ac:dyDescent="0.25">
      <c r="A349" s="116">
        <v>347</v>
      </c>
      <c r="B349" s="117" t="s">
        <v>5414</v>
      </c>
      <c r="C349" s="117" t="s">
        <v>3976</v>
      </c>
      <c r="D349" s="123" t="s">
        <v>3750</v>
      </c>
      <c r="E349" s="123" t="s">
        <v>86</v>
      </c>
      <c r="F349" s="123">
        <v>40909</v>
      </c>
      <c r="G349" s="124">
        <v>44562</v>
      </c>
      <c r="H349" s="116">
        <v>84.96</v>
      </c>
      <c r="I349" s="116" t="s">
        <v>13</v>
      </c>
      <c r="J349">
        <v>2897.1934000000001</v>
      </c>
      <c r="K349" s="116">
        <v>472531.23957699997</v>
      </c>
      <c r="L349" t="s">
        <v>13</v>
      </c>
      <c r="M349" s="116">
        <v>2022</v>
      </c>
      <c r="N349" t="s">
        <v>13</v>
      </c>
    </row>
    <row r="350" spans="1:14" x14ac:dyDescent="0.25">
      <c r="A350" s="116">
        <v>348</v>
      </c>
      <c r="B350" s="117" t="s">
        <v>5414</v>
      </c>
      <c r="C350" s="117" t="s">
        <v>3973</v>
      </c>
      <c r="D350" s="123" t="s">
        <v>3750</v>
      </c>
      <c r="E350" s="123" t="s">
        <v>86</v>
      </c>
      <c r="F350" s="123">
        <v>40909</v>
      </c>
      <c r="G350" s="124">
        <v>44562</v>
      </c>
      <c r="H350" s="116">
        <v>720.66</v>
      </c>
      <c r="I350" s="116" t="s">
        <v>13</v>
      </c>
      <c r="J350">
        <v>7874.3623719999996</v>
      </c>
      <c r="K350" s="116">
        <v>3867029.9001799999</v>
      </c>
      <c r="L350" t="s">
        <v>13</v>
      </c>
      <c r="M350" s="116">
        <v>2022</v>
      </c>
      <c r="N350" t="s">
        <v>13</v>
      </c>
    </row>
    <row r="351" spans="1:14" x14ac:dyDescent="0.25">
      <c r="A351" s="116">
        <v>349</v>
      </c>
      <c r="B351" s="117" t="s">
        <v>5414</v>
      </c>
      <c r="C351" s="117" t="s">
        <v>3970</v>
      </c>
      <c r="D351" s="123" t="s">
        <v>3750</v>
      </c>
      <c r="E351" s="123" t="s">
        <v>86</v>
      </c>
      <c r="F351" s="123">
        <v>40909</v>
      </c>
      <c r="G351" s="124">
        <v>44562</v>
      </c>
      <c r="H351" s="116">
        <v>589.4</v>
      </c>
      <c r="I351" s="116" t="s">
        <v>13</v>
      </c>
      <c r="J351">
        <v>9336.3858359999995</v>
      </c>
      <c r="K351" s="116">
        <v>3124707.0252899998</v>
      </c>
      <c r="L351" t="s">
        <v>13</v>
      </c>
      <c r="M351" s="116">
        <v>2022</v>
      </c>
      <c r="N351" t="s">
        <v>13</v>
      </c>
    </row>
    <row r="352" spans="1:14" x14ac:dyDescent="0.25">
      <c r="A352" s="116">
        <v>350</v>
      </c>
      <c r="B352" s="117" t="s">
        <v>5414</v>
      </c>
      <c r="C352" s="117" t="s">
        <v>3967</v>
      </c>
      <c r="D352" s="123" t="s">
        <v>3750</v>
      </c>
      <c r="E352" s="123" t="s">
        <v>86</v>
      </c>
      <c r="F352" s="123">
        <v>40909</v>
      </c>
      <c r="G352" s="124">
        <v>44562</v>
      </c>
      <c r="H352" s="116">
        <v>303.62</v>
      </c>
      <c r="I352" s="116" t="s">
        <v>13</v>
      </c>
      <c r="J352">
        <v>6279.5515310000001</v>
      </c>
      <c r="K352" s="116">
        <v>826000.30856300006</v>
      </c>
      <c r="L352" t="s">
        <v>13</v>
      </c>
      <c r="M352" s="116">
        <v>2022</v>
      </c>
      <c r="N352" t="s">
        <v>13</v>
      </c>
    </row>
    <row r="353" spans="1:14" x14ac:dyDescent="0.25">
      <c r="A353" s="116">
        <v>351</v>
      </c>
      <c r="B353" s="117" t="s">
        <v>5414</v>
      </c>
      <c r="C353" s="117" t="s">
        <v>3961</v>
      </c>
      <c r="D353" s="123" t="s">
        <v>3750</v>
      </c>
      <c r="E353" s="123" t="s">
        <v>86</v>
      </c>
      <c r="F353" s="123">
        <v>40909</v>
      </c>
      <c r="G353" s="124">
        <v>44562</v>
      </c>
      <c r="H353" s="116">
        <v>637.54</v>
      </c>
      <c r="I353" s="116" t="s">
        <v>13</v>
      </c>
      <c r="J353">
        <v>7683.5151999999998</v>
      </c>
      <c r="K353" s="116">
        <v>3457605.0974300001</v>
      </c>
      <c r="L353" t="s">
        <v>13</v>
      </c>
      <c r="M353" s="116">
        <v>2022</v>
      </c>
      <c r="N353" t="s">
        <v>13</v>
      </c>
    </row>
    <row r="354" spans="1:14" x14ac:dyDescent="0.25">
      <c r="A354" s="116">
        <v>352</v>
      </c>
      <c r="B354" s="117" t="s">
        <v>5414</v>
      </c>
      <c r="C354" s="117" t="s">
        <v>3955</v>
      </c>
      <c r="D354" s="123" t="s">
        <v>3750</v>
      </c>
      <c r="E354" s="123" t="s">
        <v>86</v>
      </c>
      <c r="F354" s="123">
        <v>40909</v>
      </c>
      <c r="G354" s="124">
        <v>44562</v>
      </c>
      <c r="H354" s="116">
        <v>678.43</v>
      </c>
      <c r="I354" s="116" t="s">
        <v>13</v>
      </c>
      <c r="J354">
        <v>9893.4614579999998</v>
      </c>
      <c r="K354" s="116">
        <v>3362003.0807400001</v>
      </c>
      <c r="L354" t="s">
        <v>13</v>
      </c>
      <c r="M354" s="116">
        <v>2022</v>
      </c>
      <c r="N354" t="s">
        <v>13</v>
      </c>
    </row>
    <row r="355" spans="1:14" x14ac:dyDescent="0.25">
      <c r="A355" s="116">
        <v>353</v>
      </c>
      <c r="B355" s="117" t="s">
        <v>5414</v>
      </c>
      <c r="C355" s="117" t="s">
        <v>3952</v>
      </c>
      <c r="D355" s="123" t="s">
        <v>3750</v>
      </c>
      <c r="E355" s="123" t="s">
        <v>86</v>
      </c>
      <c r="F355" s="123">
        <v>40940</v>
      </c>
      <c r="G355" s="124">
        <v>44593</v>
      </c>
      <c r="H355" s="116">
        <v>668.61</v>
      </c>
      <c r="I355" s="116" t="s">
        <v>13</v>
      </c>
      <c r="J355">
        <v>7712.6700330000003</v>
      </c>
      <c r="K355" s="116">
        <v>3714851.20334</v>
      </c>
      <c r="L355" t="s">
        <v>13</v>
      </c>
      <c r="M355" s="116">
        <v>2022</v>
      </c>
      <c r="N355" t="s">
        <v>13</v>
      </c>
    </row>
    <row r="356" spans="1:14" x14ac:dyDescent="0.25">
      <c r="A356" s="116">
        <v>354</v>
      </c>
      <c r="B356" s="117" t="s">
        <v>5414</v>
      </c>
      <c r="C356" s="117" t="s">
        <v>3949</v>
      </c>
      <c r="D356" s="123" t="s">
        <v>3750</v>
      </c>
      <c r="E356" s="123" t="s">
        <v>86</v>
      </c>
      <c r="F356" s="123">
        <v>40940</v>
      </c>
      <c r="G356" s="124">
        <v>44593</v>
      </c>
      <c r="H356" s="116">
        <v>455.1</v>
      </c>
      <c r="I356" s="116" t="s">
        <v>13</v>
      </c>
      <c r="J356">
        <v>6527.2492549999997</v>
      </c>
      <c r="K356" s="116">
        <v>1362398.3157299999</v>
      </c>
      <c r="L356" t="s">
        <v>13</v>
      </c>
      <c r="M356" s="116">
        <v>2022</v>
      </c>
      <c r="N356" t="s">
        <v>13</v>
      </c>
    </row>
    <row r="357" spans="1:14" x14ac:dyDescent="0.25">
      <c r="A357" s="116">
        <v>355</v>
      </c>
      <c r="B357" s="117" t="s">
        <v>5414</v>
      </c>
      <c r="C357" s="117" t="s">
        <v>3943</v>
      </c>
      <c r="D357" s="123" t="s">
        <v>3750</v>
      </c>
      <c r="E357" s="123" t="s">
        <v>86</v>
      </c>
      <c r="F357" s="123">
        <v>40940</v>
      </c>
      <c r="G357" s="124">
        <v>44593</v>
      </c>
      <c r="H357" s="116">
        <v>78</v>
      </c>
      <c r="I357" s="116" t="s">
        <v>13</v>
      </c>
      <c r="J357">
        <v>2944.8184000000001</v>
      </c>
      <c r="K357" s="116">
        <v>472342.179841</v>
      </c>
      <c r="L357" t="s">
        <v>13</v>
      </c>
      <c r="M357" s="116">
        <v>2022</v>
      </c>
      <c r="N357" t="s">
        <v>13</v>
      </c>
    </row>
    <row r="358" spans="1:14" x14ac:dyDescent="0.25">
      <c r="A358" s="116">
        <v>356</v>
      </c>
      <c r="B358" s="117" t="s">
        <v>5414</v>
      </c>
      <c r="C358" s="117" t="s">
        <v>3940</v>
      </c>
      <c r="D358" s="123" t="s">
        <v>3750</v>
      </c>
      <c r="E358" s="123" t="s">
        <v>86</v>
      </c>
      <c r="F358" s="123">
        <v>40940</v>
      </c>
      <c r="G358" s="124">
        <v>44593</v>
      </c>
      <c r="H358" s="116">
        <v>163.4</v>
      </c>
      <c r="I358" s="116" t="s">
        <v>13</v>
      </c>
      <c r="J358">
        <v>3836.5604130000002</v>
      </c>
      <c r="K358" s="116">
        <v>919832.75344100001</v>
      </c>
      <c r="L358" t="s">
        <v>13</v>
      </c>
      <c r="M358" s="116">
        <v>2022</v>
      </c>
      <c r="N358" t="s">
        <v>13</v>
      </c>
    </row>
    <row r="359" spans="1:14" x14ac:dyDescent="0.25">
      <c r="A359" s="116">
        <v>357</v>
      </c>
      <c r="B359" s="117" t="s">
        <v>5414</v>
      </c>
      <c r="C359" s="117" t="s">
        <v>3937</v>
      </c>
      <c r="D359" s="123" t="s">
        <v>3750</v>
      </c>
      <c r="E359" s="123" t="s">
        <v>86</v>
      </c>
      <c r="F359" s="123">
        <v>40940</v>
      </c>
      <c r="G359" s="124">
        <v>44593</v>
      </c>
      <c r="H359" s="116">
        <v>587.66999999999996</v>
      </c>
      <c r="I359" s="116" t="s">
        <v>13</v>
      </c>
      <c r="J359">
        <v>9804.7283889999999</v>
      </c>
      <c r="K359" s="116">
        <v>3132437.52495</v>
      </c>
      <c r="L359" t="s">
        <v>13</v>
      </c>
      <c r="M359" s="116">
        <v>2022</v>
      </c>
      <c r="N359" t="s">
        <v>13</v>
      </c>
    </row>
    <row r="360" spans="1:14" x14ac:dyDescent="0.25">
      <c r="A360" s="116">
        <v>358</v>
      </c>
      <c r="B360" s="117" t="s">
        <v>5414</v>
      </c>
      <c r="C360" s="117" t="s">
        <v>3931</v>
      </c>
      <c r="D360" s="123" t="s">
        <v>3750</v>
      </c>
      <c r="E360" s="123" t="s">
        <v>86</v>
      </c>
      <c r="F360" s="123">
        <v>40940</v>
      </c>
      <c r="G360" s="124">
        <v>44593</v>
      </c>
      <c r="H360" s="116">
        <v>43.15</v>
      </c>
      <c r="I360" s="116" t="s">
        <v>13</v>
      </c>
      <c r="J360">
        <v>1944.6913999999999</v>
      </c>
      <c r="K360" s="116">
        <v>236265.59697000001</v>
      </c>
      <c r="L360" t="s">
        <v>13</v>
      </c>
      <c r="M360" s="116">
        <v>2022</v>
      </c>
      <c r="N360" t="s">
        <v>13</v>
      </c>
    </row>
    <row r="361" spans="1:14" x14ac:dyDescent="0.25">
      <c r="A361" s="116">
        <v>359</v>
      </c>
      <c r="B361" s="117" t="s">
        <v>5414</v>
      </c>
      <c r="C361" s="117" t="s">
        <v>3755</v>
      </c>
      <c r="D361" s="123" t="s">
        <v>5426</v>
      </c>
      <c r="E361" s="123" t="s">
        <v>86</v>
      </c>
      <c r="F361" s="123">
        <v>40756</v>
      </c>
      <c r="G361" s="124">
        <v>44409</v>
      </c>
      <c r="H361" s="116">
        <v>34.85</v>
      </c>
      <c r="I361" s="116" t="s">
        <v>13</v>
      </c>
      <c r="J361">
        <v>1863.130228</v>
      </c>
      <c r="K361" s="116">
        <v>216398.26015799999</v>
      </c>
      <c r="L361" t="s">
        <v>13</v>
      </c>
      <c r="M361" s="116">
        <v>2021</v>
      </c>
      <c r="N361" t="s">
        <v>13</v>
      </c>
    </row>
    <row r="362" spans="1:14" x14ac:dyDescent="0.25">
      <c r="A362" s="116">
        <v>360</v>
      </c>
      <c r="B362" s="117" t="s">
        <v>5414</v>
      </c>
      <c r="C362" s="117" t="s">
        <v>3752</v>
      </c>
      <c r="D362" s="123" t="s">
        <v>5426</v>
      </c>
      <c r="E362" s="123" t="s">
        <v>86</v>
      </c>
      <c r="F362" s="123">
        <v>40756</v>
      </c>
      <c r="G362" s="124">
        <v>44409</v>
      </c>
      <c r="H362" s="116">
        <v>671.46</v>
      </c>
      <c r="I362" s="116" t="s">
        <v>13</v>
      </c>
      <c r="J362">
        <v>9599.1023999999998</v>
      </c>
      <c r="K362" s="116">
        <v>3602185.7308800002</v>
      </c>
      <c r="L362" t="s">
        <v>13</v>
      </c>
      <c r="M362" s="116">
        <v>2021</v>
      </c>
      <c r="N362" t="s">
        <v>13</v>
      </c>
    </row>
    <row r="363" spans="1:14" x14ac:dyDescent="0.25">
      <c r="A363" s="116">
        <v>361</v>
      </c>
      <c r="B363" s="117" t="s">
        <v>5414</v>
      </c>
      <c r="C363" s="117" t="s">
        <v>3946</v>
      </c>
      <c r="D363" s="123" t="s">
        <v>3750</v>
      </c>
      <c r="E363" s="123" t="s">
        <v>86</v>
      </c>
      <c r="F363" s="123">
        <v>40940</v>
      </c>
      <c r="G363" s="124">
        <v>44593</v>
      </c>
      <c r="H363" s="116">
        <v>419.72</v>
      </c>
      <c r="I363" s="116" t="s">
        <v>13</v>
      </c>
      <c r="J363">
        <v>9561.8499100000008</v>
      </c>
      <c r="K363" s="116">
        <v>2227312.9020400001</v>
      </c>
      <c r="L363" t="s">
        <v>13</v>
      </c>
      <c r="M363" s="116">
        <v>2022</v>
      </c>
      <c r="N363" t="s">
        <v>13</v>
      </c>
    </row>
    <row r="364" spans="1:14" x14ac:dyDescent="0.25">
      <c r="A364" s="116">
        <v>362</v>
      </c>
      <c r="B364" s="117" t="s">
        <v>5414</v>
      </c>
      <c r="C364" s="117" t="s">
        <v>3934</v>
      </c>
      <c r="D364" s="123" t="s">
        <v>3750</v>
      </c>
      <c r="E364" s="123" t="s">
        <v>86</v>
      </c>
      <c r="F364" s="123">
        <v>40940</v>
      </c>
      <c r="G364" s="124">
        <v>44593</v>
      </c>
      <c r="H364" s="116">
        <v>274.39999999999998</v>
      </c>
      <c r="I364" s="116" t="s">
        <v>13</v>
      </c>
      <c r="J364">
        <v>5639.2923430000001</v>
      </c>
      <c r="K364" s="116">
        <v>753111.109482</v>
      </c>
      <c r="L364" t="s">
        <v>13</v>
      </c>
      <c r="M364" s="116">
        <v>2022</v>
      </c>
      <c r="N364" t="s">
        <v>13</v>
      </c>
    </row>
    <row r="365" spans="1:14" x14ac:dyDescent="0.25">
      <c r="A365" s="116">
        <v>363</v>
      </c>
      <c r="B365" s="117" t="s">
        <v>5414</v>
      </c>
      <c r="C365" s="117" t="s">
        <v>3748</v>
      </c>
      <c r="D365" s="123" t="s">
        <v>5426</v>
      </c>
      <c r="E365" s="123" t="s">
        <v>86</v>
      </c>
      <c r="F365" s="123">
        <v>40756</v>
      </c>
      <c r="G365" s="124">
        <v>44409</v>
      </c>
      <c r="H365" s="116">
        <v>105.85</v>
      </c>
      <c r="I365" s="116" t="s">
        <v>13</v>
      </c>
      <c r="J365">
        <v>3827.4370309999999</v>
      </c>
      <c r="K365" s="116">
        <v>731885.17845200002</v>
      </c>
      <c r="L365" t="s">
        <v>13</v>
      </c>
      <c r="M365" s="116">
        <v>2021</v>
      </c>
      <c r="N365" t="s">
        <v>13</v>
      </c>
    </row>
    <row r="366" spans="1:14" x14ac:dyDescent="0.25">
      <c r="A366" s="116">
        <v>364</v>
      </c>
      <c r="B366" s="117" t="s">
        <v>5414</v>
      </c>
      <c r="C366" s="117" t="s">
        <v>3958</v>
      </c>
      <c r="D366" s="123" t="s">
        <v>3750</v>
      </c>
      <c r="E366" s="123" t="s">
        <v>86</v>
      </c>
      <c r="F366" s="123">
        <v>40909</v>
      </c>
      <c r="G366" s="124">
        <v>44562</v>
      </c>
      <c r="H366" s="116">
        <v>88.87</v>
      </c>
      <c r="I366" s="116" t="s">
        <v>13</v>
      </c>
      <c r="J366">
        <v>1594.3788910000001</v>
      </c>
      <c r="K366" s="116">
        <v>116329.30164200001</v>
      </c>
      <c r="L366" t="s">
        <v>13</v>
      </c>
      <c r="M366" s="116">
        <v>2022</v>
      </c>
      <c r="N366" t="s">
        <v>13</v>
      </c>
    </row>
    <row r="367" spans="1:14" x14ac:dyDescent="0.25">
      <c r="A367" s="116">
        <v>365</v>
      </c>
      <c r="B367" s="117" t="s">
        <v>5414</v>
      </c>
      <c r="C367" s="117" t="s">
        <v>3964</v>
      </c>
      <c r="D367" s="123" t="s">
        <v>3750</v>
      </c>
      <c r="E367" s="123" t="s">
        <v>86</v>
      </c>
      <c r="F367" s="123">
        <v>40909</v>
      </c>
      <c r="G367" s="124">
        <v>44562</v>
      </c>
      <c r="H367" s="116">
        <v>505.59</v>
      </c>
      <c r="I367" s="116" t="s">
        <v>13</v>
      </c>
      <c r="J367">
        <v>7767.9608879999996</v>
      </c>
      <c r="K367" s="116">
        <v>3771174.0522799999</v>
      </c>
      <c r="L367" t="s">
        <v>13</v>
      </c>
      <c r="M367" s="116">
        <v>2022</v>
      </c>
      <c r="N367" t="s">
        <v>13</v>
      </c>
    </row>
    <row r="368" spans="1:14" x14ac:dyDescent="0.25">
      <c r="A368" s="116">
        <v>366</v>
      </c>
      <c r="B368" s="117" t="s">
        <v>5414</v>
      </c>
      <c r="C368" s="117" t="s">
        <v>4506</v>
      </c>
      <c r="D368" s="123" t="s">
        <v>892</v>
      </c>
      <c r="E368" s="123" t="s">
        <v>512</v>
      </c>
      <c r="F368" s="123">
        <v>41365</v>
      </c>
      <c r="G368" s="124">
        <v>45017</v>
      </c>
      <c r="H368" s="116">
        <v>640</v>
      </c>
      <c r="I368" s="116" t="s">
        <v>13</v>
      </c>
      <c r="J368">
        <v>7683.5219999999999</v>
      </c>
      <c r="K368" s="116">
        <v>3689753.8762500002</v>
      </c>
      <c r="L368" t="s">
        <v>13</v>
      </c>
      <c r="M368" s="116">
        <v>2023</v>
      </c>
      <c r="N368" t="s">
        <v>13</v>
      </c>
    </row>
    <row r="369" spans="1:14" x14ac:dyDescent="0.25">
      <c r="A369" s="116">
        <v>367</v>
      </c>
      <c r="B369" s="117" t="s">
        <v>5414</v>
      </c>
      <c r="C369" s="117" t="s">
        <v>3837</v>
      </c>
      <c r="D369" s="123" t="s">
        <v>892</v>
      </c>
      <c r="E369" s="123" t="s">
        <v>512</v>
      </c>
      <c r="F369" s="123">
        <v>40787</v>
      </c>
      <c r="G369" s="124">
        <v>44440</v>
      </c>
      <c r="H369" s="116">
        <v>1600</v>
      </c>
      <c r="I369" s="116" t="s">
        <v>13</v>
      </c>
      <c r="J369">
        <v>15521.756528</v>
      </c>
      <c r="K369" s="116">
        <v>9368296.3965600003</v>
      </c>
      <c r="L369" t="s">
        <v>13</v>
      </c>
      <c r="M369" s="116">
        <v>2021</v>
      </c>
      <c r="N369" t="s">
        <v>13</v>
      </c>
    </row>
    <row r="370" spans="1:14" x14ac:dyDescent="0.25">
      <c r="A370" s="116">
        <v>368</v>
      </c>
      <c r="B370" s="117" t="s">
        <v>5414</v>
      </c>
      <c r="C370" s="117" t="s">
        <v>3133</v>
      </c>
      <c r="D370" s="123" t="s">
        <v>892</v>
      </c>
      <c r="E370" s="123" t="s">
        <v>512</v>
      </c>
      <c r="F370" s="123">
        <v>40544</v>
      </c>
      <c r="G370" s="124">
        <v>44197</v>
      </c>
      <c r="H370" s="116">
        <v>40</v>
      </c>
      <c r="I370" s="116" t="s">
        <v>13</v>
      </c>
      <c r="J370">
        <v>1936.7526</v>
      </c>
      <c r="K370" s="116">
        <v>234375.164663</v>
      </c>
      <c r="L370" t="s">
        <v>13</v>
      </c>
      <c r="M370" s="116">
        <v>2021</v>
      </c>
      <c r="N370" t="s">
        <v>13</v>
      </c>
    </row>
    <row r="371" spans="1:14" x14ac:dyDescent="0.25">
      <c r="A371" s="116">
        <v>369</v>
      </c>
      <c r="B371" s="117" t="s">
        <v>5414</v>
      </c>
      <c r="C371" s="117" t="s">
        <v>2898</v>
      </c>
      <c r="D371" s="123" t="s">
        <v>892</v>
      </c>
      <c r="E371" s="123" t="s">
        <v>512</v>
      </c>
      <c r="F371" s="123">
        <v>40452</v>
      </c>
      <c r="G371" s="124">
        <v>44105</v>
      </c>
      <c r="H371" s="116">
        <v>320</v>
      </c>
      <c r="I371" s="116" t="s">
        <v>13</v>
      </c>
      <c r="J371">
        <v>5937.2550000000001</v>
      </c>
      <c r="K371" s="116">
        <v>1925963.8400900001</v>
      </c>
      <c r="L371" t="s">
        <v>13</v>
      </c>
      <c r="M371" s="116">
        <v>2020</v>
      </c>
      <c r="N371" t="s">
        <v>13</v>
      </c>
    </row>
    <row r="372" spans="1:14" x14ac:dyDescent="0.25">
      <c r="A372" s="116">
        <v>370</v>
      </c>
      <c r="B372" s="117" t="s">
        <v>5414</v>
      </c>
      <c r="C372" s="117" t="s">
        <v>2894</v>
      </c>
      <c r="D372" s="123" t="s">
        <v>892</v>
      </c>
      <c r="E372" s="123" t="s">
        <v>512</v>
      </c>
      <c r="F372" s="123">
        <v>40452</v>
      </c>
      <c r="G372" s="124">
        <v>44105</v>
      </c>
      <c r="H372" s="116">
        <v>160</v>
      </c>
      <c r="I372" s="116" t="s">
        <v>13</v>
      </c>
      <c r="J372">
        <v>4836.5864000000001</v>
      </c>
      <c r="K372" s="116">
        <v>932543.40203300002</v>
      </c>
      <c r="L372" t="s">
        <v>13</v>
      </c>
      <c r="M372" s="116">
        <v>2020</v>
      </c>
      <c r="N372" t="s">
        <v>13</v>
      </c>
    </row>
    <row r="373" spans="1:14" x14ac:dyDescent="0.25">
      <c r="A373" s="116">
        <v>371</v>
      </c>
      <c r="B373" s="117" t="s">
        <v>5414</v>
      </c>
      <c r="C373" s="117" t="s">
        <v>2801</v>
      </c>
      <c r="D373" s="123" t="s">
        <v>517</v>
      </c>
      <c r="E373" s="123" t="s">
        <v>512</v>
      </c>
      <c r="F373" s="123">
        <v>40330</v>
      </c>
      <c r="G373" s="124">
        <v>43983</v>
      </c>
      <c r="H373" s="116">
        <v>160</v>
      </c>
      <c r="I373" s="116" t="s">
        <v>13</v>
      </c>
      <c r="J373">
        <v>3884.0886</v>
      </c>
      <c r="K373" s="116">
        <v>942821.00156400003</v>
      </c>
      <c r="L373" t="s">
        <v>13</v>
      </c>
      <c r="M373" s="116">
        <v>2020</v>
      </c>
      <c r="N373" t="s">
        <v>13</v>
      </c>
    </row>
    <row r="374" spans="1:14" x14ac:dyDescent="0.25">
      <c r="A374" s="116">
        <v>372</v>
      </c>
      <c r="B374" s="117" t="s">
        <v>5414</v>
      </c>
      <c r="C374" s="117" t="s">
        <v>3060</v>
      </c>
      <c r="D374" s="123" t="s">
        <v>564</v>
      </c>
      <c r="E374" s="123" t="s">
        <v>512</v>
      </c>
      <c r="F374" s="123">
        <v>40452</v>
      </c>
      <c r="G374" s="124">
        <v>44105</v>
      </c>
      <c r="H374" s="116">
        <v>477.98</v>
      </c>
      <c r="I374" s="116" t="s">
        <v>13</v>
      </c>
      <c r="J374">
        <v>7822.8473999999997</v>
      </c>
      <c r="K374" s="116">
        <v>2858886.86051</v>
      </c>
      <c r="L374" t="s">
        <v>13</v>
      </c>
      <c r="M374" s="116">
        <v>2020</v>
      </c>
      <c r="N374" t="s">
        <v>13</v>
      </c>
    </row>
    <row r="375" spans="1:14" x14ac:dyDescent="0.25">
      <c r="A375" s="116">
        <v>373</v>
      </c>
      <c r="B375" s="117" t="s">
        <v>5414</v>
      </c>
      <c r="C375" s="117" t="s">
        <v>3066</v>
      </c>
      <c r="D375" s="123" t="s">
        <v>564</v>
      </c>
      <c r="E375" s="123" t="s">
        <v>512</v>
      </c>
      <c r="F375" s="123">
        <v>40513</v>
      </c>
      <c r="G375" s="124">
        <v>44166</v>
      </c>
      <c r="H375" s="116">
        <v>40</v>
      </c>
      <c r="I375" s="116" t="s">
        <v>13</v>
      </c>
      <c r="J375">
        <v>1938.0598</v>
      </c>
      <c r="K375" s="116">
        <v>234688.109554</v>
      </c>
      <c r="L375" t="s">
        <v>13</v>
      </c>
      <c r="M375" s="116">
        <v>2020</v>
      </c>
      <c r="N375" t="s">
        <v>13</v>
      </c>
    </row>
    <row r="376" spans="1:14" x14ac:dyDescent="0.25">
      <c r="A376" s="116">
        <v>374</v>
      </c>
      <c r="B376" s="117" t="s">
        <v>5414</v>
      </c>
      <c r="C376" s="117" t="s">
        <v>3248</v>
      </c>
      <c r="D376" s="123" t="s">
        <v>564</v>
      </c>
      <c r="E376" s="123" t="s">
        <v>512</v>
      </c>
      <c r="F376" s="123">
        <v>40603</v>
      </c>
      <c r="G376" s="124">
        <v>44256</v>
      </c>
      <c r="H376" s="116">
        <v>1420.87</v>
      </c>
      <c r="I376" s="116" t="s">
        <v>13</v>
      </c>
      <c r="J376">
        <v>17665.653998000002</v>
      </c>
      <c r="K376" s="116">
        <v>8841830.2861499991</v>
      </c>
      <c r="L376" t="s">
        <v>13</v>
      </c>
      <c r="M376" s="116">
        <v>2021</v>
      </c>
      <c r="N376" t="s">
        <v>13</v>
      </c>
    </row>
    <row r="377" spans="1:14" x14ac:dyDescent="0.25">
      <c r="A377" s="116">
        <v>375</v>
      </c>
      <c r="B377" s="117" t="s">
        <v>5414</v>
      </c>
      <c r="C377" s="117" t="s">
        <v>3252</v>
      </c>
      <c r="D377" s="123" t="s">
        <v>564</v>
      </c>
      <c r="E377" s="123" t="s">
        <v>512</v>
      </c>
      <c r="F377" s="123">
        <v>40603</v>
      </c>
      <c r="G377" s="124">
        <v>44256</v>
      </c>
      <c r="H377" s="116">
        <v>240</v>
      </c>
      <c r="I377" s="116" t="s">
        <v>13</v>
      </c>
      <c r="J377">
        <v>4967.9236000000001</v>
      </c>
      <c r="K377" s="116">
        <v>1476659.7034199999</v>
      </c>
      <c r="L377" t="s">
        <v>13</v>
      </c>
      <c r="M377" s="116">
        <v>2021</v>
      </c>
      <c r="N377" t="s">
        <v>13</v>
      </c>
    </row>
    <row r="378" spans="1:14" x14ac:dyDescent="0.25">
      <c r="A378" s="116">
        <v>376</v>
      </c>
      <c r="B378" s="117" t="s">
        <v>5414</v>
      </c>
      <c r="C378" s="117" t="s">
        <v>4510</v>
      </c>
      <c r="D378" s="123" t="s">
        <v>564</v>
      </c>
      <c r="E378" s="123" t="s">
        <v>512</v>
      </c>
      <c r="F378" s="123">
        <v>41365</v>
      </c>
      <c r="G378" s="124">
        <v>45017</v>
      </c>
      <c r="H378" s="116">
        <v>637.4</v>
      </c>
      <c r="I378" s="116" t="s">
        <v>13</v>
      </c>
      <c r="J378">
        <v>7948.0969999999998</v>
      </c>
      <c r="K378" s="116">
        <v>3947798.30235</v>
      </c>
      <c r="L378" t="s">
        <v>13</v>
      </c>
      <c r="M378" s="116">
        <v>2023</v>
      </c>
      <c r="N378" t="s">
        <v>13</v>
      </c>
    </row>
    <row r="379" spans="1:14" x14ac:dyDescent="0.25">
      <c r="A379" s="116">
        <v>377</v>
      </c>
      <c r="B379" s="117" t="s">
        <v>5414</v>
      </c>
      <c r="C379" s="117" t="s">
        <v>3246</v>
      </c>
      <c r="D379" s="123" t="s">
        <v>2024</v>
      </c>
      <c r="E379" s="123" t="s">
        <v>512</v>
      </c>
      <c r="F379" s="123">
        <v>40603</v>
      </c>
      <c r="G379" s="124">
        <v>44256</v>
      </c>
      <c r="H379" s="116">
        <v>40</v>
      </c>
      <c r="I379" s="116" t="s">
        <v>13</v>
      </c>
      <c r="J379">
        <v>1982.0906</v>
      </c>
      <c r="K379" s="116">
        <v>245534.60178200001</v>
      </c>
      <c r="L379" t="s">
        <v>13</v>
      </c>
      <c r="M379" s="116">
        <v>2021</v>
      </c>
      <c r="N379" t="s">
        <v>13</v>
      </c>
    </row>
    <row r="380" spans="1:14" x14ac:dyDescent="0.25">
      <c r="A380" s="116">
        <v>378</v>
      </c>
      <c r="B380" s="117" t="s">
        <v>5414</v>
      </c>
      <c r="C380" s="117" t="s">
        <v>3244</v>
      </c>
      <c r="D380" s="123" t="s">
        <v>2024</v>
      </c>
      <c r="E380" s="123" t="s">
        <v>512</v>
      </c>
      <c r="F380" s="123">
        <v>40603</v>
      </c>
      <c r="G380" s="124">
        <v>44256</v>
      </c>
      <c r="H380" s="116">
        <v>1004.52</v>
      </c>
      <c r="I380" s="116" t="s">
        <v>13</v>
      </c>
      <c r="J380">
        <v>22156.087800000001</v>
      </c>
      <c r="K380" s="116">
        <v>6074543.0484100003</v>
      </c>
      <c r="L380" t="s">
        <v>13</v>
      </c>
      <c r="M380" s="116">
        <v>2021</v>
      </c>
      <c r="N380" t="s">
        <v>13</v>
      </c>
    </row>
    <row r="381" spans="1:14" x14ac:dyDescent="0.25">
      <c r="A381" s="116">
        <v>379</v>
      </c>
      <c r="B381" s="117" t="s">
        <v>5414</v>
      </c>
      <c r="C381" s="117" t="s">
        <v>3241</v>
      </c>
      <c r="D381" s="123" t="s">
        <v>2024</v>
      </c>
      <c r="E381" s="123" t="s">
        <v>512</v>
      </c>
      <c r="F381" s="123">
        <v>40603</v>
      </c>
      <c r="G381" s="124">
        <v>44256</v>
      </c>
      <c r="H381" s="116">
        <v>152.34</v>
      </c>
      <c r="I381" s="116" t="s">
        <v>13</v>
      </c>
      <c r="J381">
        <v>9308.9567999999999</v>
      </c>
      <c r="K381" s="116">
        <v>941400.55485299998</v>
      </c>
      <c r="L381" t="s">
        <v>13</v>
      </c>
      <c r="M381" s="116">
        <v>2021</v>
      </c>
      <c r="N381" t="s">
        <v>13</v>
      </c>
    </row>
    <row r="382" spans="1:14" x14ac:dyDescent="0.25">
      <c r="A382" s="116">
        <v>380</v>
      </c>
      <c r="B382" s="117" t="s">
        <v>5414</v>
      </c>
      <c r="C382" s="117" t="s">
        <v>3164</v>
      </c>
      <c r="D382" s="123" t="s">
        <v>2024</v>
      </c>
      <c r="E382" s="123" t="s">
        <v>512</v>
      </c>
      <c r="F382" s="123">
        <v>40544</v>
      </c>
      <c r="G382" s="124">
        <v>44197</v>
      </c>
      <c r="H382" s="116">
        <v>80</v>
      </c>
      <c r="I382" s="116" t="s">
        <v>13</v>
      </c>
      <c r="J382">
        <v>2944.7656000000002</v>
      </c>
      <c r="K382" s="116">
        <v>480070.61490500002</v>
      </c>
      <c r="L382" t="s">
        <v>13</v>
      </c>
      <c r="M382" s="116">
        <v>2021</v>
      </c>
      <c r="N382" t="s">
        <v>13</v>
      </c>
    </row>
    <row r="383" spans="1:14" x14ac:dyDescent="0.25">
      <c r="A383" s="116">
        <v>381</v>
      </c>
      <c r="B383" s="117" t="s">
        <v>5414</v>
      </c>
      <c r="C383" s="117" t="s">
        <v>3162</v>
      </c>
      <c r="D383" s="123" t="s">
        <v>2024</v>
      </c>
      <c r="E383" s="123" t="s">
        <v>512</v>
      </c>
      <c r="F383" s="123">
        <v>40544</v>
      </c>
      <c r="G383" s="124">
        <v>44197</v>
      </c>
      <c r="H383" s="116">
        <v>40</v>
      </c>
      <c r="I383" s="116" t="s">
        <v>13</v>
      </c>
      <c r="J383">
        <v>1967.9706000000001</v>
      </c>
      <c r="K383" s="116">
        <v>242020.97794700001</v>
      </c>
      <c r="L383" t="s">
        <v>13</v>
      </c>
      <c r="M383" s="116">
        <v>2021</v>
      </c>
      <c r="N383" t="s">
        <v>13</v>
      </c>
    </row>
    <row r="384" spans="1:14" x14ac:dyDescent="0.25">
      <c r="A384" s="116">
        <v>382</v>
      </c>
      <c r="B384" s="117" t="s">
        <v>5414</v>
      </c>
      <c r="C384" s="117" t="s">
        <v>3161</v>
      </c>
      <c r="D384" s="123" t="s">
        <v>2024</v>
      </c>
      <c r="E384" s="123" t="s">
        <v>512</v>
      </c>
      <c r="F384" s="123">
        <v>40544</v>
      </c>
      <c r="G384" s="124">
        <v>44197</v>
      </c>
      <c r="H384" s="116">
        <v>40</v>
      </c>
      <c r="I384" s="116" t="s">
        <v>13</v>
      </c>
      <c r="J384">
        <v>1946.8235999999999</v>
      </c>
      <c r="K384" s="116">
        <v>236882.178816</v>
      </c>
      <c r="L384" t="s">
        <v>13</v>
      </c>
      <c r="M384" s="116">
        <v>2021</v>
      </c>
      <c r="N384" t="s">
        <v>13</v>
      </c>
    </row>
    <row r="385" spans="1:14" x14ac:dyDescent="0.25">
      <c r="A385" s="116">
        <v>383</v>
      </c>
      <c r="B385" s="117" t="s">
        <v>5414</v>
      </c>
      <c r="C385" s="117" t="s">
        <v>3159</v>
      </c>
      <c r="D385" s="123" t="s">
        <v>2024</v>
      </c>
      <c r="E385" s="123" t="s">
        <v>512</v>
      </c>
      <c r="F385" s="123">
        <v>40544</v>
      </c>
      <c r="G385" s="124">
        <v>44197</v>
      </c>
      <c r="H385" s="116">
        <v>80</v>
      </c>
      <c r="I385" s="116" t="s">
        <v>13</v>
      </c>
      <c r="J385">
        <v>2932.1363999999999</v>
      </c>
      <c r="K385" s="116">
        <v>476318.48101699998</v>
      </c>
      <c r="L385" t="s">
        <v>13</v>
      </c>
      <c r="M385" s="116">
        <v>2021</v>
      </c>
      <c r="N385" t="s">
        <v>13</v>
      </c>
    </row>
    <row r="386" spans="1:14" x14ac:dyDescent="0.25">
      <c r="A386" s="116">
        <v>384</v>
      </c>
      <c r="B386" s="117" t="s">
        <v>5414</v>
      </c>
      <c r="C386" s="117" t="s">
        <v>3157</v>
      </c>
      <c r="D386" s="123" t="s">
        <v>2024</v>
      </c>
      <c r="E386" s="123" t="s">
        <v>512</v>
      </c>
      <c r="F386" s="123">
        <v>40544</v>
      </c>
      <c r="G386" s="124">
        <v>44197</v>
      </c>
      <c r="H386" s="116">
        <v>40</v>
      </c>
      <c r="I386" s="116" t="s">
        <v>13</v>
      </c>
      <c r="J386">
        <v>1970.3812</v>
      </c>
      <c r="K386" s="116">
        <v>242650.12281100001</v>
      </c>
      <c r="L386" t="s">
        <v>13</v>
      </c>
      <c r="M386" s="116">
        <v>2021</v>
      </c>
      <c r="N386" t="s">
        <v>13</v>
      </c>
    </row>
    <row r="387" spans="1:14" x14ac:dyDescent="0.25">
      <c r="A387" s="116">
        <v>385</v>
      </c>
      <c r="B387" s="117" t="s">
        <v>5414</v>
      </c>
      <c r="C387" s="117" t="s">
        <v>3155</v>
      </c>
      <c r="D387" s="123" t="s">
        <v>2024</v>
      </c>
      <c r="E387" s="123" t="s">
        <v>512</v>
      </c>
      <c r="F387" s="123">
        <v>40544</v>
      </c>
      <c r="G387" s="124">
        <v>44197</v>
      </c>
      <c r="H387" s="116">
        <v>240</v>
      </c>
      <c r="I387" s="116" t="s">
        <v>13</v>
      </c>
      <c r="J387">
        <v>5901.0738000000001</v>
      </c>
      <c r="K387" s="116">
        <v>1444588.01587</v>
      </c>
      <c r="L387" t="s">
        <v>13</v>
      </c>
      <c r="M387" s="116">
        <v>2021</v>
      </c>
      <c r="N387" t="s">
        <v>13</v>
      </c>
    </row>
    <row r="388" spans="1:14" x14ac:dyDescent="0.25">
      <c r="A388" s="116">
        <v>386</v>
      </c>
      <c r="B388" s="117" t="s">
        <v>5414</v>
      </c>
      <c r="C388" s="117" t="s">
        <v>3153</v>
      </c>
      <c r="D388" s="123" t="s">
        <v>2024</v>
      </c>
      <c r="E388" s="123" t="s">
        <v>512</v>
      </c>
      <c r="F388" s="123">
        <v>40544</v>
      </c>
      <c r="G388" s="124">
        <v>44197</v>
      </c>
      <c r="H388" s="116">
        <v>80</v>
      </c>
      <c r="I388" s="116" t="s">
        <v>13</v>
      </c>
      <c r="J388">
        <v>2945.1161999999999</v>
      </c>
      <c r="K388" s="116">
        <v>480156.05259899999</v>
      </c>
      <c r="L388" t="s">
        <v>13</v>
      </c>
      <c r="M388" s="116">
        <v>2021</v>
      </c>
      <c r="N388" t="s">
        <v>13</v>
      </c>
    </row>
    <row r="389" spans="1:14" x14ac:dyDescent="0.25">
      <c r="A389" s="116">
        <v>387</v>
      </c>
      <c r="B389" s="117" t="s">
        <v>5414</v>
      </c>
      <c r="C389" s="117" t="s">
        <v>3151</v>
      </c>
      <c r="D389" s="123" t="s">
        <v>2024</v>
      </c>
      <c r="E389" s="123" t="s">
        <v>512</v>
      </c>
      <c r="F389" s="123">
        <v>40544</v>
      </c>
      <c r="G389" s="124">
        <v>44197</v>
      </c>
      <c r="H389" s="116">
        <v>40</v>
      </c>
      <c r="I389" s="116" t="s">
        <v>13</v>
      </c>
      <c r="J389">
        <v>1949.3648000000001</v>
      </c>
      <c r="K389" s="116">
        <v>237473.78919000001</v>
      </c>
      <c r="L389" t="s">
        <v>13</v>
      </c>
      <c r="M389" s="116">
        <v>2021</v>
      </c>
      <c r="N389" t="s">
        <v>13</v>
      </c>
    </row>
    <row r="390" spans="1:14" x14ac:dyDescent="0.25">
      <c r="A390" s="116">
        <v>388</v>
      </c>
      <c r="B390" s="117" t="s">
        <v>5414</v>
      </c>
      <c r="C390" s="117" t="s">
        <v>3149</v>
      </c>
      <c r="D390" s="123" t="s">
        <v>2024</v>
      </c>
      <c r="E390" s="123" t="s">
        <v>512</v>
      </c>
      <c r="F390" s="123">
        <v>40544</v>
      </c>
      <c r="G390" s="124">
        <v>44197</v>
      </c>
      <c r="H390" s="116">
        <v>40</v>
      </c>
      <c r="I390" s="116" t="s">
        <v>13</v>
      </c>
      <c r="J390">
        <v>1923.652</v>
      </c>
      <c r="K390" s="116">
        <v>231275.94630899999</v>
      </c>
      <c r="L390" t="s">
        <v>13</v>
      </c>
      <c r="M390" s="116">
        <v>2021</v>
      </c>
      <c r="N390" t="s">
        <v>13</v>
      </c>
    </row>
    <row r="391" spans="1:14" x14ac:dyDescent="0.25">
      <c r="A391" s="116">
        <v>389</v>
      </c>
      <c r="B391" s="117" t="s">
        <v>5414</v>
      </c>
      <c r="C391" s="117" t="s">
        <v>3147</v>
      </c>
      <c r="D391" s="123" t="s">
        <v>2024</v>
      </c>
      <c r="E391" s="123" t="s">
        <v>512</v>
      </c>
      <c r="F391" s="123">
        <v>40544</v>
      </c>
      <c r="G391" s="124">
        <v>44197</v>
      </c>
      <c r="H391" s="116">
        <v>40</v>
      </c>
      <c r="I391" s="116" t="s">
        <v>13</v>
      </c>
      <c r="J391">
        <v>1925.9358</v>
      </c>
      <c r="K391" s="116">
        <v>231804.711155</v>
      </c>
      <c r="L391" t="s">
        <v>13</v>
      </c>
      <c r="M391" s="116">
        <v>2021</v>
      </c>
      <c r="N391" t="s">
        <v>13</v>
      </c>
    </row>
    <row r="392" spans="1:14" x14ac:dyDescent="0.25">
      <c r="A392" s="116">
        <v>390</v>
      </c>
      <c r="B392" s="117" t="s">
        <v>5414</v>
      </c>
      <c r="C392" s="117" t="s">
        <v>3145</v>
      </c>
      <c r="D392" s="123" t="s">
        <v>2024</v>
      </c>
      <c r="E392" s="123" t="s">
        <v>512</v>
      </c>
      <c r="F392" s="123">
        <v>40544</v>
      </c>
      <c r="G392" s="124">
        <v>44197</v>
      </c>
      <c r="H392" s="116">
        <v>120</v>
      </c>
      <c r="I392" s="116" t="s">
        <v>13</v>
      </c>
      <c r="J392">
        <v>3911.9137999999998</v>
      </c>
      <c r="K392" s="116">
        <v>716146.29149600002</v>
      </c>
      <c r="L392" t="s">
        <v>13</v>
      </c>
      <c r="M392" s="116">
        <v>2021</v>
      </c>
      <c r="N392" t="s">
        <v>13</v>
      </c>
    </row>
    <row r="393" spans="1:14" x14ac:dyDescent="0.25">
      <c r="A393" s="116">
        <v>391</v>
      </c>
      <c r="B393" s="117" t="s">
        <v>5414</v>
      </c>
      <c r="C393" s="117" t="s">
        <v>3143</v>
      </c>
      <c r="D393" s="123" t="s">
        <v>2024</v>
      </c>
      <c r="E393" s="123" t="s">
        <v>512</v>
      </c>
      <c r="F393" s="123">
        <v>40544</v>
      </c>
      <c r="G393" s="124">
        <v>44197</v>
      </c>
      <c r="H393" s="116">
        <v>40</v>
      </c>
      <c r="I393" s="116" t="s">
        <v>13</v>
      </c>
      <c r="J393">
        <v>1947.1274000000001</v>
      </c>
      <c r="K393" s="116">
        <v>236956.21182699999</v>
      </c>
      <c r="L393" t="s">
        <v>13</v>
      </c>
      <c r="M393" s="116">
        <v>2021</v>
      </c>
      <c r="N393" t="s">
        <v>13</v>
      </c>
    </row>
    <row r="394" spans="1:14" x14ac:dyDescent="0.25">
      <c r="A394" s="116">
        <v>392</v>
      </c>
      <c r="B394" s="117" t="s">
        <v>5414</v>
      </c>
      <c r="C394" s="117" t="s">
        <v>3141</v>
      </c>
      <c r="D394" s="123" t="s">
        <v>2024</v>
      </c>
      <c r="E394" s="123" t="s">
        <v>512</v>
      </c>
      <c r="F394" s="123">
        <v>40544</v>
      </c>
      <c r="G394" s="124">
        <v>44197</v>
      </c>
      <c r="H394" s="116">
        <v>600</v>
      </c>
      <c r="I394" s="116" t="s">
        <v>13</v>
      </c>
      <c r="J394">
        <v>10740.146674</v>
      </c>
      <c r="K394" s="116">
        <v>3589350.19411</v>
      </c>
      <c r="L394" t="s">
        <v>13</v>
      </c>
      <c r="M394" s="116">
        <v>2021</v>
      </c>
      <c r="N394" t="s">
        <v>13</v>
      </c>
    </row>
    <row r="395" spans="1:14" x14ac:dyDescent="0.25">
      <c r="A395" s="116">
        <v>393</v>
      </c>
      <c r="B395" s="117" t="s">
        <v>5414</v>
      </c>
      <c r="C395" s="117" t="s">
        <v>3139</v>
      </c>
      <c r="D395" s="123" t="s">
        <v>2024</v>
      </c>
      <c r="E395" s="123" t="s">
        <v>512</v>
      </c>
      <c r="F395" s="123">
        <v>40544</v>
      </c>
      <c r="G395" s="124">
        <v>44197</v>
      </c>
      <c r="H395" s="116">
        <v>40</v>
      </c>
      <c r="I395" s="116" t="s">
        <v>13</v>
      </c>
      <c r="J395">
        <v>1960.3116</v>
      </c>
      <c r="K395" s="116">
        <v>240169.06886299999</v>
      </c>
      <c r="L395" t="s">
        <v>13</v>
      </c>
      <c r="M395" s="116">
        <v>2021</v>
      </c>
      <c r="N395" t="s">
        <v>13</v>
      </c>
    </row>
    <row r="396" spans="1:14" x14ac:dyDescent="0.25">
      <c r="A396" s="116">
        <v>394</v>
      </c>
      <c r="B396" s="117" t="s">
        <v>5414</v>
      </c>
      <c r="C396" s="117" t="s">
        <v>3136</v>
      </c>
      <c r="D396" s="123" t="s">
        <v>2024</v>
      </c>
      <c r="E396" s="123" t="s">
        <v>512</v>
      </c>
      <c r="F396" s="123">
        <v>40544</v>
      </c>
      <c r="G396" s="124">
        <v>44197</v>
      </c>
      <c r="H396" s="116">
        <v>40</v>
      </c>
      <c r="I396" s="116" t="s">
        <v>13</v>
      </c>
      <c r="J396">
        <v>1983.8733999999999</v>
      </c>
      <c r="K396" s="116">
        <v>245973.774508</v>
      </c>
      <c r="L396" t="s">
        <v>13</v>
      </c>
      <c r="M396" s="116">
        <v>2021</v>
      </c>
      <c r="N396" t="s">
        <v>13</v>
      </c>
    </row>
    <row r="397" spans="1:14" x14ac:dyDescent="0.25">
      <c r="A397" s="116">
        <v>395</v>
      </c>
      <c r="B397" s="117" t="s">
        <v>5414</v>
      </c>
      <c r="C397" s="117" t="s">
        <v>3071</v>
      </c>
      <c r="D397" s="123" t="s">
        <v>2024</v>
      </c>
      <c r="E397" s="123" t="s">
        <v>512</v>
      </c>
      <c r="F397" s="123">
        <v>40452</v>
      </c>
      <c r="G397" s="124">
        <v>44105</v>
      </c>
      <c r="H397" s="116">
        <v>200</v>
      </c>
      <c r="I397" s="116" t="s">
        <v>13</v>
      </c>
      <c r="J397">
        <v>5886.6574000000001</v>
      </c>
      <c r="K397" s="116">
        <v>1189902.99483</v>
      </c>
      <c r="L397" t="s">
        <v>13</v>
      </c>
      <c r="M397" s="116">
        <v>2020</v>
      </c>
      <c r="N397" t="s">
        <v>13</v>
      </c>
    </row>
    <row r="398" spans="1:14" x14ac:dyDescent="0.25">
      <c r="A398" s="116">
        <v>396</v>
      </c>
      <c r="B398" s="117" t="s">
        <v>5414</v>
      </c>
      <c r="C398" s="117" t="s">
        <v>3068</v>
      </c>
      <c r="D398" s="123" t="s">
        <v>2024</v>
      </c>
      <c r="E398" s="123" t="s">
        <v>512</v>
      </c>
      <c r="F398" s="123">
        <v>40452</v>
      </c>
      <c r="G398" s="124">
        <v>44105</v>
      </c>
      <c r="H398" s="116">
        <v>680</v>
      </c>
      <c r="I398" s="116" t="s">
        <v>13</v>
      </c>
      <c r="J398">
        <v>13824.220799999999</v>
      </c>
      <c r="K398" s="116">
        <v>4127854.5432000002</v>
      </c>
      <c r="L398" t="s">
        <v>13</v>
      </c>
      <c r="M398" s="116">
        <v>2020</v>
      </c>
      <c r="N398" t="s">
        <v>13</v>
      </c>
    </row>
    <row r="399" spans="1:14" x14ac:dyDescent="0.25">
      <c r="A399" s="116">
        <v>397</v>
      </c>
      <c r="B399" s="117" t="s">
        <v>5414</v>
      </c>
      <c r="C399" s="117" t="s">
        <v>3057</v>
      </c>
      <c r="D399" s="123" t="s">
        <v>2024</v>
      </c>
      <c r="E399" s="123" t="s">
        <v>512</v>
      </c>
      <c r="F399" s="123">
        <v>40452</v>
      </c>
      <c r="G399" s="124">
        <v>44105</v>
      </c>
      <c r="H399" s="116">
        <v>674.54</v>
      </c>
      <c r="I399" s="116" t="s">
        <v>13</v>
      </c>
      <c r="J399">
        <v>9287.3747999999996</v>
      </c>
      <c r="K399" s="116">
        <v>4032233.1178700002</v>
      </c>
      <c r="L399" t="s">
        <v>13</v>
      </c>
      <c r="M399" s="116">
        <v>2020</v>
      </c>
      <c r="N399" t="s">
        <v>13</v>
      </c>
    </row>
    <row r="400" spans="1:14" x14ac:dyDescent="0.25">
      <c r="A400" s="116">
        <v>398</v>
      </c>
      <c r="B400" s="117" t="s">
        <v>5414</v>
      </c>
      <c r="C400" s="117" t="s">
        <v>3053</v>
      </c>
      <c r="D400" s="123" t="s">
        <v>2024</v>
      </c>
      <c r="E400" s="123" t="s">
        <v>512</v>
      </c>
      <c r="F400" s="123">
        <v>40452</v>
      </c>
      <c r="G400" s="124">
        <v>44105</v>
      </c>
      <c r="H400" s="116">
        <v>1580.74</v>
      </c>
      <c r="I400" s="116" t="s">
        <v>13</v>
      </c>
      <c r="J400">
        <v>22135.095600000001</v>
      </c>
      <c r="K400" s="116">
        <v>9498688.0758500006</v>
      </c>
      <c r="L400" t="s">
        <v>13</v>
      </c>
      <c r="M400" s="116">
        <v>2020</v>
      </c>
      <c r="N400" t="s">
        <v>13</v>
      </c>
    </row>
    <row r="401" spans="1:14" x14ac:dyDescent="0.25">
      <c r="A401" s="116">
        <v>399</v>
      </c>
      <c r="B401" s="117" t="s">
        <v>5414</v>
      </c>
      <c r="C401" s="117" t="s">
        <v>3051</v>
      </c>
      <c r="D401" s="123" t="s">
        <v>2024</v>
      </c>
      <c r="E401" s="123" t="s">
        <v>512</v>
      </c>
      <c r="F401" s="123">
        <v>40452</v>
      </c>
      <c r="G401" s="124">
        <v>44105</v>
      </c>
      <c r="H401" s="116">
        <v>160</v>
      </c>
      <c r="I401" s="116" t="s">
        <v>13</v>
      </c>
      <c r="J401">
        <v>3951.2820000000002</v>
      </c>
      <c r="K401" s="116">
        <v>975783.26152900001</v>
      </c>
      <c r="L401" t="s">
        <v>13</v>
      </c>
      <c r="M401" s="116">
        <v>2020</v>
      </c>
      <c r="N401" t="s">
        <v>13</v>
      </c>
    </row>
    <row r="402" spans="1:14" x14ac:dyDescent="0.25">
      <c r="A402" s="116">
        <v>400</v>
      </c>
      <c r="B402" s="117" t="s">
        <v>5414</v>
      </c>
      <c r="C402" s="117" t="s">
        <v>3049</v>
      </c>
      <c r="D402" s="123" t="s">
        <v>2024</v>
      </c>
      <c r="E402" s="123" t="s">
        <v>512</v>
      </c>
      <c r="F402" s="123">
        <v>40452</v>
      </c>
      <c r="G402" s="124">
        <v>44105</v>
      </c>
      <c r="H402" s="116">
        <v>80</v>
      </c>
      <c r="I402" s="116" t="s">
        <v>13</v>
      </c>
      <c r="J402">
        <v>2954.6772000000001</v>
      </c>
      <c r="K402" s="116">
        <v>484778.500176</v>
      </c>
      <c r="L402" t="s">
        <v>13</v>
      </c>
      <c r="M402" s="116">
        <v>2020</v>
      </c>
      <c r="N402" t="s">
        <v>13</v>
      </c>
    </row>
    <row r="403" spans="1:14" x14ac:dyDescent="0.25">
      <c r="A403" s="116">
        <v>401</v>
      </c>
      <c r="B403" s="117" t="s">
        <v>5414</v>
      </c>
      <c r="C403" s="117" t="s">
        <v>3047</v>
      </c>
      <c r="D403" s="123" t="s">
        <v>2024</v>
      </c>
      <c r="E403" s="123" t="s">
        <v>512</v>
      </c>
      <c r="F403" s="123">
        <v>40452</v>
      </c>
      <c r="G403" s="124">
        <v>44105</v>
      </c>
      <c r="H403" s="116">
        <v>156.22999999999999</v>
      </c>
      <c r="I403" s="116" t="s">
        <v>13</v>
      </c>
      <c r="J403">
        <v>4894.0532000000003</v>
      </c>
      <c r="K403" s="116">
        <v>923445.45723399997</v>
      </c>
      <c r="L403" t="s">
        <v>13</v>
      </c>
      <c r="M403" s="116">
        <v>2020</v>
      </c>
      <c r="N403" t="s">
        <v>13</v>
      </c>
    </row>
    <row r="404" spans="1:14" x14ac:dyDescent="0.25">
      <c r="A404" s="116">
        <v>402</v>
      </c>
      <c r="B404" s="117" t="s">
        <v>5414</v>
      </c>
      <c r="C404" s="117" t="s">
        <v>3045</v>
      </c>
      <c r="D404" s="123" t="s">
        <v>2024</v>
      </c>
      <c r="E404" s="123" t="s">
        <v>512</v>
      </c>
      <c r="F404" s="123">
        <v>40452</v>
      </c>
      <c r="G404" s="124">
        <v>44105</v>
      </c>
      <c r="H404" s="116">
        <v>80</v>
      </c>
      <c r="I404" s="116" t="s">
        <v>13</v>
      </c>
      <c r="J404">
        <v>2933.7053999999998</v>
      </c>
      <c r="K404" s="116">
        <v>479672.37678599998</v>
      </c>
      <c r="L404" t="s">
        <v>13</v>
      </c>
      <c r="M404" s="116">
        <v>2020</v>
      </c>
      <c r="N404" t="s">
        <v>13</v>
      </c>
    </row>
    <row r="405" spans="1:14" x14ac:dyDescent="0.25">
      <c r="A405" s="116">
        <v>403</v>
      </c>
      <c r="B405" s="117" t="s">
        <v>5414</v>
      </c>
      <c r="C405" s="117" t="s">
        <v>3043</v>
      </c>
      <c r="D405" s="123" t="s">
        <v>2024</v>
      </c>
      <c r="E405" s="123" t="s">
        <v>512</v>
      </c>
      <c r="F405" s="123">
        <v>40452</v>
      </c>
      <c r="G405" s="124">
        <v>44105</v>
      </c>
      <c r="H405" s="116">
        <v>160</v>
      </c>
      <c r="I405" s="116" t="s">
        <v>13</v>
      </c>
      <c r="J405">
        <v>3928.7944000000002</v>
      </c>
      <c r="K405" s="116">
        <v>964709.505106</v>
      </c>
      <c r="L405" t="s">
        <v>13</v>
      </c>
      <c r="M405" s="116">
        <v>2020</v>
      </c>
      <c r="N405" t="s">
        <v>13</v>
      </c>
    </row>
    <row r="406" spans="1:14" x14ac:dyDescent="0.25">
      <c r="A406" s="116">
        <v>404</v>
      </c>
      <c r="B406" s="117" t="s">
        <v>5414</v>
      </c>
      <c r="C406" s="117" t="s">
        <v>3041</v>
      </c>
      <c r="D406" s="123" t="s">
        <v>2024</v>
      </c>
      <c r="E406" s="123" t="s">
        <v>512</v>
      </c>
      <c r="F406" s="123">
        <v>40452</v>
      </c>
      <c r="G406" s="124">
        <v>44105</v>
      </c>
      <c r="H406" s="116">
        <v>160</v>
      </c>
      <c r="I406" s="116" t="s">
        <v>13</v>
      </c>
      <c r="J406">
        <v>3905.0722000000001</v>
      </c>
      <c r="K406" s="116">
        <v>953097.03063099994</v>
      </c>
      <c r="L406" t="s">
        <v>13</v>
      </c>
      <c r="M406" s="116">
        <v>2020</v>
      </c>
      <c r="N406" t="s">
        <v>13</v>
      </c>
    </row>
    <row r="407" spans="1:14" x14ac:dyDescent="0.25">
      <c r="A407" s="116">
        <v>405</v>
      </c>
      <c r="B407" s="117" t="s">
        <v>5414</v>
      </c>
      <c r="C407" s="117" t="s">
        <v>3038</v>
      </c>
      <c r="D407" s="123" t="s">
        <v>2024</v>
      </c>
      <c r="E407" s="123" t="s">
        <v>512</v>
      </c>
      <c r="F407" s="123">
        <v>40452</v>
      </c>
      <c r="G407" s="124">
        <v>44105</v>
      </c>
      <c r="H407" s="116">
        <v>80</v>
      </c>
      <c r="I407" s="116" t="s">
        <v>13</v>
      </c>
      <c r="J407">
        <v>2977.3162000000002</v>
      </c>
      <c r="K407" s="116">
        <v>493335.46599200001</v>
      </c>
      <c r="L407" t="s">
        <v>13</v>
      </c>
      <c r="M407" s="116">
        <v>2020</v>
      </c>
      <c r="N407" t="s">
        <v>13</v>
      </c>
    </row>
    <row r="408" spans="1:14" x14ac:dyDescent="0.25">
      <c r="A408" s="116">
        <v>406</v>
      </c>
      <c r="B408" s="117" t="s">
        <v>5414</v>
      </c>
      <c r="C408" s="117" t="s">
        <v>3035</v>
      </c>
      <c r="D408" s="123" t="s">
        <v>2024</v>
      </c>
      <c r="E408" s="123" t="s">
        <v>512</v>
      </c>
      <c r="F408" s="123">
        <v>40452</v>
      </c>
      <c r="G408" s="124">
        <v>44105</v>
      </c>
      <c r="H408" s="116">
        <v>240</v>
      </c>
      <c r="I408" s="116" t="s">
        <v>13</v>
      </c>
      <c r="J408">
        <v>5891.8728000000001</v>
      </c>
      <c r="K408" s="116">
        <v>1440393.50911</v>
      </c>
      <c r="L408" t="s">
        <v>13</v>
      </c>
      <c r="M408" s="116">
        <v>2020</v>
      </c>
      <c r="N408" t="s">
        <v>13</v>
      </c>
    </row>
    <row r="409" spans="1:14" x14ac:dyDescent="0.25">
      <c r="A409" s="116">
        <v>407</v>
      </c>
      <c r="B409" s="117" t="s">
        <v>5414</v>
      </c>
      <c r="C409" s="117" t="s">
        <v>3032</v>
      </c>
      <c r="D409" s="123" t="s">
        <v>2024</v>
      </c>
      <c r="E409" s="123" t="s">
        <v>512</v>
      </c>
      <c r="F409" s="123">
        <v>40452</v>
      </c>
      <c r="G409" s="124">
        <v>44105</v>
      </c>
      <c r="H409" s="116">
        <v>40</v>
      </c>
      <c r="I409" s="116" t="s">
        <v>13</v>
      </c>
      <c r="J409">
        <v>1935.4880000000001</v>
      </c>
      <c r="K409" s="116">
        <v>234128.90935900001</v>
      </c>
      <c r="L409" t="s">
        <v>13</v>
      </c>
      <c r="M409" s="116">
        <v>2020</v>
      </c>
      <c r="N409" t="s">
        <v>13</v>
      </c>
    </row>
    <row r="410" spans="1:14" x14ac:dyDescent="0.25">
      <c r="A410" s="116">
        <v>408</v>
      </c>
      <c r="B410" s="117" t="s">
        <v>5414</v>
      </c>
      <c r="C410" s="117" t="s">
        <v>3020</v>
      </c>
      <c r="D410" s="123" t="s">
        <v>2024</v>
      </c>
      <c r="E410" s="123" t="s">
        <v>512</v>
      </c>
      <c r="F410" s="123">
        <v>40452</v>
      </c>
      <c r="G410" s="124">
        <v>44105</v>
      </c>
      <c r="H410" s="116">
        <v>280</v>
      </c>
      <c r="I410" s="116" t="s">
        <v>13</v>
      </c>
      <c r="J410">
        <v>5909.3728000000001</v>
      </c>
      <c r="K410" s="116">
        <v>1691820.6357499999</v>
      </c>
      <c r="L410" t="s">
        <v>13</v>
      </c>
      <c r="M410" s="116">
        <v>2020</v>
      </c>
      <c r="N410" t="s">
        <v>13</v>
      </c>
    </row>
    <row r="411" spans="1:14" x14ac:dyDescent="0.25">
      <c r="A411" s="116">
        <v>409</v>
      </c>
      <c r="B411" s="117" t="s">
        <v>5414</v>
      </c>
      <c r="C411" s="117" t="s">
        <v>3018</v>
      </c>
      <c r="D411" s="123" t="s">
        <v>2024</v>
      </c>
      <c r="E411" s="123" t="s">
        <v>512</v>
      </c>
      <c r="F411" s="123">
        <v>40452</v>
      </c>
      <c r="G411" s="124">
        <v>44105</v>
      </c>
      <c r="H411" s="116">
        <v>120</v>
      </c>
      <c r="I411" s="116" t="s">
        <v>13</v>
      </c>
      <c r="J411">
        <v>3904.8112000000001</v>
      </c>
      <c r="K411" s="116">
        <v>707598.00634299999</v>
      </c>
      <c r="L411" t="s">
        <v>13</v>
      </c>
      <c r="M411" s="116">
        <v>2020</v>
      </c>
      <c r="N411" t="s">
        <v>13</v>
      </c>
    </row>
    <row r="412" spans="1:14" x14ac:dyDescent="0.25">
      <c r="A412" s="116">
        <v>410</v>
      </c>
      <c r="B412" s="117" t="s">
        <v>5414</v>
      </c>
      <c r="C412" s="117" t="s">
        <v>3016</v>
      </c>
      <c r="D412" s="123" t="s">
        <v>2024</v>
      </c>
      <c r="E412" s="123" t="s">
        <v>512</v>
      </c>
      <c r="F412" s="123">
        <v>40452</v>
      </c>
      <c r="G412" s="124">
        <v>44105</v>
      </c>
      <c r="H412" s="116">
        <v>40</v>
      </c>
      <c r="I412" s="116" t="s">
        <v>13</v>
      </c>
      <c r="J412">
        <v>1944.7908</v>
      </c>
      <c r="K412" s="116">
        <v>236386.80588900001</v>
      </c>
      <c r="L412" t="s">
        <v>13</v>
      </c>
      <c r="M412" s="116">
        <v>2020</v>
      </c>
      <c r="N412" t="s">
        <v>13</v>
      </c>
    </row>
    <row r="413" spans="1:14" x14ac:dyDescent="0.25">
      <c r="A413" s="116">
        <v>411</v>
      </c>
      <c r="B413" s="117" t="s">
        <v>5414</v>
      </c>
      <c r="C413" s="117" t="s">
        <v>3014</v>
      </c>
      <c r="D413" s="123" t="s">
        <v>2024</v>
      </c>
      <c r="E413" s="123" t="s">
        <v>512</v>
      </c>
      <c r="F413" s="123">
        <v>40452</v>
      </c>
      <c r="G413" s="124">
        <v>44105</v>
      </c>
      <c r="H413" s="116">
        <v>115.69</v>
      </c>
      <c r="I413" s="116" t="s">
        <v>13</v>
      </c>
      <c r="J413">
        <v>3886.3117999999999</v>
      </c>
      <c r="K413" s="116">
        <v>700916.31929500005</v>
      </c>
      <c r="L413" t="s">
        <v>13</v>
      </c>
      <c r="M413" s="116">
        <v>2020</v>
      </c>
      <c r="N413" t="s">
        <v>13</v>
      </c>
    </row>
    <row r="414" spans="1:14" x14ac:dyDescent="0.25">
      <c r="A414" s="116">
        <v>412</v>
      </c>
      <c r="B414" s="117" t="s">
        <v>5414</v>
      </c>
      <c r="C414" s="117" t="s">
        <v>3012</v>
      </c>
      <c r="D414" s="123" t="s">
        <v>2024</v>
      </c>
      <c r="E414" s="123" t="s">
        <v>512</v>
      </c>
      <c r="F414" s="123">
        <v>40452</v>
      </c>
      <c r="G414" s="124">
        <v>44105</v>
      </c>
      <c r="H414" s="116">
        <v>240</v>
      </c>
      <c r="I414" s="116" t="s">
        <v>13</v>
      </c>
      <c r="J414">
        <v>5918.9852000000001</v>
      </c>
      <c r="K414" s="116">
        <v>1457613.2440599999</v>
      </c>
      <c r="L414" t="s">
        <v>13</v>
      </c>
      <c r="M414" s="116">
        <v>2020</v>
      </c>
      <c r="N414" t="s">
        <v>13</v>
      </c>
    </row>
    <row r="415" spans="1:14" x14ac:dyDescent="0.25">
      <c r="A415" s="116">
        <v>413</v>
      </c>
      <c r="B415" s="117" t="s">
        <v>5414</v>
      </c>
      <c r="C415" s="117" t="s">
        <v>3009</v>
      </c>
      <c r="D415" s="123" t="s">
        <v>2024</v>
      </c>
      <c r="E415" s="123" t="s">
        <v>512</v>
      </c>
      <c r="F415" s="123">
        <v>40452</v>
      </c>
      <c r="G415" s="124">
        <v>44105</v>
      </c>
      <c r="H415" s="116">
        <v>77.08</v>
      </c>
      <c r="I415" s="116" t="s">
        <v>13</v>
      </c>
      <c r="J415">
        <v>2880.0328</v>
      </c>
      <c r="K415" s="116">
        <v>466307.53697999998</v>
      </c>
      <c r="L415" t="s">
        <v>13</v>
      </c>
      <c r="M415" s="116">
        <v>2020</v>
      </c>
      <c r="N415" t="s">
        <v>13</v>
      </c>
    </row>
    <row r="416" spans="1:14" x14ac:dyDescent="0.25">
      <c r="A416" s="116">
        <v>414</v>
      </c>
      <c r="B416" s="117" t="s">
        <v>5414</v>
      </c>
      <c r="C416" s="117" t="s">
        <v>3006</v>
      </c>
      <c r="D416" s="123" t="s">
        <v>2024</v>
      </c>
      <c r="E416" s="123" t="s">
        <v>512</v>
      </c>
      <c r="F416" s="123">
        <v>40452</v>
      </c>
      <c r="G416" s="124">
        <v>44105</v>
      </c>
      <c r="H416" s="116">
        <v>593</v>
      </c>
      <c r="I416" s="116" t="s">
        <v>13</v>
      </c>
      <c r="J416">
        <v>10760.2914</v>
      </c>
      <c r="K416" s="116">
        <v>3575362.0207799999</v>
      </c>
      <c r="L416" t="s">
        <v>13</v>
      </c>
      <c r="M416" s="116">
        <v>2020</v>
      </c>
      <c r="N416" t="s">
        <v>13</v>
      </c>
    </row>
    <row r="417" spans="1:14" x14ac:dyDescent="0.25">
      <c r="A417" s="116">
        <v>415</v>
      </c>
      <c r="B417" s="117" t="s">
        <v>5414</v>
      </c>
      <c r="C417" s="117" t="s">
        <v>3003</v>
      </c>
      <c r="D417" s="123" t="s">
        <v>2024</v>
      </c>
      <c r="E417" s="123" t="s">
        <v>512</v>
      </c>
      <c r="F417" s="123">
        <v>40452</v>
      </c>
      <c r="G417" s="124">
        <v>44105</v>
      </c>
      <c r="H417" s="116">
        <v>840</v>
      </c>
      <c r="I417" s="116" t="s">
        <v>13</v>
      </c>
      <c r="J417">
        <v>18697.277999999998</v>
      </c>
      <c r="K417" s="116">
        <v>5100807.7289199997</v>
      </c>
      <c r="L417" t="s">
        <v>13</v>
      </c>
      <c r="M417" s="116">
        <v>2020</v>
      </c>
      <c r="N417" t="s">
        <v>13</v>
      </c>
    </row>
    <row r="418" spans="1:14" x14ac:dyDescent="0.25">
      <c r="A418" s="116">
        <v>416</v>
      </c>
      <c r="B418" s="117" t="s">
        <v>5414</v>
      </c>
      <c r="C418" s="117" t="s">
        <v>3000</v>
      </c>
      <c r="D418" s="123" t="s">
        <v>2024</v>
      </c>
      <c r="E418" s="123" t="s">
        <v>512</v>
      </c>
      <c r="F418" s="123">
        <v>40452</v>
      </c>
      <c r="G418" s="124">
        <v>44105</v>
      </c>
      <c r="H418" s="116">
        <v>40</v>
      </c>
      <c r="I418" s="116" t="s">
        <v>13</v>
      </c>
      <c r="J418">
        <v>1949.0132000000001</v>
      </c>
      <c r="K418" s="116">
        <v>237389.03912</v>
      </c>
      <c r="L418" t="s">
        <v>13</v>
      </c>
      <c r="M418" s="116">
        <v>2020</v>
      </c>
      <c r="N418" t="s">
        <v>13</v>
      </c>
    </row>
    <row r="419" spans="1:14" x14ac:dyDescent="0.25">
      <c r="A419" s="116">
        <v>417</v>
      </c>
      <c r="B419" s="117" t="s">
        <v>5414</v>
      </c>
      <c r="C419" s="117" t="s">
        <v>2998</v>
      </c>
      <c r="D419" s="123" t="s">
        <v>2024</v>
      </c>
      <c r="E419" s="123" t="s">
        <v>512</v>
      </c>
      <c r="F419" s="123">
        <v>40452</v>
      </c>
      <c r="G419" s="124">
        <v>44105</v>
      </c>
      <c r="H419" s="116">
        <v>40</v>
      </c>
      <c r="I419" s="116" t="s">
        <v>13</v>
      </c>
      <c r="J419">
        <v>1946.6934000000001</v>
      </c>
      <c r="K419" s="116">
        <v>236850.45038600001</v>
      </c>
      <c r="L419" t="s">
        <v>13</v>
      </c>
      <c r="M419" s="116">
        <v>2020</v>
      </c>
      <c r="N419" t="s">
        <v>13</v>
      </c>
    </row>
    <row r="420" spans="1:14" x14ac:dyDescent="0.25">
      <c r="A420" s="116">
        <v>418</v>
      </c>
      <c r="B420" s="117" t="s">
        <v>5414</v>
      </c>
      <c r="C420" s="117" t="s">
        <v>2996</v>
      </c>
      <c r="D420" s="123" t="s">
        <v>2024</v>
      </c>
      <c r="E420" s="123" t="s">
        <v>512</v>
      </c>
      <c r="F420" s="123">
        <v>40452</v>
      </c>
      <c r="G420" s="124">
        <v>44105</v>
      </c>
      <c r="H420" s="116">
        <v>40</v>
      </c>
      <c r="I420" s="116" t="s">
        <v>13</v>
      </c>
      <c r="J420">
        <v>1947.8296</v>
      </c>
      <c r="K420" s="116">
        <v>237103.74281600001</v>
      </c>
      <c r="L420" t="s">
        <v>13</v>
      </c>
      <c r="M420" s="116">
        <v>2020</v>
      </c>
      <c r="N420" t="s">
        <v>13</v>
      </c>
    </row>
    <row r="421" spans="1:14" x14ac:dyDescent="0.25">
      <c r="A421" s="116">
        <v>419</v>
      </c>
      <c r="B421" s="117" t="s">
        <v>5414</v>
      </c>
      <c r="C421" s="117" t="s">
        <v>2993</v>
      </c>
      <c r="D421" s="123" t="s">
        <v>2024</v>
      </c>
      <c r="E421" s="123" t="s">
        <v>512</v>
      </c>
      <c r="F421" s="123">
        <v>40452</v>
      </c>
      <c r="G421" s="124">
        <v>44105</v>
      </c>
      <c r="H421" s="116">
        <v>1360.1</v>
      </c>
      <c r="I421" s="116" t="s">
        <v>13</v>
      </c>
      <c r="J421">
        <v>20666.556400000001</v>
      </c>
      <c r="K421" s="116">
        <v>8254434.5679200003</v>
      </c>
      <c r="L421" t="s">
        <v>13</v>
      </c>
      <c r="M421" s="116">
        <v>2020</v>
      </c>
      <c r="N421" t="s">
        <v>13</v>
      </c>
    </row>
    <row r="422" spans="1:14" x14ac:dyDescent="0.25">
      <c r="A422" s="116">
        <v>420</v>
      </c>
      <c r="B422" s="117" t="s">
        <v>5414</v>
      </c>
      <c r="C422" s="117" t="s">
        <v>2991</v>
      </c>
      <c r="D422" s="123" t="s">
        <v>2024</v>
      </c>
      <c r="E422" s="123" t="s">
        <v>512</v>
      </c>
      <c r="F422" s="123">
        <v>40452</v>
      </c>
      <c r="G422" s="124">
        <v>44105</v>
      </c>
      <c r="H422" s="116">
        <v>40</v>
      </c>
      <c r="I422" s="116" t="s">
        <v>13</v>
      </c>
      <c r="J422">
        <v>1957.3728000000001</v>
      </c>
      <c r="K422" s="116">
        <v>239450.013103</v>
      </c>
      <c r="L422" t="s">
        <v>13</v>
      </c>
      <c r="M422" s="116">
        <v>2020</v>
      </c>
      <c r="N422" t="s">
        <v>13</v>
      </c>
    </row>
    <row r="423" spans="1:14" x14ac:dyDescent="0.25">
      <c r="A423" s="116">
        <v>421</v>
      </c>
      <c r="B423" s="117" t="s">
        <v>5414</v>
      </c>
      <c r="C423" s="117" t="s">
        <v>2989</v>
      </c>
      <c r="D423" s="123" t="s">
        <v>2024</v>
      </c>
      <c r="E423" s="123" t="s">
        <v>512</v>
      </c>
      <c r="F423" s="123">
        <v>40452</v>
      </c>
      <c r="G423" s="124">
        <v>44105</v>
      </c>
      <c r="H423" s="116">
        <v>40</v>
      </c>
      <c r="I423" s="116" t="s">
        <v>13</v>
      </c>
      <c r="J423">
        <v>1971.5902000000001</v>
      </c>
      <c r="K423" s="116">
        <v>242917.55033299999</v>
      </c>
      <c r="L423" t="s">
        <v>13</v>
      </c>
      <c r="M423" s="116">
        <v>2020</v>
      </c>
      <c r="N423" t="s">
        <v>13</v>
      </c>
    </row>
    <row r="424" spans="1:14" x14ac:dyDescent="0.25">
      <c r="A424" s="116">
        <v>422</v>
      </c>
      <c r="B424" s="117" t="s">
        <v>5414</v>
      </c>
      <c r="C424" s="117" t="s">
        <v>2986</v>
      </c>
      <c r="D424" s="123" t="s">
        <v>2024</v>
      </c>
      <c r="E424" s="123" t="s">
        <v>512</v>
      </c>
      <c r="F424" s="123">
        <v>40452</v>
      </c>
      <c r="G424" s="124">
        <v>44105</v>
      </c>
      <c r="H424" s="116">
        <v>679.92</v>
      </c>
      <c r="I424" s="116" t="s">
        <v>13</v>
      </c>
      <c r="J424">
        <v>8830.7968000000001</v>
      </c>
      <c r="K424" s="116">
        <v>4075442.6066100001</v>
      </c>
      <c r="L424" t="s">
        <v>13</v>
      </c>
      <c r="M424" s="116">
        <v>2020</v>
      </c>
      <c r="N424" t="s">
        <v>13</v>
      </c>
    </row>
    <row r="425" spans="1:14" x14ac:dyDescent="0.25">
      <c r="A425" s="116">
        <v>423</v>
      </c>
      <c r="B425" s="117" t="s">
        <v>5414</v>
      </c>
      <c r="C425" s="117" t="s">
        <v>2983</v>
      </c>
      <c r="D425" s="123" t="s">
        <v>2024</v>
      </c>
      <c r="E425" s="123" t="s">
        <v>512</v>
      </c>
      <c r="F425" s="123">
        <v>40452</v>
      </c>
      <c r="G425" s="124">
        <v>44105</v>
      </c>
      <c r="H425" s="116">
        <v>517.16</v>
      </c>
      <c r="I425" s="116" t="s">
        <v>13</v>
      </c>
      <c r="J425">
        <v>8833.8498</v>
      </c>
      <c r="K425" s="116">
        <v>3113113.8474900001</v>
      </c>
      <c r="L425" t="s">
        <v>13</v>
      </c>
      <c r="M425" s="116">
        <v>2020</v>
      </c>
      <c r="N425" t="s">
        <v>13</v>
      </c>
    </row>
    <row r="426" spans="1:14" x14ac:dyDescent="0.25">
      <c r="A426" s="116">
        <v>424</v>
      </c>
      <c r="B426" s="117" t="s">
        <v>5414</v>
      </c>
      <c r="C426" s="117" t="s">
        <v>2980</v>
      </c>
      <c r="D426" s="123" t="s">
        <v>2024</v>
      </c>
      <c r="E426" s="123" t="s">
        <v>512</v>
      </c>
      <c r="F426" s="123">
        <v>40452</v>
      </c>
      <c r="G426" s="124">
        <v>44105</v>
      </c>
      <c r="H426" s="116">
        <v>720</v>
      </c>
      <c r="I426" s="116" t="s">
        <v>13</v>
      </c>
      <c r="J426">
        <v>12815.8454</v>
      </c>
      <c r="K426" s="116">
        <v>4347009.5373600004</v>
      </c>
      <c r="L426" t="s">
        <v>13</v>
      </c>
      <c r="M426" s="116">
        <v>2020</v>
      </c>
      <c r="N426" t="s">
        <v>13</v>
      </c>
    </row>
    <row r="427" spans="1:14" x14ac:dyDescent="0.25">
      <c r="A427" s="116">
        <v>425</v>
      </c>
      <c r="B427" s="117" t="s">
        <v>5414</v>
      </c>
      <c r="C427" s="117" t="s">
        <v>2978</v>
      </c>
      <c r="D427" s="123" t="s">
        <v>2024</v>
      </c>
      <c r="E427" s="123" t="s">
        <v>512</v>
      </c>
      <c r="F427" s="123">
        <v>40452</v>
      </c>
      <c r="G427" s="124">
        <v>44105</v>
      </c>
      <c r="H427" s="116">
        <v>40</v>
      </c>
      <c r="I427" s="116" t="s">
        <v>13</v>
      </c>
      <c r="J427">
        <v>1969.5458000000001</v>
      </c>
      <c r="K427" s="116">
        <v>242444.33143300001</v>
      </c>
      <c r="L427" t="s">
        <v>13</v>
      </c>
      <c r="M427" s="116">
        <v>2020</v>
      </c>
      <c r="N427" t="s">
        <v>13</v>
      </c>
    </row>
    <row r="428" spans="1:14" x14ac:dyDescent="0.25">
      <c r="A428" s="116">
        <v>426</v>
      </c>
      <c r="B428" s="117" t="s">
        <v>5414</v>
      </c>
      <c r="C428" s="117" t="s">
        <v>2976</v>
      </c>
      <c r="D428" s="123" t="s">
        <v>2024</v>
      </c>
      <c r="E428" s="123" t="s">
        <v>512</v>
      </c>
      <c r="F428" s="123">
        <v>40452</v>
      </c>
      <c r="G428" s="124">
        <v>44105</v>
      </c>
      <c r="H428" s="116">
        <v>280</v>
      </c>
      <c r="I428" s="116" t="s">
        <v>13</v>
      </c>
      <c r="J428">
        <v>7890.3374000000003</v>
      </c>
      <c r="K428" s="116">
        <v>1689493.9162000001</v>
      </c>
      <c r="L428" t="s">
        <v>13</v>
      </c>
      <c r="M428" s="116">
        <v>2020</v>
      </c>
      <c r="N428" t="s">
        <v>13</v>
      </c>
    </row>
    <row r="429" spans="1:14" x14ac:dyDescent="0.25">
      <c r="A429" s="116">
        <v>427</v>
      </c>
      <c r="B429" s="117" t="s">
        <v>5414</v>
      </c>
      <c r="C429" s="117" t="s">
        <v>2973</v>
      </c>
      <c r="D429" s="123" t="s">
        <v>2024</v>
      </c>
      <c r="E429" s="123" t="s">
        <v>512</v>
      </c>
      <c r="F429" s="123">
        <v>40452</v>
      </c>
      <c r="G429" s="124">
        <v>44105</v>
      </c>
      <c r="H429" s="116">
        <v>678.4</v>
      </c>
      <c r="I429" s="116" t="s">
        <v>13</v>
      </c>
      <c r="J429">
        <v>8869.7453999999998</v>
      </c>
      <c r="K429" s="116">
        <v>4106680.9729800001</v>
      </c>
      <c r="L429" t="s">
        <v>13</v>
      </c>
      <c r="M429" s="116">
        <v>2020</v>
      </c>
      <c r="N429" t="s">
        <v>13</v>
      </c>
    </row>
    <row r="430" spans="1:14" x14ac:dyDescent="0.25">
      <c r="A430" s="116">
        <v>428</v>
      </c>
      <c r="B430" s="117" t="s">
        <v>5414</v>
      </c>
      <c r="C430" s="117" t="s">
        <v>2971</v>
      </c>
      <c r="D430" s="123" t="s">
        <v>2024</v>
      </c>
      <c r="E430" s="123" t="s">
        <v>512</v>
      </c>
      <c r="F430" s="123">
        <v>40452</v>
      </c>
      <c r="G430" s="124">
        <v>44105</v>
      </c>
      <c r="H430" s="116">
        <v>600</v>
      </c>
      <c r="I430" s="116" t="s">
        <v>13</v>
      </c>
      <c r="J430">
        <v>10775.158600000001</v>
      </c>
      <c r="K430" s="116">
        <v>3612578.8704499998</v>
      </c>
      <c r="L430" t="s">
        <v>13</v>
      </c>
      <c r="M430" s="116">
        <v>2020</v>
      </c>
      <c r="N430" t="s">
        <v>13</v>
      </c>
    </row>
    <row r="431" spans="1:14" x14ac:dyDescent="0.25">
      <c r="A431" s="116">
        <v>429</v>
      </c>
      <c r="B431" s="117" t="s">
        <v>5414</v>
      </c>
      <c r="C431" s="117" t="s">
        <v>2968</v>
      </c>
      <c r="D431" s="123" t="s">
        <v>2024</v>
      </c>
      <c r="E431" s="123" t="s">
        <v>512</v>
      </c>
      <c r="F431" s="123">
        <v>40452</v>
      </c>
      <c r="G431" s="124">
        <v>44105</v>
      </c>
      <c r="H431" s="116">
        <v>760</v>
      </c>
      <c r="I431" s="116" t="s">
        <v>13</v>
      </c>
      <c r="J431">
        <v>10845.794599999999</v>
      </c>
      <c r="K431" s="116">
        <v>4614625.8060799995</v>
      </c>
      <c r="L431" t="s">
        <v>13</v>
      </c>
      <c r="M431" s="116">
        <v>2020</v>
      </c>
      <c r="N431" t="s">
        <v>13</v>
      </c>
    </row>
    <row r="432" spans="1:14" x14ac:dyDescent="0.25">
      <c r="A432" s="116">
        <v>430</v>
      </c>
      <c r="B432" s="117" t="s">
        <v>5414</v>
      </c>
      <c r="C432" s="117" t="s">
        <v>2966</v>
      </c>
      <c r="D432" s="123" t="s">
        <v>2024</v>
      </c>
      <c r="E432" s="123" t="s">
        <v>512</v>
      </c>
      <c r="F432" s="123">
        <v>40452</v>
      </c>
      <c r="G432" s="124">
        <v>44105</v>
      </c>
      <c r="H432" s="116">
        <v>40</v>
      </c>
      <c r="I432" s="116" t="s">
        <v>13</v>
      </c>
      <c r="J432">
        <v>1959.2575999999999</v>
      </c>
      <c r="K432" s="116">
        <v>239912.21965499999</v>
      </c>
      <c r="L432" t="s">
        <v>13</v>
      </c>
      <c r="M432" s="116">
        <v>2020</v>
      </c>
      <c r="N432" t="s">
        <v>13</v>
      </c>
    </row>
    <row r="433" spans="1:14" x14ac:dyDescent="0.25">
      <c r="A433" s="116">
        <v>431</v>
      </c>
      <c r="B433" s="117" t="s">
        <v>5414</v>
      </c>
      <c r="C433" s="117" t="s">
        <v>2964</v>
      </c>
      <c r="D433" s="123" t="s">
        <v>2024</v>
      </c>
      <c r="E433" s="123" t="s">
        <v>512</v>
      </c>
      <c r="F433" s="123">
        <v>40452</v>
      </c>
      <c r="G433" s="124">
        <v>44105</v>
      </c>
      <c r="H433" s="116">
        <v>40</v>
      </c>
      <c r="I433" s="116" t="s">
        <v>13</v>
      </c>
      <c r="J433">
        <v>1956.855</v>
      </c>
      <c r="K433" s="116">
        <v>239318.09562499999</v>
      </c>
      <c r="L433" t="s">
        <v>13</v>
      </c>
      <c r="M433" s="116">
        <v>2020</v>
      </c>
      <c r="N433" t="s">
        <v>13</v>
      </c>
    </row>
    <row r="434" spans="1:14" x14ac:dyDescent="0.25">
      <c r="A434" s="116">
        <v>432</v>
      </c>
      <c r="B434" s="117" t="s">
        <v>5414</v>
      </c>
      <c r="C434" s="117" t="s">
        <v>2962</v>
      </c>
      <c r="D434" s="123" t="s">
        <v>2024</v>
      </c>
      <c r="E434" s="123" t="s">
        <v>512</v>
      </c>
      <c r="F434" s="123">
        <v>40452</v>
      </c>
      <c r="G434" s="124">
        <v>44105</v>
      </c>
      <c r="H434" s="116">
        <v>40</v>
      </c>
      <c r="I434" s="116" t="s">
        <v>13</v>
      </c>
      <c r="J434">
        <v>1946.2166</v>
      </c>
      <c r="K434" s="116">
        <v>236734.25901800001</v>
      </c>
      <c r="L434" t="s">
        <v>13</v>
      </c>
      <c r="M434" s="116">
        <v>2020</v>
      </c>
      <c r="N434" t="s">
        <v>13</v>
      </c>
    </row>
    <row r="435" spans="1:14" x14ac:dyDescent="0.25">
      <c r="A435" s="116">
        <v>433</v>
      </c>
      <c r="B435" s="117" t="s">
        <v>5414</v>
      </c>
      <c r="C435" s="117" t="s">
        <v>2960</v>
      </c>
      <c r="D435" s="123" t="s">
        <v>2024</v>
      </c>
      <c r="E435" s="123" t="s">
        <v>512</v>
      </c>
      <c r="F435" s="123">
        <v>40452</v>
      </c>
      <c r="G435" s="124">
        <v>44105</v>
      </c>
      <c r="H435" s="116">
        <v>40</v>
      </c>
      <c r="I435" s="116" t="s">
        <v>13</v>
      </c>
      <c r="J435">
        <v>1946.2166</v>
      </c>
      <c r="K435" s="116">
        <v>236734.25901800001</v>
      </c>
      <c r="L435" t="s">
        <v>13</v>
      </c>
      <c r="M435" s="116">
        <v>2020</v>
      </c>
      <c r="N435" t="s">
        <v>13</v>
      </c>
    </row>
    <row r="436" spans="1:14" x14ac:dyDescent="0.25">
      <c r="A436" s="116">
        <v>434</v>
      </c>
      <c r="B436" s="117" t="s">
        <v>5414</v>
      </c>
      <c r="C436" s="117" t="s">
        <v>2957</v>
      </c>
      <c r="D436" s="123" t="s">
        <v>2024</v>
      </c>
      <c r="E436" s="123" t="s">
        <v>512</v>
      </c>
      <c r="F436" s="123">
        <v>40452</v>
      </c>
      <c r="G436" s="124">
        <v>44105</v>
      </c>
      <c r="H436" s="116">
        <v>40</v>
      </c>
      <c r="I436" s="116" t="s">
        <v>13</v>
      </c>
      <c r="J436">
        <v>1946.2172</v>
      </c>
      <c r="K436" s="116">
        <v>236734.40523199999</v>
      </c>
      <c r="L436" t="s">
        <v>13</v>
      </c>
      <c r="M436" s="116">
        <v>2020</v>
      </c>
      <c r="N436" t="s">
        <v>13</v>
      </c>
    </row>
    <row r="437" spans="1:14" x14ac:dyDescent="0.25">
      <c r="A437" s="116">
        <v>435</v>
      </c>
      <c r="B437" s="117" t="s">
        <v>5414</v>
      </c>
      <c r="C437" s="117" t="s">
        <v>2955</v>
      </c>
      <c r="D437" s="123" t="s">
        <v>2024</v>
      </c>
      <c r="E437" s="123" t="s">
        <v>512</v>
      </c>
      <c r="F437" s="123">
        <v>40452</v>
      </c>
      <c r="G437" s="124">
        <v>44105</v>
      </c>
      <c r="H437" s="116">
        <v>40</v>
      </c>
      <c r="I437" s="116" t="s">
        <v>13</v>
      </c>
      <c r="J437">
        <v>1959.7113999999999</v>
      </c>
      <c r="K437" s="116">
        <v>239967.745551</v>
      </c>
      <c r="L437" t="s">
        <v>13</v>
      </c>
      <c r="M437" s="116">
        <v>2020</v>
      </c>
      <c r="N437" t="s">
        <v>13</v>
      </c>
    </row>
    <row r="438" spans="1:14" x14ac:dyDescent="0.25">
      <c r="A438" s="116">
        <v>436</v>
      </c>
      <c r="B438" s="117" t="s">
        <v>5414</v>
      </c>
      <c r="C438" s="117" t="s">
        <v>2953</v>
      </c>
      <c r="D438" s="123" t="s">
        <v>2024</v>
      </c>
      <c r="E438" s="123" t="s">
        <v>512</v>
      </c>
      <c r="F438" s="123">
        <v>40452</v>
      </c>
      <c r="G438" s="124">
        <v>44105</v>
      </c>
      <c r="H438" s="116">
        <v>40.29</v>
      </c>
      <c r="I438" s="116" t="s">
        <v>13</v>
      </c>
      <c r="J438">
        <v>1955.0871999999999</v>
      </c>
      <c r="K438" s="116">
        <v>238882.617986</v>
      </c>
      <c r="L438" t="s">
        <v>13</v>
      </c>
      <c r="M438" s="116">
        <v>2020</v>
      </c>
      <c r="N438" t="s">
        <v>13</v>
      </c>
    </row>
    <row r="439" spans="1:14" x14ac:dyDescent="0.25">
      <c r="A439" s="116">
        <v>437</v>
      </c>
      <c r="B439" s="117" t="s">
        <v>5414</v>
      </c>
      <c r="C439" s="117" t="s">
        <v>2950</v>
      </c>
      <c r="D439" s="123" t="s">
        <v>2024</v>
      </c>
      <c r="E439" s="123" t="s">
        <v>512</v>
      </c>
      <c r="F439" s="123">
        <v>40452</v>
      </c>
      <c r="G439" s="124">
        <v>44105</v>
      </c>
      <c r="H439" s="116">
        <v>280</v>
      </c>
      <c r="I439" s="116" t="s">
        <v>13</v>
      </c>
      <c r="J439">
        <v>7895.4470000000001</v>
      </c>
      <c r="K439" s="116">
        <v>1696885.6411900001</v>
      </c>
      <c r="L439" t="s">
        <v>13</v>
      </c>
      <c r="M439" s="116">
        <v>2020</v>
      </c>
      <c r="N439" t="s">
        <v>13</v>
      </c>
    </row>
    <row r="440" spans="1:14" x14ac:dyDescent="0.25">
      <c r="A440" s="116">
        <v>438</v>
      </c>
      <c r="B440" s="117" t="s">
        <v>5414</v>
      </c>
      <c r="C440" s="117" t="s">
        <v>2948</v>
      </c>
      <c r="D440" s="123" t="s">
        <v>2024</v>
      </c>
      <c r="E440" s="123" t="s">
        <v>512</v>
      </c>
      <c r="F440" s="123">
        <v>40452</v>
      </c>
      <c r="G440" s="124">
        <v>44105</v>
      </c>
      <c r="H440" s="116">
        <v>120</v>
      </c>
      <c r="I440" s="116" t="s">
        <v>13</v>
      </c>
      <c r="J440">
        <v>3925.8642</v>
      </c>
      <c r="K440" s="116">
        <v>713891.47753699997</v>
      </c>
      <c r="L440" t="s">
        <v>13</v>
      </c>
      <c r="M440" s="116">
        <v>2020</v>
      </c>
      <c r="N440" t="s">
        <v>13</v>
      </c>
    </row>
    <row r="441" spans="1:14" x14ac:dyDescent="0.25">
      <c r="A441" s="116">
        <v>439</v>
      </c>
      <c r="B441" s="117" t="s">
        <v>5414</v>
      </c>
      <c r="C441" s="117" t="s">
        <v>2946</v>
      </c>
      <c r="D441" s="123" t="s">
        <v>2024</v>
      </c>
      <c r="E441" s="123" t="s">
        <v>512</v>
      </c>
      <c r="F441" s="123">
        <v>40452</v>
      </c>
      <c r="G441" s="124">
        <v>44105</v>
      </c>
      <c r="H441" s="116">
        <v>40</v>
      </c>
      <c r="I441" s="116" t="s">
        <v>13</v>
      </c>
      <c r="J441">
        <v>1970.6604</v>
      </c>
      <c r="K441" s="116">
        <v>242690.96742</v>
      </c>
      <c r="L441" t="s">
        <v>13</v>
      </c>
      <c r="M441" s="116">
        <v>2020</v>
      </c>
      <c r="N441" t="s">
        <v>13</v>
      </c>
    </row>
    <row r="442" spans="1:14" x14ac:dyDescent="0.25">
      <c r="A442" s="116">
        <v>440</v>
      </c>
      <c r="B442" s="117" t="s">
        <v>5414</v>
      </c>
      <c r="C442" s="117" t="s">
        <v>2943</v>
      </c>
      <c r="D442" s="123" t="s">
        <v>2024</v>
      </c>
      <c r="E442" s="123" t="s">
        <v>512</v>
      </c>
      <c r="F442" s="123">
        <v>40452</v>
      </c>
      <c r="G442" s="124">
        <v>44105</v>
      </c>
      <c r="H442" s="116">
        <v>600</v>
      </c>
      <c r="I442" s="116" t="s">
        <v>13</v>
      </c>
      <c r="J442">
        <v>10859.5362</v>
      </c>
      <c r="K442" s="116">
        <v>3626857.9110699999</v>
      </c>
      <c r="L442" t="s">
        <v>13</v>
      </c>
      <c r="M442" s="116">
        <v>2020</v>
      </c>
      <c r="N442" t="s">
        <v>13</v>
      </c>
    </row>
    <row r="443" spans="1:14" x14ac:dyDescent="0.25">
      <c r="A443" s="116">
        <v>441</v>
      </c>
      <c r="B443" s="117" t="s">
        <v>5414</v>
      </c>
      <c r="C443" s="117" t="s">
        <v>2941</v>
      </c>
      <c r="D443" s="123" t="s">
        <v>2024</v>
      </c>
      <c r="E443" s="123" t="s">
        <v>512</v>
      </c>
      <c r="F443" s="123">
        <v>40452</v>
      </c>
      <c r="G443" s="124">
        <v>44105</v>
      </c>
      <c r="H443" s="116">
        <v>40</v>
      </c>
      <c r="I443" s="116" t="s">
        <v>13</v>
      </c>
      <c r="J443">
        <v>1970.5704000000001</v>
      </c>
      <c r="K443" s="116">
        <v>242669.03532299999</v>
      </c>
      <c r="L443" t="s">
        <v>13</v>
      </c>
      <c r="M443" s="116">
        <v>2020</v>
      </c>
      <c r="N443" t="s">
        <v>13</v>
      </c>
    </row>
    <row r="444" spans="1:14" x14ac:dyDescent="0.25">
      <c r="A444" s="116">
        <v>442</v>
      </c>
      <c r="B444" s="117" t="s">
        <v>5414</v>
      </c>
      <c r="C444" s="117" t="s">
        <v>2939</v>
      </c>
      <c r="D444" s="123" t="s">
        <v>2024</v>
      </c>
      <c r="E444" s="123" t="s">
        <v>512</v>
      </c>
      <c r="F444" s="123">
        <v>40452</v>
      </c>
      <c r="G444" s="124">
        <v>44105</v>
      </c>
      <c r="H444" s="116">
        <v>400</v>
      </c>
      <c r="I444" s="116" t="s">
        <v>13</v>
      </c>
      <c r="J444">
        <v>8871.6039999999994</v>
      </c>
      <c r="K444" s="116">
        <v>2410707.6246799999</v>
      </c>
      <c r="L444" t="s">
        <v>13</v>
      </c>
      <c r="M444" s="116">
        <v>2020</v>
      </c>
      <c r="N444" t="s">
        <v>13</v>
      </c>
    </row>
    <row r="445" spans="1:14" x14ac:dyDescent="0.25">
      <c r="A445" s="116">
        <v>443</v>
      </c>
      <c r="B445" s="117" t="s">
        <v>5414</v>
      </c>
      <c r="C445" s="117" t="s">
        <v>2936</v>
      </c>
      <c r="D445" s="123" t="s">
        <v>2024</v>
      </c>
      <c r="E445" s="123" t="s">
        <v>512</v>
      </c>
      <c r="F445" s="123">
        <v>40452</v>
      </c>
      <c r="G445" s="124">
        <v>44105</v>
      </c>
      <c r="H445" s="116">
        <v>520</v>
      </c>
      <c r="I445" s="116" t="s">
        <v>13</v>
      </c>
      <c r="J445">
        <v>9813.4691999999995</v>
      </c>
      <c r="K445" s="116">
        <v>3127533.9413899998</v>
      </c>
      <c r="L445" t="s">
        <v>13</v>
      </c>
      <c r="M445" s="116">
        <v>2020</v>
      </c>
      <c r="N445" t="s">
        <v>13</v>
      </c>
    </row>
    <row r="446" spans="1:14" x14ac:dyDescent="0.25">
      <c r="A446" s="116">
        <v>444</v>
      </c>
      <c r="B446" s="117" t="s">
        <v>5414</v>
      </c>
      <c r="C446" s="117" t="s">
        <v>2934</v>
      </c>
      <c r="D446" s="123" t="s">
        <v>2024</v>
      </c>
      <c r="E446" s="123" t="s">
        <v>512</v>
      </c>
      <c r="F446" s="123">
        <v>40452</v>
      </c>
      <c r="G446" s="124">
        <v>44105</v>
      </c>
      <c r="H446" s="116">
        <v>40</v>
      </c>
      <c r="I446" s="116" t="s">
        <v>13</v>
      </c>
      <c r="J446">
        <v>1937.0170000000001</v>
      </c>
      <c r="K446" s="116">
        <v>234446.384468</v>
      </c>
      <c r="L446" t="s">
        <v>13</v>
      </c>
      <c r="M446" s="116">
        <v>2020</v>
      </c>
      <c r="N446" t="s">
        <v>13</v>
      </c>
    </row>
    <row r="447" spans="1:14" x14ac:dyDescent="0.25">
      <c r="A447" s="116">
        <v>445</v>
      </c>
      <c r="B447" s="117" t="s">
        <v>5414</v>
      </c>
      <c r="C447" s="117" t="s">
        <v>2931</v>
      </c>
      <c r="D447" s="123" t="s">
        <v>2024</v>
      </c>
      <c r="E447" s="123" t="s">
        <v>512</v>
      </c>
      <c r="F447" s="123">
        <v>40452</v>
      </c>
      <c r="G447" s="124">
        <v>44105</v>
      </c>
      <c r="H447" s="116">
        <v>40</v>
      </c>
      <c r="I447" s="116" t="s">
        <v>13</v>
      </c>
      <c r="J447">
        <v>1971.1020000000001</v>
      </c>
      <c r="K447" s="116">
        <v>242798.5809</v>
      </c>
      <c r="L447" t="s">
        <v>13</v>
      </c>
      <c r="M447" s="116">
        <v>2020</v>
      </c>
      <c r="N447" t="s">
        <v>13</v>
      </c>
    </row>
    <row r="448" spans="1:14" x14ac:dyDescent="0.25">
      <c r="A448" s="116">
        <v>446</v>
      </c>
      <c r="B448" s="117" t="s">
        <v>5414</v>
      </c>
      <c r="C448" s="117" t="s">
        <v>2927</v>
      </c>
      <c r="D448" s="123" t="s">
        <v>2024</v>
      </c>
      <c r="E448" s="123" t="s">
        <v>512</v>
      </c>
      <c r="F448" s="123">
        <v>40452</v>
      </c>
      <c r="G448" s="124">
        <v>44105</v>
      </c>
      <c r="H448" s="116">
        <v>40</v>
      </c>
      <c r="I448" s="116" t="s">
        <v>13</v>
      </c>
      <c r="J448">
        <v>1945.2668000000001</v>
      </c>
      <c r="K448" s="116">
        <v>236502.80209000001</v>
      </c>
      <c r="L448" t="s">
        <v>13</v>
      </c>
      <c r="M448" s="116">
        <v>2020</v>
      </c>
      <c r="N448" t="s">
        <v>13</v>
      </c>
    </row>
    <row r="449" spans="1:14" x14ac:dyDescent="0.25">
      <c r="A449" s="116">
        <v>447</v>
      </c>
      <c r="B449" s="117" t="s">
        <v>5414</v>
      </c>
      <c r="C449" s="117" t="s">
        <v>2924</v>
      </c>
      <c r="D449" s="123" t="s">
        <v>2024</v>
      </c>
      <c r="E449" s="123" t="s">
        <v>512</v>
      </c>
      <c r="F449" s="123">
        <v>40452</v>
      </c>
      <c r="G449" s="124">
        <v>44105</v>
      </c>
      <c r="H449" s="116">
        <v>120</v>
      </c>
      <c r="I449" s="116" t="s">
        <v>13</v>
      </c>
      <c r="J449">
        <v>3940.694</v>
      </c>
      <c r="K449" s="116">
        <v>730788.92516500002</v>
      </c>
      <c r="L449" t="s">
        <v>13</v>
      </c>
      <c r="M449" s="116">
        <v>2020</v>
      </c>
      <c r="N449" t="s">
        <v>13</v>
      </c>
    </row>
    <row r="450" spans="1:14" x14ac:dyDescent="0.25">
      <c r="A450" s="116">
        <v>448</v>
      </c>
      <c r="B450" s="117" t="s">
        <v>5414</v>
      </c>
      <c r="C450" s="117" t="s">
        <v>2920</v>
      </c>
      <c r="D450" s="123" t="s">
        <v>2024</v>
      </c>
      <c r="E450" s="123" t="s">
        <v>512</v>
      </c>
      <c r="F450" s="123">
        <v>40452</v>
      </c>
      <c r="G450" s="124">
        <v>44105</v>
      </c>
      <c r="H450" s="116">
        <v>240</v>
      </c>
      <c r="I450" s="116" t="s">
        <v>13</v>
      </c>
      <c r="J450">
        <v>4912.9258</v>
      </c>
      <c r="K450" s="116">
        <v>1448770.50881</v>
      </c>
      <c r="L450" t="s">
        <v>13</v>
      </c>
      <c r="M450" s="116">
        <v>2020</v>
      </c>
      <c r="N450" t="s">
        <v>13</v>
      </c>
    </row>
    <row r="451" spans="1:14" x14ac:dyDescent="0.25">
      <c r="A451" s="116">
        <v>449</v>
      </c>
      <c r="B451" s="117" t="s">
        <v>5414</v>
      </c>
      <c r="C451" s="117" t="s">
        <v>2917</v>
      </c>
      <c r="D451" s="123" t="s">
        <v>2024</v>
      </c>
      <c r="E451" s="123" t="s">
        <v>512</v>
      </c>
      <c r="F451" s="123">
        <v>40452</v>
      </c>
      <c r="G451" s="124">
        <v>44105</v>
      </c>
      <c r="H451" s="116">
        <v>40</v>
      </c>
      <c r="I451" s="116" t="s">
        <v>13</v>
      </c>
      <c r="J451">
        <v>1958.2934</v>
      </c>
      <c r="K451" s="116">
        <v>239677.25380800001</v>
      </c>
      <c r="L451" t="s">
        <v>13</v>
      </c>
      <c r="M451" s="116">
        <v>2020</v>
      </c>
      <c r="N451" t="s">
        <v>13</v>
      </c>
    </row>
    <row r="452" spans="1:14" x14ac:dyDescent="0.25">
      <c r="A452" s="116">
        <v>450</v>
      </c>
      <c r="B452" s="117" t="s">
        <v>5414</v>
      </c>
      <c r="C452" s="117" t="s">
        <v>2914</v>
      </c>
      <c r="D452" s="123" t="s">
        <v>2024</v>
      </c>
      <c r="E452" s="123" t="s">
        <v>512</v>
      </c>
      <c r="F452" s="123">
        <v>40452</v>
      </c>
      <c r="G452" s="124">
        <v>44105</v>
      </c>
      <c r="H452" s="116">
        <v>440</v>
      </c>
      <c r="I452" s="116" t="s">
        <v>13</v>
      </c>
      <c r="J452">
        <v>8871.7664000000004</v>
      </c>
      <c r="K452" s="116">
        <v>2655150.8488400001</v>
      </c>
      <c r="L452" t="s">
        <v>13</v>
      </c>
      <c r="M452" s="116">
        <v>2020</v>
      </c>
      <c r="N452" t="s">
        <v>13</v>
      </c>
    </row>
    <row r="453" spans="1:14" x14ac:dyDescent="0.25">
      <c r="A453" s="116">
        <v>451</v>
      </c>
      <c r="B453" s="117" t="s">
        <v>5414</v>
      </c>
      <c r="C453" s="117" t="s">
        <v>2911</v>
      </c>
      <c r="D453" s="123" t="s">
        <v>2024</v>
      </c>
      <c r="E453" s="123" t="s">
        <v>512</v>
      </c>
      <c r="F453" s="123">
        <v>40452</v>
      </c>
      <c r="G453" s="124">
        <v>44105</v>
      </c>
      <c r="H453" s="116">
        <v>40</v>
      </c>
      <c r="I453" s="116" t="s">
        <v>13</v>
      </c>
      <c r="J453">
        <v>1969.0636</v>
      </c>
      <c r="K453" s="116">
        <v>242325.54688800001</v>
      </c>
      <c r="L453" t="s">
        <v>13</v>
      </c>
      <c r="M453" s="116">
        <v>2020</v>
      </c>
      <c r="N453" t="s">
        <v>13</v>
      </c>
    </row>
    <row r="454" spans="1:14" x14ac:dyDescent="0.25">
      <c r="A454" s="116">
        <v>452</v>
      </c>
      <c r="B454" s="117" t="s">
        <v>5414</v>
      </c>
      <c r="C454" s="117" t="s">
        <v>2908</v>
      </c>
      <c r="D454" s="123" t="s">
        <v>2024</v>
      </c>
      <c r="E454" s="123" t="s">
        <v>512</v>
      </c>
      <c r="F454" s="123">
        <v>40452</v>
      </c>
      <c r="G454" s="124">
        <v>44105</v>
      </c>
      <c r="H454" s="116">
        <v>40</v>
      </c>
      <c r="I454" s="116" t="s">
        <v>13</v>
      </c>
      <c r="J454">
        <v>1958.5989999999999</v>
      </c>
      <c r="K454" s="116">
        <v>239751.725458</v>
      </c>
      <c r="L454" t="s">
        <v>13</v>
      </c>
      <c r="M454" s="116">
        <v>2020</v>
      </c>
      <c r="N454" t="s">
        <v>13</v>
      </c>
    </row>
    <row r="455" spans="1:14" x14ac:dyDescent="0.25">
      <c r="A455" s="116">
        <v>453</v>
      </c>
      <c r="B455" s="117" t="s">
        <v>5414</v>
      </c>
      <c r="C455" s="117" t="s">
        <v>2904</v>
      </c>
      <c r="D455" s="123" t="s">
        <v>2024</v>
      </c>
      <c r="E455" s="123" t="s">
        <v>512</v>
      </c>
      <c r="F455" s="123">
        <v>40452</v>
      </c>
      <c r="G455" s="124">
        <v>44105</v>
      </c>
      <c r="H455" s="116">
        <v>40</v>
      </c>
      <c r="I455" s="116" t="s">
        <v>13</v>
      </c>
      <c r="J455">
        <v>1982.1394</v>
      </c>
      <c r="K455" s="116">
        <v>245546.62368600001</v>
      </c>
      <c r="L455" t="s">
        <v>13</v>
      </c>
      <c r="M455" s="116">
        <v>2020</v>
      </c>
      <c r="N455" t="s">
        <v>13</v>
      </c>
    </row>
    <row r="456" spans="1:14" x14ac:dyDescent="0.25">
      <c r="A456" s="116">
        <v>454</v>
      </c>
      <c r="B456" s="117" t="s">
        <v>5414</v>
      </c>
      <c r="C456" s="117" t="s">
        <v>2901</v>
      </c>
      <c r="D456" s="123" t="s">
        <v>2024</v>
      </c>
      <c r="E456" s="123" t="s">
        <v>512</v>
      </c>
      <c r="F456" s="123">
        <v>40452</v>
      </c>
      <c r="G456" s="124">
        <v>44105</v>
      </c>
      <c r="H456" s="116">
        <v>41.04</v>
      </c>
      <c r="I456" s="116" t="s">
        <v>13</v>
      </c>
      <c r="J456">
        <v>1994.7260000000001</v>
      </c>
      <c r="K456" s="116">
        <v>248647.190424</v>
      </c>
      <c r="L456" t="s">
        <v>13</v>
      </c>
      <c r="M456" s="116">
        <v>2020</v>
      </c>
      <c r="N456" t="s">
        <v>13</v>
      </c>
    </row>
    <row r="457" spans="1:14" hidden="1" x14ac:dyDescent="0.25">
      <c r="A457" s="116">
        <v>455</v>
      </c>
      <c r="B457" s="117" t="s">
        <v>5414</v>
      </c>
      <c r="C457" s="117" t="s">
        <v>2329</v>
      </c>
      <c r="D457" s="123" t="s">
        <v>2024</v>
      </c>
      <c r="E457" s="123" t="s">
        <v>512</v>
      </c>
      <c r="F457" s="123">
        <v>39753</v>
      </c>
      <c r="G457" s="124">
        <v>43405</v>
      </c>
      <c r="H457" s="116">
        <v>1680</v>
      </c>
      <c r="I457" s="116" t="s">
        <v>13</v>
      </c>
      <c r="J457">
        <v>22622.181400000001</v>
      </c>
      <c r="K457" s="116">
        <v>10165460.3895</v>
      </c>
      <c r="L457" t="s">
        <v>13</v>
      </c>
      <c r="M457" s="116">
        <v>2018</v>
      </c>
      <c r="N457" t="s">
        <v>13</v>
      </c>
    </row>
    <row r="458" spans="1:14" x14ac:dyDescent="0.25">
      <c r="A458" s="116">
        <v>456</v>
      </c>
      <c r="B458" s="117" t="s">
        <v>5414</v>
      </c>
      <c r="C458" s="117" t="s">
        <v>4200</v>
      </c>
      <c r="D458" s="123" t="s">
        <v>904</v>
      </c>
      <c r="E458" s="123" t="s">
        <v>512</v>
      </c>
      <c r="F458" s="123">
        <v>41091</v>
      </c>
      <c r="G458" s="124">
        <v>44743</v>
      </c>
      <c r="H458" s="116">
        <v>480</v>
      </c>
      <c r="I458" s="116" t="s">
        <v>13</v>
      </c>
      <c r="J458">
        <v>6983.5144</v>
      </c>
      <c r="K458" s="116">
        <v>2981367.8231899999</v>
      </c>
      <c r="L458" t="s">
        <v>13</v>
      </c>
      <c r="M458" s="116">
        <v>2022</v>
      </c>
      <c r="N458" t="s">
        <v>5427</v>
      </c>
    </row>
    <row r="459" spans="1:14" x14ac:dyDescent="0.25">
      <c r="A459" s="116">
        <v>457</v>
      </c>
      <c r="B459" s="117" t="s">
        <v>5414</v>
      </c>
      <c r="C459" s="117" t="s">
        <v>4204</v>
      </c>
      <c r="D459" s="123" t="s">
        <v>904</v>
      </c>
      <c r="E459" s="123" t="s">
        <v>512</v>
      </c>
      <c r="F459" s="123">
        <v>41091</v>
      </c>
      <c r="G459" s="124">
        <v>44743</v>
      </c>
      <c r="H459" s="116">
        <v>160</v>
      </c>
      <c r="I459" s="116" t="s">
        <v>13</v>
      </c>
      <c r="J459">
        <v>3968.2469999999998</v>
      </c>
      <c r="K459" s="116">
        <v>984141.53531599999</v>
      </c>
      <c r="L459" t="s">
        <v>13</v>
      </c>
      <c r="M459" s="116">
        <v>2022</v>
      </c>
      <c r="N459" t="s">
        <v>5427</v>
      </c>
    </row>
    <row r="460" spans="1:14" x14ac:dyDescent="0.25">
      <c r="A460" s="116">
        <v>458</v>
      </c>
      <c r="B460" s="117" t="s">
        <v>5414</v>
      </c>
      <c r="C460" s="117" t="s">
        <v>3237</v>
      </c>
      <c r="D460" s="123" t="s">
        <v>5428</v>
      </c>
      <c r="E460" s="123" t="s">
        <v>512</v>
      </c>
      <c r="F460" s="123">
        <v>40603</v>
      </c>
      <c r="G460" s="124">
        <v>44256</v>
      </c>
      <c r="H460" s="116">
        <v>320</v>
      </c>
      <c r="I460" s="116" t="s">
        <v>13</v>
      </c>
      <c r="J460">
        <v>5849.9484000000002</v>
      </c>
      <c r="K460" s="116">
        <v>1899599.2298699999</v>
      </c>
      <c r="L460" t="s">
        <v>13</v>
      </c>
      <c r="M460" s="116">
        <v>2021</v>
      </c>
      <c r="N460" t="s">
        <v>13</v>
      </c>
    </row>
    <row r="461" spans="1:14" hidden="1" x14ac:dyDescent="0.25">
      <c r="A461" s="116">
        <v>459</v>
      </c>
      <c r="B461" s="117" t="s">
        <v>5414</v>
      </c>
      <c r="C461" s="117" t="s">
        <v>2342</v>
      </c>
      <c r="D461" s="123" t="s">
        <v>522</v>
      </c>
      <c r="E461" s="123" t="s">
        <v>512</v>
      </c>
      <c r="F461" s="123">
        <v>39753</v>
      </c>
      <c r="G461" s="124">
        <v>43405</v>
      </c>
      <c r="H461" s="116">
        <v>1285.5899999999999</v>
      </c>
      <c r="I461" s="116" t="s">
        <v>13</v>
      </c>
      <c r="J461">
        <v>15997.584697</v>
      </c>
      <c r="K461" s="116">
        <v>7993888.6780300001</v>
      </c>
      <c r="L461" t="s">
        <v>13</v>
      </c>
      <c r="M461" s="116">
        <v>2018</v>
      </c>
      <c r="N461" t="s">
        <v>13</v>
      </c>
    </row>
    <row r="462" spans="1:14" x14ac:dyDescent="0.25">
      <c r="A462" s="116">
        <v>460</v>
      </c>
      <c r="B462" s="117" t="s">
        <v>5414</v>
      </c>
      <c r="C462" s="117" t="s">
        <v>3919</v>
      </c>
      <c r="D462" s="123" t="s">
        <v>522</v>
      </c>
      <c r="E462" s="123" t="s">
        <v>512</v>
      </c>
      <c r="F462" s="123">
        <v>40878</v>
      </c>
      <c r="G462" s="124">
        <v>44531</v>
      </c>
      <c r="H462" s="116">
        <v>480</v>
      </c>
      <c r="I462" s="116" t="s">
        <v>13</v>
      </c>
      <c r="J462">
        <v>7985.8501999999999</v>
      </c>
      <c r="K462" s="116">
        <v>2992424.0901700002</v>
      </c>
      <c r="L462" t="s">
        <v>13</v>
      </c>
      <c r="M462" s="116">
        <v>2021</v>
      </c>
      <c r="N462" t="s">
        <v>4826</v>
      </c>
    </row>
    <row r="463" spans="1:14" hidden="1" x14ac:dyDescent="0.25">
      <c r="A463" s="116">
        <v>461</v>
      </c>
      <c r="B463" s="117" t="s">
        <v>5414</v>
      </c>
      <c r="C463" s="117" t="s">
        <v>2346</v>
      </c>
      <c r="D463" s="123" t="s">
        <v>522</v>
      </c>
      <c r="E463" s="123" t="s">
        <v>512</v>
      </c>
      <c r="F463" s="123">
        <v>39753</v>
      </c>
      <c r="G463" s="124">
        <v>43405</v>
      </c>
      <c r="H463" s="116">
        <v>640</v>
      </c>
      <c r="I463" s="116" t="s">
        <v>13</v>
      </c>
      <c r="J463">
        <v>8032.7659999999996</v>
      </c>
      <c r="K463" s="116">
        <v>4032658.0889400002</v>
      </c>
      <c r="L463" t="s">
        <v>13</v>
      </c>
      <c r="M463" s="116">
        <v>2018</v>
      </c>
      <c r="N463" t="s">
        <v>13</v>
      </c>
    </row>
    <row r="464" spans="1:14" x14ac:dyDescent="0.25">
      <c r="A464" s="116">
        <v>462</v>
      </c>
      <c r="B464" s="117" t="s">
        <v>5414</v>
      </c>
      <c r="C464" s="117" t="s">
        <v>4513</v>
      </c>
      <c r="D464" s="123" t="s">
        <v>522</v>
      </c>
      <c r="E464" s="123" t="s">
        <v>512</v>
      </c>
      <c r="F464" s="123">
        <v>41365</v>
      </c>
      <c r="G464" s="124">
        <v>45017</v>
      </c>
      <c r="H464" s="116">
        <v>160</v>
      </c>
      <c r="I464" s="116" t="s">
        <v>13</v>
      </c>
      <c r="J464">
        <v>4021.6745999999998</v>
      </c>
      <c r="K464" s="116">
        <v>1010838.66021</v>
      </c>
      <c r="L464" t="s">
        <v>13</v>
      </c>
      <c r="M464" s="116">
        <v>2023</v>
      </c>
      <c r="N464" t="s">
        <v>13</v>
      </c>
    </row>
    <row r="465" spans="1:14" x14ac:dyDescent="0.25">
      <c r="A465" s="116">
        <v>463</v>
      </c>
      <c r="B465" s="117" t="s">
        <v>5414</v>
      </c>
      <c r="C465" s="117" t="s">
        <v>2589</v>
      </c>
      <c r="D465" s="123" t="s">
        <v>1807</v>
      </c>
      <c r="E465" s="123" t="s">
        <v>512</v>
      </c>
      <c r="F465" s="123">
        <v>39934</v>
      </c>
      <c r="G465" s="124">
        <v>43586</v>
      </c>
      <c r="H465" s="116">
        <v>1344.58</v>
      </c>
      <c r="I465" s="116" t="s">
        <v>13</v>
      </c>
      <c r="J465">
        <v>16604.0484</v>
      </c>
      <c r="K465" s="116">
        <v>8070095.3214699998</v>
      </c>
      <c r="L465" t="s">
        <v>13</v>
      </c>
      <c r="M465" s="116">
        <v>2019</v>
      </c>
      <c r="N465" t="s">
        <v>13</v>
      </c>
    </row>
    <row r="466" spans="1:14" x14ac:dyDescent="0.25">
      <c r="A466" s="116">
        <v>464</v>
      </c>
      <c r="B466" s="117" t="s">
        <v>5414</v>
      </c>
      <c r="C466" s="117" t="s">
        <v>2585</v>
      </c>
      <c r="D466" s="123" t="s">
        <v>1807</v>
      </c>
      <c r="E466" s="123" t="s">
        <v>512</v>
      </c>
      <c r="F466" s="123">
        <v>39934</v>
      </c>
      <c r="G466" s="124">
        <v>43586</v>
      </c>
      <c r="H466" s="116">
        <v>1360</v>
      </c>
      <c r="I466" s="116" t="s">
        <v>13</v>
      </c>
      <c r="J466">
        <v>34201.150800000003</v>
      </c>
      <c r="K466" s="116">
        <v>8146199.9899599999</v>
      </c>
      <c r="L466" t="s">
        <v>13</v>
      </c>
      <c r="M466" s="116">
        <v>2019</v>
      </c>
      <c r="N466" t="s">
        <v>13</v>
      </c>
    </row>
    <row r="467" spans="1:14" x14ac:dyDescent="0.25">
      <c r="A467" s="116">
        <v>465</v>
      </c>
      <c r="B467" s="117" t="s">
        <v>5414</v>
      </c>
      <c r="C467" s="117" t="s">
        <v>4338</v>
      </c>
      <c r="D467" s="123" t="s">
        <v>4328</v>
      </c>
      <c r="E467" s="123" t="s">
        <v>512</v>
      </c>
      <c r="F467" s="123">
        <v>41214</v>
      </c>
      <c r="G467" s="124">
        <v>44866</v>
      </c>
      <c r="H467" s="116">
        <v>160</v>
      </c>
      <c r="I467" s="116" t="s">
        <v>13</v>
      </c>
      <c r="J467">
        <v>3770.3139999999999</v>
      </c>
      <c r="K467" s="116">
        <v>888443.30035000003</v>
      </c>
      <c r="L467" t="s">
        <v>13</v>
      </c>
      <c r="M467" s="116">
        <v>2022</v>
      </c>
      <c r="N467" t="s">
        <v>13</v>
      </c>
    </row>
    <row r="468" spans="1:14" x14ac:dyDescent="0.25">
      <c r="A468" s="116">
        <v>466</v>
      </c>
      <c r="B468" s="117" t="s">
        <v>5414</v>
      </c>
      <c r="C468" s="117" t="s">
        <v>4336</v>
      </c>
      <c r="D468" s="123" t="s">
        <v>4328</v>
      </c>
      <c r="E468" s="123" t="s">
        <v>512</v>
      </c>
      <c r="F468" s="123">
        <v>41214</v>
      </c>
      <c r="G468" s="124">
        <v>44866</v>
      </c>
      <c r="H468" s="116">
        <v>1920</v>
      </c>
      <c r="I468" s="116" t="s">
        <v>13</v>
      </c>
      <c r="J468">
        <v>15148.3722</v>
      </c>
      <c r="K468" s="116">
        <v>10755120.6382</v>
      </c>
      <c r="L468" t="s">
        <v>13</v>
      </c>
      <c r="M468" s="116">
        <v>2022</v>
      </c>
      <c r="N468" t="s">
        <v>13</v>
      </c>
    </row>
    <row r="469" spans="1:14" x14ac:dyDescent="0.25">
      <c r="A469" s="116">
        <v>467</v>
      </c>
      <c r="B469" s="117" t="s">
        <v>5414</v>
      </c>
      <c r="C469" s="117" t="s">
        <v>4334</v>
      </c>
      <c r="D469" s="123" t="s">
        <v>4328</v>
      </c>
      <c r="E469" s="123" t="s">
        <v>512</v>
      </c>
      <c r="F469" s="123">
        <v>41214</v>
      </c>
      <c r="G469" s="124">
        <v>44866</v>
      </c>
      <c r="H469" s="116">
        <v>1394.36</v>
      </c>
      <c r="I469" s="116" t="s">
        <v>13</v>
      </c>
      <c r="J469">
        <v>11703.6024</v>
      </c>
      <c r="K469" s="116">
        <v>7799144.5050999997</v>
      </c>
      <c r="L469" t="s">
        <v>13</v>
      </c>
      <c r="M469" s="116">
        <v>2022</v>
      </c>
      <c r="N469" t="s">
        <v>13</v>
      </c>
    </row>
    <row r="470" spans="1:14" x14ac:dyDescent="0.25">
      <c r="A470" s="116">
        <v>468</v>
      </c>
      <c r="B470" s="117" t="s">
        <v>5414</v>
      </c>
      <c r="C470" s="117" t="s">
        <v>4327</v>
      </c>
      <c r="D470" s="123" t="s">
        <v>4328</v>
      </c>
      <c r="E470" s="123" t="s">
        <v>512</v>
      </c>
      <c r="F470" s="123">
        <v>41214</v>
      </c>
      <c r="G470" s="124">
        <v>44866</v>
      </c>
      <c r="H470" s="116">
        <v>2398.6</v>
      </c>
      <c r="I470" s="116" t="s">
        <v>13</v>
      </c>
      <c r="J470">
        <v>18910.671999999999</v>
      </c>
      <c r="K470" s="116">
        <v>13446255.9442</v>
      </c>
      <c r="L470" t="s">
        <v>13</v>
      </c>
      <c r="M470" s="116">
        <v>2022</v>
      </c>
      <c r="N470" t="s">
        <v>13</v>
      </c>
    </row>
    <row r="471" spans="1:14" x14ac:dyDescent="0.25">
      <c r="A471" s="116">
        <v>469</v>
      </c>
      <c r="B471" s="117" t="s">
        <v>5414</v>
      </c>
      <c r="C471" s="117" t="s">
        <v>4332</v>
      </c>
      <c r="D471" s="123" t="s">
        <v>4328</v>
      </c>
      <c r="E471" s="123" t="s">
        <v>512</v>
      </c>
      <c r="F471" s="123">
        <v>41214</v>
      </c>
      <c r="G471" s="124">
        <v>44866</v>
      </c>
      <c r="H471" s="116">
        <v>1384.56</v>
      </c>
      <c r="I471" s="116" t="s">
        <v>13</v>
      </c>
      <c r="J471">
        <v>11673.44</v>
      </c>
      <c r="K471" s="116">
        <v>7768272.7377899997</v>
      </c>
      <c r="L471" t="s">
        <v>13</v>
      </c>
      <c r="M471" s="116">
        <v>2022</v>
      </c>
      <c r="N471" t="s">
        <v>13</v>
      </c>
    </row>
    <row r="472" spans="1:14" x14ac:dyDescent="0.25">
      <c r="A472" s="116">
        <v>470</v>
      </c>
      <c r="B472" s="117" t="s">
        <v>5414</v>
      </c>
      <c r="C472" s="117" t="s">
        <v>4330</v>
      </c>
      <c r="D472" s="123" t="s">
        <v>4328</v>
      </c>
      <c r="E472" s="123" t="s">
        <v>512</v>
      </c>
      <c r="F472" s="123">
        <v>41214</v>
      </c>
      <c r="G472" s="124">
        <v>44866</v>
      </c>
      <c r="H472" s="116">
        <v>2560</v>
      </c>
      <c r="I472" s="116" t="s">
        <v>13</v>
      </c>
      <c r="J472">
        <v>15177.19</v>
      </c>
      <c r="K472" s="116">
        <v>14396690.3664</v>
      </c>
      <c r="L472" t="s">
        <v>13</v>
      </c>
      <c r="M472" s="116">
        <v>2022</v>
      </c>
      <c r="N472" t="s">
        <v>13</v>
      </c>
    </row>
    <row r="473" spans="1:14" x14ac:dyDescent="0.25">
      <c r="A473" s="116">
        <v>471</v>
      </c>
      <c r="B473" s="117" t="s">
        <v>5414</v>
      </c>
      <c r="C473" s="117" t="s">
        <v>3917</v>
      </c>
      <c r="D473" s="123" t="s">
        <v>899</v>
      </c>
      <c r="E473" s="123" t="s">
        <v>512</v>
      </c>
      <c r="F473" s="123">
        <v>40878</v>
      </c>
      <c r="G473" s="124">
        <v>44531</v>
      </c>
      <c r="H473" s="116">
        <v>160</v>
      </c>
      <c r="I473" s="116" t="s">
        <v>13</v>
      </c>
      <c r="J473">
        <v>4755.7885999999999</v>
      </c>
      <c r="K473" s="116">
        <v>898088.77274699998</v>
      </c>
      <c r="L473" t="s">
        <v>13</v>
      </c>
      <c r="M473" s="116">
        <v>2021</v>
      </c>
      <c r="N473" t="s">
        <v>13</v>
      </c>
    </row>
    <row r="474" spans="1:14" x14ac:dyDescent="0.25">
      <c r="A474" s="116">
        <v>472</v>
      </c>
      <c r="B474" s="117" t="s">
        <v>5414</v>
      </c>
      <c r="C474" s="117" t="s">
        <v>3840</v>
      </c>
      <c r="D474" s="123" t="s">
        <v>899</v>
      </c>
      <c r="E474" s="123" t="s">
        <v>512</v>
      </c>
      <c r="F474" s="123">
        <v>40787</v>
      </c>
      <c r="G474" s="124">
        <v>44440</v>
      </c>
      <c r="H474" s="116">
        <v>120</v>
      </c>
      <c r="I474" s="116" t="s">
        <v>13</v>
      </c>
      <c r="J474">
        <v>3862.9243999999999</v>
      </c>
      <c r="K474" s="116">
        <v>695621.92159000004</v>
      </c>
      <c r="L474" t="s">
        <v>13</v>
      </c>
      <c r="M474" s="116">
        <v>2021</v>
      </c>
      <c r="N474" t="s">
        <v>13</v>
      </c>
    </row>
    <row r="475" spans="1:14" x14ac:dyDescent="0.25">
      <c r="A475" s="116">
        <v>473</v>
      </c>
      <c r="B475" s="117" t="s">
        <v>5414</v>
      </c>
      <c r="C475" s="117" t="s">
        <v>3030</v>
      </c>
      <c r="D475" s="123" t="s">
        <v>899</v>
      </c>
      <c r="E475" s="123" t="s">
        <v>512</v>
      </c>
      <c r="F475" s="123">
        <v>40452</v>
      </c>
      <c r="G475" s="124">
        <v>44105</v>
      </c>
      <c r="H475" s="116">
        <v>120</v>
      </c>
      <c r="I475" s="116" t="s">
        <v>13</v>
      </c>
      <c r="J475">
        <v>3841.7577999999999</v>
      </c>
      <c r="K475" s="116">
        <v>690497.61023800005</v>
      </c>
      <c r="L475" t="s">
        <v>13</v>
      </c>
      <c r="M475" s="116">
        <v>2020</v>
      </c>
      <c r="N475" t="s">
        <v>13</v>
      </c>
    </row>
    <row r="476" spans="1:14" x14ac:dyDescent="0.25">
      <c r="A476" s="116">
        <v>474</v>
      </c>
      <c r="B476" s="117" t="s">
        <v>5414</v>
      </c>
      <c r="C476" s="117" t="s">
        <v>3028</v>
      </c>
      <c r="D476" s="123" t="s">
        <v>899</v>
      </c>
      <c r="E476" s="123" t="s">
        <v>512</v>
      </c>
      <c r="F476" s="123">
        <v>40452</v>
      </c>
      <c r="G476" s="124">
        <v>44105</v>
      </c>
      <c r="H476" s="116">
        <v>80</v>
      </c>
      <c r="I476" s="116" t="s">
        <v>13</v>
      </c>
      <c r="J476">
        <v>2868.0889999999999</v>
      </c>
      <c r="K476" s="116">
        <v>458670.24142999999</v>
      </c>
      <c r="L476" t="s">
        <v>13</v>
      </c>
      <c r="M476" s="116">
        <v>2020</v>
      </c>
      <c r="N476" t="s">
        <v>13</v>
      </c>
    </row>
    <row r="477" spans="1:14" x14ac:dyDescent="0.25">
      <c r="A477" s="116">
        <v>475</v>
      </c>
      <c r="B477" s="117" t="s">
        <v>5414</v>
      </c>
      <c r="C477" s="117" t="s">
        <v>3026</v>
      </c>
      <c r="D477" s="123" t="s">
        <v>899</v>
      </c>
      <c r="E477" s="123" t="s">
        <v>512</v>
      </c>
      <c r="F477" s="123">
        <v>40452</v>
      </c>
      <c r="G477" s="124">
        <v>44105</v>
      </c>
      <c r="H477" s="116">
        <v>80</v>
      </c>
      <c r="I477" s="116" t="s">
        <v>13</v>
      </c>
      <c r="J477">
        <v>2878.6725999999999</v>
      </c>
      <c r="K477" s="116">
        <v>458670.33721000003</v>
      </c>
      <c r="L477" t="s">
        <v>13</v>
      </c>
      <c r="M477" s="116">
        <v>2020</v>
      </c>
      <c r="N477" t="s">
        <v>13</v>
      </c>
    </row>
    <row r="478" spans="1:14" x14ac:dyDescent="0.25">
      <c r="A478" s="116">
        <v>476</v>
      </c>
      <c r="B478" s="117" t="s">
        <v>5414</v>
      </c>
      <c r="C478" s="117" t="s">
        <v>3023</v>
      </c>
      <c r="D478" s="123" t="s">
        <v>899</v>
      </c>
      <c r="E478" s="123" t="s">
        <v>512</v>
      </c>
      <c r="F478" s="123">
        <v>40513</v>
      </c>
      <c r="G478" s="124">
        <v>44166</v>
      </c>
      <c r="H478" s="116">
        <v>80</v>
      </c>
      <c r="I478" s="116" t="s">
        <v>13</v>
      </c>
      <c r="J478">
        <v>2878.6725999999999</v>
      </c>
      <c r="K478" s="116">
        <v>461218.51618699997</v>
      </c>
      <c r="L478" t="s">
        <v>13</v>
      </c>
      <c r="M478" s="116">
        <v>2020</v>
      </c>
      <c r="N478" t="s">
        <v>13</v>
      </c>
    </row>
    <row r="479" spans="1:14" x14ac:dyDescent="0.25">
      <c r="A479" s="116">
        <v>477</v>
      </c>
      <c r="B479" s="117" t="s">
        <v>5414</v>
      </c>
      <c r="C479" s="117" t="s">
        <v>2694</v>
      </c>
      <c r="D479" s="123" t="s">
        <v>899</v>
      </c>
      <c r="E479" s="123" t="s">
        <v>512</v>
      </c>
      <c r="F479" s="123">
        <v>40057</v>
      </c>
      <c r="G479" s="124">
        <v>43709</v>
      </c>
      <c r="H479" s="116">
        <v>200</v>
      </c>
      <c r="I479" s="116" t="s">
        <v>13</v>
      </c>
      <c r="J479">
        <v>4732.0796</v>
      </c>
      <c r="K479" s="116">
        <v>1119788.73147</v>
      </c>
      <c r="L479" t="s">
        <v>13</v>
      </c>
      <c r="M479" s="116">
        <v>2019</v>
      </c>
      <c r="N479" t="s">
        <v>13</v>
      </c>
    </row>
    <row r="480" spans="1:14" x14ac:dyDescent="0.25">
      <c r="A480" s="116">
        <v>478</v>
      </c>
      <c r="B480" s="117" t="s">
        <v>5414</v>
      </c>
      <c r="C480" s="117" t="s">
        <v>2594</v>
      </c>
      <c r="D480" s="123" t="s">
        <v>899</v>
      </c>
      <c r="E480" s="123" t="s">
        <v>512</v>
      </c>
      <c r="F480" s="123">
        <v>39934</v>
      </c>
      <c r="G480" s="124">
        <v>43586</v>
      </c>
      <c r="H480" s="116">
        <v>160</v>
      </c>
      <c r="I480" s="116" t="s">
        <v>13</v>
      </c>
      <c r="J480">
        <v>3831.1743999999999</v>
      </c>
      <c r="K480" s="116">
        <v>917340.57811100001</v>
      </c>
      <c r="L480" t="s">
        <v>13</v>
      </c>
      <c r="M480" s="116">
        <v>2019</v>
      </c>
      <c r="N480" t="s">
        <v>13</v>
      </c>
    </row>
    <row r="481" spans="1:14" hidden="1" x14ac:dyDescent="0.25">
      <c r="A481" s="116">
        <v>479</v>
      </c>
      <c r="B481" s="117" t="s">
        <v>5414</v>
      </c>
      <c r="C481" s="117" t="s">
        <v>2333</v>
      </c>
      <c r="D481" s="123" t="s">
        <v>899</v>
      </c>
      <c r="E481" s="123" t="s">
        <v>512</v>
      </c>
      <c r="F481" s="123">
        <v>39753</v>
      </c>
      <c r="G481" s="124">
        <v>43405</v>
      </c>
      <c r="H481" s="116">
        <v>160</v>
      </c>
      <c r="I481" s="116" t="s">
        <v>13</v>
      </c>
      <c r="J481">
        <v>3788.8407999999999</v>
      </c>
      <c r="K481" s="116">
        <v>897179.16089599999</v>
      </c>
      <c r="L481" t="s">
        <v>13</v>
      </c>
      <c r="M481" s="116">
        <v>2018</v>
      </c>
      <c r="N481" t="s">
        <v>898</v>
      </c>
    </row>
    <row r="482" spans="1:14" hidden="1" x14ac:dyDescent="0.25">
      <c r="A482" s="116">
        <v>480</v>
      </c>
      <c r="B482" s="117" t="s">
        <v>5414</v>
      </c>
      <c r="C482" s="117" t="s">
        <v>2325</v>
      </c>
      <c r="D482" s="123" t="s">
        <v>899</v>
      </c>
      <c r="E482" s="123" t="s">
        <v>512</v>
      </c>
      <c r="F482" s="123">
        <v>39753</v>
      </c>
      <c r="G482" s="124">
        <v>43405</v>
      </c>
      <c r="H482" s="116">
        <v>320</v>
      </c>
      <c r="I482" s="116" t="s">
        <v>13</v>
      </c>
      <c r="J482">
        <v>5725.5947999999999</v>
      </c>
      <c r="K482" s="116">
        <v>1824600.44762</v>
      </c>
      <c r="L482" t="s">
        <v>13</v>
      </c>
      <c r="M482" s="116">
        <v>2018</v>
      </c>
      <c r="N482" t="s">
        <v>898</v>
      </c>
    </row>
    <row r="483" spans="1:14" x14ac:dyDescent="0.25">
      <c r="A483" s="116">
        <v>481</v>
      </c>
      <c r="B483" s="117" t="s">
        <v>5414</v>
      </c>
      <c r="C483" s="117" t="s">
        <v>4502</v>
      </c>
      <c r="D483" s="123" t="s">
        <v>899</v>
      </c>
      <c r="E483" s="123" t="s">
        <v>512</v>
      </c>
      <c r="F483" s="123">
        <v>41275</v>
      </c>
      <c r="G483" s="124">
        <v>44927</v>
      </c>
      <c r="H483" s="116">
        <v>240</v>
      </c>
      <c r="I483" s="116" t="s">
        <v>13</v>
      </c>
      <c r="J483">
        <v>4782.0690000000004</v>
      </c>
      <c r="K483" s="116">
        <v>1371218.16891</v>
      </c>
      <c r="L483" t="s">
        <v>13</v>
      </c>
      <c r="M483" s="116">
        <v>2023</v>
      </c>
      <c r="N483" t="s">
        <v>13</v>
      </c>
    </row>
    <row r="484" spans="1:14" x14ac:dyDescent="0.25">
      <c r="A484" s="116">
        <v>482</v>
      </c>
      <c r="B484" s="117" t="s">
        <v>5414</v>
      </c>
      <c r="C484" s="117" t="s">
        <v>2809</v>
      </c>
      <c r="D484" s="123" t="s">
        <v>559</v>
      </c>
      <c r="E484" s="123" t="s">
        <v>512</v>
      </c>
      <c r="F484" s="123">
        <v>40330</v>
      </c>
      <c r="G484" s="124">
        <v>43983</v>
      </c>
      <c r="H484" s="116">
        <v>1280</v>
      </c>
      <c r="I484" s="116" t="s">
        <v>13</v>
      </c>
      <c r="J484">
        <v>11898.1656</v>
      </c>
      <c r="K484" s="116">
        <v>7840219.2614700003</v>
      </c>
      <c r="L484" t="s">
        <v>13</v>
      </c>
      <c r="M484" s="116">
        <v>2020</v>
      </c>
      <c r="N484" t="s">
        <v>13</v>
      </c>
    </row>
    <row r="485" spans="1:14" x14ac:dyDescent="0.25">
      <c r="A485" s="116">
        <v>483</v>
      </c>
      <c r="B485" s="117" t="s">
        <v>5414</v>
      </c>
      <c r="C485" s="117" t="s">
        <v>2805</v>
      </c>
      <c r="D485" s="123" t="s">
        <v>559</v>
      </c>
      <c r="E485" s="123" t="s">
        <v>512</v>
      </c>
      <c r="F485" s="123">
        <v>40330</v>
      </c>
      <c r="G485" s="124">
        <v>43983</v>
      </c>
      <c r="H485" s="116">
        <v>1252.68</v>
      </c>
      <c r="I485" s="116" t="s">
        <v>13</v>
      </c>
      <c r="J485">
        <v>11857.780199999999</v>
      </c>
      <c r="K485" s="116">
        <v>7766494.8559699999</v>
      </c>
      <c r="L485" t="s">
        <v>13</v>
      </c>
      <c r="M485" s="116">
        <v>2020</v>
      </c>
      <c r="N485" t="s">
        <v>13</v>
      </c>
    </row>
    <row r="486" spans="1:14" hidden="1" x14ac:dyDescent="0.25">
      <c r="A486" s="116">
        <v>484</v>
      </c>
      <c r="B486" s="117" t="s">
        <v>5414</v>
      </c>
      <c r="C486" s="117" t="s">
        <v>2321</v>
      </c>
      <c r="D486" s="123" t="s">
        <v>511</v>
      </c>
      <c r="E486" s="123" t="s">
        <v>512</v>
      </c>
      <c r="F486" s="123">
        <v>39753</v>
      </c>
      <c r="G486" s="124">
        <v>43405</v>
      </c>
      <c r="H486" s="116">
        <v>80</v>
      </c>
      <c r="I486" s="116" t="s">
        <v>13</v>
      </c>
      <c r="J486">
        <v>2846.9212000000002</v>
      </c>
      <c r="K486" s="116">
        <v>451109.18953600002</v>
      </c>
      <c r="L486" t="s">
        <v>13</v>
      </c>
      <c r="M486" s="116">
        <v>2018</v>
      </c>
      <c r="N486" t="s">
        <v>13</v>
      </c>
    </row>
    <row r="487" spans="1:14" hidden="1" x14ac:dyDescent="0.25">
      <c r="A487" s="116">
        <v>485</v>
      </c>
      <c r="B487" s="117" t="s">
        <v>5414</v>
      </c>
      <c r="C487" s="117" t="s">
        <v>2317</v>
      </c>
      <c r="D487" s="123" t="s">
        <v>511</v>
      </c>
      <c r="E487" s="123" t="s">
        <v>512</v>
      </c>
      <c r="F487" s="123">
        <v>39753</v>
      </c>
      <c r="G487" s="124">
        <v>43405</v>
      </c>
      <c r="H487" s="116">
        <v>40</v>
      </c>
      <c r="I487" s="116" t="s">
        <v>13</v>
      </c>
      <c r="J487">
        <v>1883.8353999999999</v>
      </c>
      <c r="K487" s="116">
        <v>221774.241068</v>
      </c>
      <c r="L487" t="s">
        <v>13</v>
      </c>
      <c r="M487" s="116">
        <v>2018</v>
      </c>
      <c r="N487" t="s">
        <v>5182</v>
      </c>
    </row>
    <row r="488" spans="1:14" x14ac:dyDescent="0.25">
      <c r="A488" s="116">
        <v>486</v>
      </c>
      <c r="B488" s="117" t="s">
        <v>5414</v>
      </c>
      <c r="C488" s="117" t="s">
        <v>2796</v>
      </c>
      <c r="D488" s="123" t="s">
        <v>237</v>
      </c>
      <c r="E488" s="123" t="s">
        <v>2748</v>
      </c>
      <c r="F488" s="123">
        <v>40330</v>
      </c>
      <c r="G488" s="124">
        <v>43983</v>
      </c>
      <c r="H488" s="116">
        <v>81.17</v>
      </c>
      <c r="I488" s="116" t="s">
        <v>13</v>
      </c>
      <c r="J488">
        <v>3202.8741420000001</v>
      </c>
      <c r="K488" s="116">
        <v>564237.25611900003</v>
      </c>
      <c r="L488" t="s">
        <v>13</v>
      </c>
      <c r="M488" s="116">
        <v>2020</v>
      </c>
      <c r="N488" t="s">
        <v>13</v>
      </c>
    </row>
    <row r="489" spans="1:14" x14ac:dyDescent="0.25">
      <c r="A489" s="116">
        <v>487</v>
      </c>
      <c r="B489" s="117" t="s">
        <v>5414</v>
      </c>
      <c r="C489" s="117" t="s">
        <v>2754</v>
      </c>
      <c r="D489" s="123" t="s">
        <v>2747</v>
      </c>
      <c r="E489" s="123" t="s">
        <v>2748</v>
      </c>
      <c r="F489" s="123">
        <v>40330</v>
      </c>
      <c r="G489" s="124">
        <v>43983</v>
      </c>
      <c r="H489" s="116">
        <v>30.23</v>
      </c>
      <c r="I489" s="116" t="s">
        <v>13</v>
      </c>
      <c r="J489">
        <v>2082.6694320000001</v>
      </c>
      <c r="K489" s="116">
        <v>270956.39340599999</v>
      </c>
      <c r="L489" t="s">
        <v>13</v>
      </c>
      <c r="M489" s="116">
        <v>2020</v>
      </c>
      <c r="N489" t="s">
        <v>13</v>
      </c>
    </row>
    <row r="490" spans="1:14" x14ac:dyDescent="0.25">
      <c r="A490" s="116">
        <v>488</v>
      </c>
      <c r="B490" s="117" t="s">
        <v>5414</v>
      </c>
      <c r="C490" s="117" t="s">
        <v>2751</v>
      </c>
      <c r="D490" s="123" t="s">
        <v>2747</v>
      </c>
      <c r="E490" s="123" t="s">
        <v>2748</v>
      </c>
      <c r="F490" s="123">
        <v>40330</v>
      </c>
      <c r="G490" s="124">
        <v>43983</v>
      </c>
      <c r="H490" s="116">
        <v>145.52000000000001</v>
      </c>
      <c r="I490" s="116" t="s">
        <v>13</v>
      </c>
      <c r="J490">
        <v>8629.5938989999995</v>
      </c>
      <c r="K490" s="116">
        <v>1508977.5959000001</v>
      </c>
      <c r="L490" t="s">
        <v>13</v>
      </c>
      <c r="M490" s="116">
        <v>2020</v>
      </c>
      <c r="N490" t="s">
        <v>13</v>
      </c>
    </row>
    <row r="491" spans="1:14" x14ac:dyDescent="0.25">
      <c r="A491" s="116">
        <v>489</v>
      </c>
      <c r="B491" s="117" t="s">
        <v>5414</v>
      </c>
      <c r="C491" s="117" t="s">
        <v>2746</v>
      </c>
      <c r="D491" s="123" t="s">
        <v>2747</v>
      </c>
      <c r="E491" s="123" t="s">
        <v>2748</v>
      </c>
      <c r="F491" s="123">
        <v>40330</v>
      </c>
      <c r="G491" s="124">
        <v>43983</v>
      </c>
      <c r="H491" s="116">
        <v>197.56</v>
      </c>
      <c r="I491" s="116" t="s">
        <v>13</v>
      </c>
      <c r="J491">
        <v>8802.5713450000003</v>
      </c>
      <c r="K491" s="116">
        <v>1468698.2292599999</v>
      </c>
      <c r="L491" t="s">
        <v>13</v>
      </c>
      <c r="M491" s="116">
        <v>2020</v>
      </c>
      <c r="N491" t="s">
        <v>13</v>
      </c>
    </row>
    <row r="492" spans="1:14" x14ac:dyDescent="0.25">
      <c r="A492" s="116">
        <v>490</v>
      </c>
      <c r="B492" s="117" t="s">
        <v>5414</v>
      </c>
      <c r="C492" s="117" t="s">
        <v>2790</v>
      </c>
      <c r="D492" s="123" t="s">
        <v>2768</v>
      </c>
      <c r="E492" s="123" t="s">
        <v>2748</v>
      </c>
      <c r="F492" s="123">
        <v>40330</v>
      </c>
      <c r="G492" s="124">
        <v>43983</v>
      </c>
      <c r="H492" s="116">
        <v>119</v>
      </c>
      <c r="I492" s="116" t="s">
        <v>13</v>
      </c>
      <c r="J492">
        <v>5238.199149</v>
      </c>
      <c r="K492" s="116">
        <v>832691.00899100001</v>
      </c>
      <c r="L492" t="s">
        <v>13</v>
      </c>
      <c r="M492" s="116">
        <v>2020</v>
      </c>
      <c r="N492" t="s">
        <v>13</v>
      </c>
    </row>
    <row r="493" spans="1:14" x14ac:dyDescent="0.25">
      <c r="A493" s="116">
        <v>491</v>
      </c>
      <c r="B493" s="117" t="s">
        <v>5414</v>
      </c>
      <c r="C493" s="117" t="s">
        <v>2777</v>
      </c>
      <c r="D493" s="123" t="s">
        <v>2768</v>
      </c>
      <c r="E493" s="123" t="s">
        <v>2748</v>
      </c>
      <c r="F493" s="123">
        <v>40330</v>
      </c>
      <c r="G493" s="124">
        <v>43983</v>
      </c>
      <c r="H493" s="116">
        <v>461.69</v>
      </c>
      <c r="I493" s="116" t="s">
        <v>13</v>
      </c>
      <c r="J493">
        <v>16237.108367000001</v>
      </c>
      <c r="K493" s="116">
        <v>3352426.37084</v>
      </c>
      <c r="L493" t="s">
        <v>13</v>
      </c>
      <c r="M493" s="116">
        <v>2020</v>
      </c>
      <c r="N493" t="s">
        <v>13</v>
      </c>
    </row>
    <row r="494" spans="1:14" x14ac:dyDescent="0.25">
      <c r="A494" s="116">
        <v>492</v>
      </c>
      <c r="B494" s="117" t="s">
        <v>5414</v>
      </c>
      <c r="C494" s="117" t="s">
        <v>2775</v>
      </c>
      <c r="D494" s="123" t="s">
        <v>2768</v>
      </c>
      <c r="E494" s="123" t="s">
        <v>2748</v>
      </c>
      <c r="F494" s="123">
        <v>40330</v>
      </c>
      <c r="G494" s="124">
        <v>43983</v>
      </c>
      <c r="H494" s="116">
        <v>679.17</v>
      </c>
      <c r="I494" s="116" t="s">
        <v>13</v>
      </c>
      <c r="J494">
        <v>21576.203256000001</v>
      </c>
      <c r="K494" s="116">
        <v>4973147.6596400002</v>
      </c>
      <c r="L494" t="s">
        <v>13</v>
      </c>
      <c r="M494" s="116">
        <v>2020</v>
      </c>
      <c r="N494" t="s">
        <v>13</v>
      </c>
    </row>
    <row r="495" spans="1:14" x14ac:dyDescent="0.25">
      <c r="A495" s="116">
        <v>493</v>
      </c>
      <c r="B495" s="117" t="s">
        <v>5414</v>
      </c>
      <c r="C495" s="117" t="s">
        <v>2773</v>
      </c>
      <c r="D495" s="123" t="s">
        <v>2768</v>
      </c>
      <c r="E495" s="123" t="s">
        <v>2748</v>
      </c>
      <c r="F495" s="123">
        <v>40330</v>
      </c>
      <c r="G495" s="124">
        <v>43983</v>
      </c>
      <c r="H495" s="116">
        <v>700.46</v>
      </c>
      <c r="I495" s="116" t="s">
        <v>13</v>
      </c>
      <c r="J495">
        <v>20207.327089999999</v>
      </c>
      <c r="K495" s="116">
        <v>6193421.19802</v>
      </c>
      <c r="L495" t="s">
        <v>13</v>
      </c>
      <c r="M495" s="116">
        <v>2020</v>
      </c>
      <c r="N495" t="s">
        <v>13</v>
      </c>
    </row>
    <row r="496" spans="1:14" x14ac:dyDescent="0.25">
      <c r="A496" s="116">
        <v>494</v>
      </c>
      <c r="B496" s="117" t="s">
        <v>5414</v>
      </c>
      <c r="C496" s="117" t="s">
        <v>2771</v>
      </c>
      <c r="D496" s="123" t="s">
        <v>2768</v>
      </c>
      <c r="E496" s="123" t="s">
        <v>2748</v>
      </c>
      <c r="F496" s="123">
        <v>40330</v>
      </c>
      <c r="G496" s="124">
        <v>43983</v>
      </c>
      <c r="H496" s="116">
        <v>798.29</v>
      </c>
      <c r="I496" s="116" t="s">
        <v>13</v>
      </c>
      <c r="J496">
        <v>29946.456839999999</v>
      </c>
      <c r="K496" s="116">
        <v>7926544.6896500001</v>
      </c>
      <c r="L496" t="s">
        <v>13</v>
      </c>
      <c r="M496" s="116">
        <v>2020</v>
      </c>
      <c r="N496" t="s">
        <v>13</v>
      </c>
    </row>
    <row r="497" spans="1:14" x14ac:dyDescent="0.25">
      <c r="A497" s="116">
        <v>495</v>
      </c>
      <c r="B497" s="117" t="s">
        <v>5414</v>
      </c>
      <c r="C497" s="117" t="s">
        <v>2767</v>
      </c>
      <c r="D497" s="123" t="s">
        <v>2768</v>
      </c>
      <c r="E497" s="123" t="s">
        <v>2748</v>
      </c>
      <c r="F497" s="123">
        <v>40330</v>
      </c>
      <c r="G497" s="124">
        <v>43983</v>
      </c>
      <c r="H497" s="116">
        <v>460.25</v>
      </c>
      <c r="I497" s="116" t="s">
        <v>13</v>
      </c>
      <c r="J497">
        <v>15853.774058999999</v>
      </c>
      <c r="K497" s="116">
        <v>3753479.8209699998</v>
      </c>
      <c r="L497" t="s">
        <v>13</v>
      </c>
      <c r="M497" s="116">
        <v>2020</v>
      </c>
      <c r="N497" t="s">
        <v>13</v>
      </c>
    </row>
    <row r="498" spans="1:14" x14ac:dyDescent="0.25">
      <c r="A498" s="116">
        <v>496</v>
      </c>
      <c r="B498" s="117" t="s">
        <v>5414</v>
      </c>
      <c r="C498" s="117" t="s">
        <v>2788</v>
      </c>
      <c r="D498" s="123" t="s">
        <v>2758</v>
      </c>
      <c r="E498" s="123" t="s">
        <v>2748</v>
      </c>
      <c r="F498" s="123">
        <v>40330</v>
      </c>
      <c r="G498" s="124">
        <v>43983</v>
      </c>
      <c r="H498" s="116">
        <v>535.86</v>
      </c>
      <c r="I498" s="116" t="s">
        <v>13</v>
      </c>
      <c r="J498">
        <v>23173.188816999998</v>
      </c>
      <c r="K498" s="116">
        <v>4387214.9494000003</v>
      </c>
      <c r="L498" t="s">
        <v>13</v>
      </c>
      <c r="M498" s="116">
        <v>2020</v>
      </c>
      <c r="N498" t="s">
        <v>13</v>
      </c>
    </row>
    <row r="499" spans="1:14" x14ac:dyDescent="0.25">
      <c r="A499" s="116">
        <v>497</v>
      </c>
      <c r="B499" s="117" t="s">
        <v>5414</v>
      </c>
      <c r="C499" s="117" t="s">
        <v>2786</v>
      </c>
      <c r="D499" s="123" t="s">
        <v>2758</v>
      </c>
      <c r="E499" s="123" t="s">
        <v>2748</v>
      </c>
      <c r="F499" s="123">
        <v>40330</v>
      </c>
      <c r="G499" s="124">
        <v>43983</v>
      </c>
      <c r="H499" s="116">
        <v>112.04</v>
      </c>
      <c r="I499" s="116" t="s">
        <v>13</v>
      </c>
      <c r="J499">
        <v>5871.2379300000002</v>
      </c>
      <c r="K499" s="116">
        <v>1139059.1528700001</v>
      </c>
      <c r="L499" t="s">
        <v>13</v>
      </c>
      <c r="M499" s="116">
        <v>2020</v>
      </c>
      <c r="N499" t="s">
        <v>13</v>
      </c>
    </row>
    <row r="500" spans="1:14" x14ac:dyDescent="0.25">
      <c r="A500" s="116">
        <v>498</v>
      </c>
      <c r="B500" s="117" t="s">
        <v>5414</v>
      </c>
      <c r="C500" s="117" t="s">
        <v>2784</v>
      </c>
      <c r="D500" s="123" t="s">
        <v>2758</v>
      </c>
      <c r="E500" s="123" t="s">
        <v>2748</v>
      </c>
      <c r="F500" s="123">
        <v>40330</v>
      </c>
      <c r="G500" s="124">
        <v>43983</v>
      </c>
      <c r="H500" s="116">
        <v>1351.55</v>
      </c>
      <c r="I500" s="116" t="s">
        <v>13</v>
      </c>
      <c r="J500">
        <v>43279.707568999998</v>
      </c>
      <c r="K500" s="116">
        <v>12018108.0118</v>
      </c>
      <c r="L500" t="s">
        <v>13</v>
      </c>
      <c r="M500" s="116">
        <v>2020</v>
      </c>
      <c r="N500" t="s">
        <v>13</v>
      </c>
    </row>
    <row r="501" spans="1:14" x14ac:dyDescent="0.25">
      <c r="A501" s="116">
        <v>499</v>
      </c>
      <c r="B501" s="117" t="s">
        <v>5414</v>
      </c>
      <c r="C501" s="117" t="s">
        <v>2782</v>
      </c>
      <c r="D501" s="123" t="s">
        <v>2758</v>
      </c>
      <c r="E501" s="123" t="s">
        <v>2748</v>
      </c>
      <c r="F501" s="123">
        <v>40330</v>
      </c>
      <c r="G501" s="124">
        <v>43983</v>
      </c>
      <c r="H501" s="116">
        <v>763.5</v>
      </c>
      <c r="I501" s="116" t="s">
        <v>13</v>
      </c>
      <c r="J501">
        <v>28377.124551000001</v>
      </c>
      <c r="K501" s="116">
        <v>5990232.0126999998</v>
      </c>
      <c r="L501" t="s">
        <v>13</v>
      </c>
      <c r="M501" s="116">
        <v>2020</v>
      </c>
      <c r="N501" t="s">
        <v>13</v>
      </c>
    </row>
    <row r="502" spans="1:14" x14ac:dyDescent="0.25">
      <c r="A502" s="116">
        <v>500</v>
      </c>
      <c r="B502" s="117" t="s">
        <v>5414</v>
      </c>
      <c r="C502" s="117" t="s">
        <v>2779</v>
      </c>
      <c r="D502" s="123" t="s">
        <v>2758</v>
      </c>
      <c r="E502" s="123" t="s">
        <v>2748</v>
      </c>
      <c r="F502" s="123">
        <v>40330</v>
      </c>
      <c r="G502" s="124">
        <v>43983</v>
      </c>
      <c r="H502" s="116">
        <v>992.69</v>
      </c>
      <c r="I502" s="116" t="s">
        <v>13</v>
      </c>
      <c r="J502">
        <v>28894.133095000001</v>
      </c>
      <c r="K502" s="116">
        <v>6500369.3930099998</v>
      </c>
      <c r="L502" t="s">
        <v>13</v>
      </c>
      <c r="M502" s="116">
        <v>2020</v>
      </c>
      <c r="N502" t="s">
        <v>13</v>
      </c>
    </row>
    <row r="503" spans="1:14" x14ac:dyDescent="0.25">
      <c r="A503" s="116">
        <v>501</v>
      </c>
      <c r="B503" s="117" t="s">
        <v>5414</v>
      </c>
      <c r="C503" s="117" t="s">
        <v>2764</v>
      </c>
      <c r="D503" s="123" t="s">
        <v>2758</v>
      </c>
      <c r="E503" s="123" t="s">
        <v>2748</v>
      </c>
      <c r="F503" s="123">
        <v>40330</v>
      </c>
      <c r="G503" s="124">
        <v>43983</v>
      </c>
      <c r="H503" s="116">
        <v>80</v>
      </c>
      <c r="I503" s="116" t="s">
        <v>13</v>
      </c>
      <c r="J503">
        <v>3138.0581969999998</v>
      </c>
      <c r="K503" s="116">
        <v>557376.82477299997</v>
      </c>
      <c r="L503" t="s">
        <v>13</v>
      </c>
      <c r="M503" s="116">
        <v>2020</v>
      </c>
      <c r="N503" t="s">
        <v>2766</v>
      </c>
    </row>
    <row r="504" spans="1:14" x14ac:dyDescent="0.25">
      <c r="A504" s="116">
        <v>502</v>
      </c>
      <c r="B504" s="117" t="s">
        <v>5414</v>
      </c>
      <c r="C504" s="117" t="s">
        <v>2761</v>
      </c>
      <c r="D504" s="123" t="s">
        <v>2758</v>
      </c>
      <c r="E504" s="123" t="s">
        <v>2748</v>
      </c>
      <c r="F504" s="123">
        <v>40330</v>
      </c>
      <c r="G504" s="124">
        <v>43983</v>
      </c>
      <c r="H504" s="116">
        <v>630.61</v>
      </c>
      <c r="I504" s="116" t="s">
        <v>13</v>
      </c>
      <c r="J504">
        <v>23555.452440000001</v>
      </c>
      <c r="K504" s="116">
        <v>6409460.8498900002</v>
      </c>
      <c r="L504" t="s">
        <v>13</v>
      </c>
      <c r="M504" s="116">
        <v>2020</v>
      </c>
      <c r="N504" t="s">
        <v>13</v>
      </c>
    </row>
    <row r="505" spans="1:14" x14ac:dyDescent="0.25">
      <c r="A505" s="116">
        <v>503</v>
      </c>
      <c r="B505" s="117" t="s">
        <v>5414</v>
      </c>
      <c r="C505" s="117" t="s">
        <v>2757</v>
      </c>
      <c r="D505" s="123" t="s">
        <v>2758</v>
      </c>
      <c r="E505" s="123" t="s">
        <v>2748</v>
      </c>
      <c r="F505" s="123">
        <v>40330</v>
      </c>
      <c r="G505" s="124">
        <v>43983</v>
      </c>
      <c r="H505" s="116">
        <v>1029.5899999999999</v>
      </c>
      <c r="I505" s="116" t="s">
        <v>13</v>
      </c>
      <c r="J505">
        <v>20280.755862999998</v>
      </c>
      <c r="K505" s="116">
        <v>11915320.1402</v>
      </c>
      <c r="L505" t="s">
        <v>13</v>
      </c>
      <c r="M505" s="116">
        <v>2020</v>
      </c>
      <c r="N505" t="s">
        <v>13</v>
      </c>
    </row>
    <row r="506" spans="1:14" x14ac:dyDescent="0.25">
      <c r="A506" s="116">
        <v>504</v>
      </c>
      <c r="B506" s="117" t="s">
        <v>5414</v>
      </c>
      <c r="C506" s="117" t="s">
        <v>4207</v>
      </c>
      <c r="D506" s="123" t="s">
        <v>4209</v>
      </c>
      <c r="E506" s="123" t="s">
        <v>198</v>
      </c>
      <c r="F506" s="123">
        <v>41091</v>
      </c>
      <c r="G506" s="124">
        <v>44743</v>
      </c>
      <c r="H506" s="116">
        <v>20</v>
      </c>
      <c r="I506" s="116" t="s">
        <v>13</v>
      </c>
      <c r="J506">
        <v>1454.3778</v>
      </c>
      <c r="K506" s="116">
        <v>118161.553474</v>
      </c>
      <c r="L506" t="s">
        <v>13</v>
      </c>
      <c r="M506" s="116">
        <v>2022</v>
      </c>
      <c r="N506" t="s">
        <v>13</v>
      </c>
    </row>
    <row r="507" spans="1:14" x14ac:dyDescent="0.25">
      <c r="A507" s="116">
        <v>505</v>
      </c>
      <c r="B507" s="117" t="s">
        <v>5414</v>
      </c>
      <c r="C507" s="117" t="s">
        <v>4343</v>
      </c>
      <c r="D507" s="123" t="s">
        <v>4341</v>
      </c>
      <c r="E507" s="123" t="s">
        <v>198</v>
      </c>
      <c r="F507" s="123">
        <v>41214</v>
      </c>
      <c r="G507" s="124">
        <v>44866</v>
      </c>
      <c r="H507" s="116">
        <v>276.12</v>
      </c>
      <c r="I507" s="116" t="s">
        <v>13</v>
      </c>
      <c r="J507">
        <v>6002.4844000000003</v>
      </c>
      <c r="K507" s="116">
        <v>1258052.3894799999</v>
      </c>
      <c r="L507" t="s">
        <v>13</v>
      </c>
      <c r="M507" s="116">
        <v>2022</v>
      </c>
      <c r="N507" t="s">
        <v>13</v>
      </c>
    </row>
    <row r="508" spans="1:14" x14ac:dyDescent="0.25">
      <c r="A508" s="116">
        <v>506</v>
      </c>
      <c r="B508" s="117" t="s">
        <v>5414</v>
      </c>
      <c r="C508" s="117" t="s">
        <v>4340</v>
      </c>
      <c r="D508" s="123" t="s">
        <v>4341</v>
      </c>
      <c r="E508" s="123" t="s">
        <v>198</v>
      </c>
      <c r="F508" s="123">
        <v>41214</v>
      </c>
      <c r="G508" s="124">
        <v>44866</v>
      </c>
      <c r="H508" s="116">
        <v>160</v>
      </c>
      <c r="I508" s="116" t="s">
        <v>13</v>
      </c>
      <c r="J508">
        <v>4040.4948639999998</v>
      </c>
      <c r="K508" s="116">
        <v>1025815.67818</v>
      </c>
      <c r="L508" t="s">
        <v>13</v>
      </c>
      <c r="M508" s="116">
        <v>2022</v>
      </c>
      <c r="N508" t="s">
        <v>13</v>
      </c>
    </row>
    <row r="509" spans="1:14" x14ac:dyDescent="0.25">
      <c r="A509" s="116">
        <v>507</v>
      </c>
      <c r="B509" s="117" t="s">
        <v>5414</v>
      </c>
      <c r="C509" s="117" t="s">
        <v>2598</v>
      </c>
      <c r="D509" s="123" t="s">
        <v>1575</v>
      </c>
      <c r="E509" s="123" t="s">
        <v>198</v>
      </c>
      <c r="F509" s="123">
        <v>39934</v>
      </c>
      <c r="G509" s="124">
        <v>43586</v>
      </c>
      <c r="H509" s="116">
        <v>2060</v>
      </c>
      <c r="I509" s="116" t="s">
        <v>13</v>
      </c>
      <c r="J509">
        <v>19388.0304</v>
      </c>
      <c r="K509" s="116">
        <v>12443240.4266</v>
      </c>
      <c r="L509" t="s">
        <v>13</v>
      </c>
      <c r="M509" s="116">
        <v>2019</v>
      </c>
      <c r="N509" t="s">
        <v>13</v>
      </c>
    </row>
    <row r="510" spans="1:14" hidden="1" x14ac:dyDescent="0.25">
      <c r="A510" s="116">
        <v>508</v>
      </c>
      <c r="B510" s="117" t="s">
        <v>5414</v>
      </c>
      <c r="C510" s="117" t="s">
        <v>2361</v>
      </c>
      <c r="D510" s="123" t="s">
        <v>1575</v>
      </c>
      <c r="E510" s="123" t="s">
        <v>198</v>
      </c>
      <c r="F510" s="123">
        <v>39753</v>
      </c>
      <c r="G510" s="124">
        <v>43405</v>
      </c>
      <c r="H510" s="116">
        <v>960</v>
      </c>
      <c r="I510" s="116" t="s">
        <v>13</v>
      </c>
      <c r="J510">
        <v>17124.749973000002</v>
      </c>
      <c r="K510" s="116">
        <v>5807200.8578399997</v>
      </c>
      <c r="L510" t="s">
        <v>13</v>
      </c>
      <c r="M510" s="116">
        <v>2018</v>
      </c>
      <c r="N510" t="s">
        <v>13</v>
      </c>
    </row>
    <row r="511" spans="1:14" hidden="1" x14ac:dyDescent="0.25">
      <c r="A511" s="116">
        <v>509</v>
      </c>
      <c r="B511" s="117" t="s">
        <v>5414</v>
      </c>
      <c r="C511" s="117" t="s">
        <v>2358</v>
      </c>
      <c r="D511" s="123" t="s">
        <v>1575</v>
      </c>
      <c r="E511" s="123" t="s">
        <v>198</v>
      </c>
      <c r="F511" s="123">
        <v>39753</v>
      </c>
      <c r="G511" s="124">
        <v>43405</v>
      </c>
      <c r="H511" s="116">
        <v>1765.55</v>
      </c>
      <c r="I511" s="116" t="s">
        <v>13</v>
      </c>
      <c r="J511">
        <v>17089.085823000001</v>
      </c>
      <c r="K511" s="116">
        <v>7899448.6467300002</v>
      </c>
      <c r="L511" t="s">
        <v>13</v>
      </c>
      <c r="M511" s="116">
        <v>2018</v>
      </c>
      <c r="N511" t="s">
        <v>13</v>
      </c>
    </row>
    <row r="512" spans="1:14" hidden="1" x14ac:dyDescent="0.25">
      <c r="A512" s="116">
        <v>510</v>
      </c>
      <c r="B512" s="117" t="s">
        <v>5414</v>
      </c>
      <c r="C512" s="117" t="s">
        <v>2354</v>
      </c>
      <c r="D512" s="123" t="s">
        <v>1575</v>
      </c>
      <c r="E512" s="123" t="s">
        <v>198</v>
      </c>
      <c r="F512" s="123">
        <v>39753</v>
      </c>
      <c r="G512" s="124">
        <v>43405</v>
      </c>
      <c r="H512" s="116">
        <v>1046.45</v>
      </c>
      <c r="I512" s="116" t="s">
        <v>13</v>
      </c>
      <c r="J512">
        <v>10750.278211999999</v>
      </c>
      <c r="K512" s="116">
        <v>6684931.9808099996</v>
      </c>
      <c r="L512" t="s">
        <v>13</v>
      </c>
      <c r="M512" s="116">
        <v>2018</v>
      </c>
      <c r="N512" t="s">
        <v>13</v>
      </c>
    </row>
    <row r="513" spans="1:14" hidden="1" x14ac:dyDescent="0.25">
      <c r="A513" s="116">
        <v>511</v>
      </c>
      <c r="B513" s="117" t="s">
        <v>5414</v>
      </c>
      <c r="C513" s="117" t="s">
        <v>2349</v>
      </c>
      <c r="D513" s="123" t="s">
        <v>1575</v>
      </c>
      <c r="E513" s="123" t="s">
        <v>198</v>
      </c>
      <c r="F513" s="123">
        <v>39753</v>
      </c>
      <c r="G513" s="124">
        <v>43405</v>
      </c>
      <c r="H513" s="116">
        <v>1137.97</v>
      </c>
      <c r="I513" s="116" t="s">
        <v>13</v>
      </c>
      <c r="J513">
        <v>16914.4584</v>
      </c>
      <c r="K513" s="116">
        <v>7035716.8160499996</v>
      </c>
      <c r="L513" t="s">
        <v>13</v>
      </c>
      <c r="M513" s="116">
        <v>2018</v>
      </c>
      <c r="N513" t="s">
        <v>13</v>
      </c>
    </row>
    <row r="514" spans="1:14" x14ac:dyDescent="0.25">
      <c r="A514" s="116">
        <v>512</v>
      </c>
      <c r="B514" s="117" t="s">
        <v>5414</v>
      </c>
      <c r="C514" s="117" t="s">
        <v>2812</v>
      </c>
      <c r="D514" s="123" t="s">
        <v>2814</v>
      </c>
      <c r="E514" s="123" t="s">
        <v>198</v>
      </c>
      <c r="F514" s="123">
        <v>40330</v>
      </c>
      <c r="G514" s="124">
        <v>43983</v>
      </c>
      <c r="H514" s="116">
        <v>40</v>
      </c>
      <c r="I514" s="116" t="s">
        <v>13</v>
      </c>
      <c r="J514">
        <v>1453.9526000000001</v>
      </c>
      <c r="K514" s="116">
        <v>119013.236339</v>
      </c>
      <c r="L514" t="s">
        <v>13</v>
      </c>
      <c r="M514" s="116">
        <v>2020</v>
      </c>
      <c r="N514" t="s">
        <v>13</v>
      </c>
    </row>
    <row r="515" spans="1:14" x14ac:dyDescent="0.25">
      <c r="A515" s="116">
        <v>513</v>
      </c>
      <c r="B515" s="117" t="s">
        <v>5414</v>
      </c>
      <c r="C515" s="117" t="s">
        <v>4356</v>
      </c>
      <c r="D515" s="123" t="s">
        <v>4357</v>
      </c>
      <c r="E515" s="123" t="s">
        <v>15</v>
      </c>
      <c r="F515" s="123">
        <v>41214</v>
      </c>
      <c r="G515" s="124">
        <v>44866</v>
      </c>
      <c r="H515" s="116">
        <v>2100.9299999999998</v>
      </c>
      <c r="I515" s="116" t="s">
        <v>13</v>
      </c>
      <c r="J515">
        <v>31112.586727999998</v>
      </c>
      <c r="K515" s="116">
        <v>11565446.5198</v>
      </c>
      <c r="L515" t="s">
        <v>13</v>
      </c>
      <c r="M515" s="116">
        <v>2022</v>
      </c>
      <c r="N515" t="s">
        <v>13</v>
      </c>
    </row>
    <row r="516" spans="1:14" x14ac:dyDescent="0.25">
      <c r="A516" s="116">
        <v>514</v>
      </c>
      <c r="B516" s="117" t="s">
        <v>5414</v>
      </c>
      <c r="C516" s="117" t="s">
        <v>4349</v>
      </c>
      <c r="D516" s="123" t="s">
        <v>4346</v>
      </c>
      <c r="E516" s="123" t="s">
        <v>15</v>
      </c>
      <c r="F516" s="123">
        <v>41214</v>
      </c>
      <c r="G516" s="124">
        <v>44866</v>
      </c>
      <c r="H516" s="116">
        <v>1892.89</v>
      </c>
      <c r="I516" s="116" t="s">
        <v>13</v>
      </c>
      <c r="J516">
        <v>18186.677638000001</v>
      </c>
      <c r="K516" s="116">
        <v>11078926.889</v>
      </c>
      <c r="L516" t="s">
        <v>13</v>
      </c>
      <c r="M516" s="116">
        <v>2022</v>
      </c>
      <c r="N516" t="s">
        <v>13</v>
      </c>
    </row>
    <row r="517" spans="1:14" x14ac:dyDescent="0.25">
      <c r="A517" s="116">
        <v>515</v>
      </c>
      <c r="B517" s="117" t="s">
        <v>5414</v>
      </c>
      <c r="C517" s="117" t="s">
        <v>4345</v>
      </c>
      <c r="D517" s="123" t="s">
        <v>4346</v>
      </c>
      <c r="E517" s="123" t="s">
        <v>15</v>
      </c>
      <c r="F517" s="123">
        <v>41214</v>
      </c>
      <c r="G517" s="124">
        <v>44866</v>
      </c>
      <c r="H517" s="116">
        <v>2066.9899999999998</v>
      </c>
      <c r="I517" s="116" t="s">
        <v>13</v>
      </c>
      <c r="J517">
        <v>20404.540932</v>
      </c>
      <c r="K517" s="116">
        <v>9887450.4555900004</v>
      </c>
      <c r="L517" t="s">
        <v>13</v>
      </c>
      <c r="M517" s="116">
        <v>2022</v>
      </c>
      <c r="N517" t="s">
        <v>13</v>
      </c>
    </row>
    <row r="518" spans="1:14" x14ac:dyDescent="0.25">
      <c r="A518" s="116">
        <v>516</v>
      </c>
      <c r="B518" s="117" t="s">
        <v>5414</v>
      </c>
      <c r="C518" s="117" t="s">
        <v>4351</v>
      </c>
      <c r="D518" s="123" t="s">
        <v>4346</v>
      </c>
      <c r="E518" s="123" t="s">
        <v>15</v>
      </c>
      <c r="F518" s="123">
        <v>41214</v>
      </c>
      <c r="G518" s="124">
        <v>44866</v>
      </c>
      <c r="H518" s="116">
        <v>2123.91</v>
      </c>
      <c r="I518" s="116" t="s">
        <v>13</v>
      </c>
      <c r="J518">
        <v>27438.447384999999</v>
      </c>
      <c r="K518" s="116">
        <v>12522643.23</v>
      </c>
      <c r="L518" t="s">
        <v>13</v>
      </c>
      <c r="M518" s="116">
        <v>2022</v>
      </c>
      <c r="N518" t="s">
        <v>13</v>
      </c>
    </row>
    <row r="519" spans="1:14" hidden="1" x14ac:dyDescent="0.25">
      <c r="A519" s="116">
        <v>517</v>
      </c>
      <c r="B519" s="117" t="s">
        <v>5414</v>
      </c>
      <c r="C519" s="117" t="s">
        <v>2370</v>
      </c>
      <c r="D519" s="123" t="s">
        <v>209</v>
      </c>
      <c r="E519" s="123" t="s">
        <v>15</v>
      </c>
      <c r="F519" s="123">
        <v>39753</v>
      </c>
      <c r="G519" s="124">
        <v>43405</v>
      </c>
      <c r="H519" s="116">
        <v>2272.88</v>
      </c>
      <c r="I519" s="116" t="s">
        <v>13</v>
      </c>
      <c r="J519">
        <v>26732.775949999999</v>
      </c>
      <c r="K519" s="116">
        <v>12588937.644200001</v>
      </c>
      <c r="L519" t="s">
        <v>13</v>
      </c>
      <c r="M519" s="116">
        <v>2018</v>
      </c>
      <c r="N519" t="s">
        <v>13</v>
      </c>
    </row>
    <row r="520" spans="1:14" hidden="1" x14ac:dyDescent="0.25">
      <c r="A520" s="116">
        <v>518</v>
      </c>
      <c r="B520" s="117" t="s">
        <v>5414</v>
      </c>
      <c r="C520" s="117" t="s">
        <v>2374</v>
      </c>
      <c r="D520" s="123" t="s">
        <v>209</v>
      </c>
      <c r="E520" s="123" t="s">
        <v>15</v>
      </c>
      <c r="F520" s="123">
        <v>39753</v>
      </c>
      <c r="G520" s="124">
        <v>43405</v>
      </c>
      <c r="H520" s="116">
        <v>1493.85</v>
      </c>
      <c r="I520" s="116" t="s">
        <v>13</v>
      </c>
      <c r="J520">
        <v>15289.957759000001</v>
      </c>
      <c r="K520" s="116">
        <v>8170592.9928099997</v>
      </c>
      <c r="L520" t="s">
        <v>13</v>
      </c>
      <c r="M520" s="116">
        <v>2018</v>
      </c>
      <c r="N520" t="s">
        <v>13</v>
      </c>
    </row>
    <row r="521" spans="1:14" hidden="1" x14ac:dyDescent="0.25">
      <c r="A521" s="116">
        <v>519</v>
      </c>
      <c r="B521" s="117" t="s">
        <v>5414</v>
      </c>
      <c r="C521" s="117" t="s">
        <v>2378</v>
      </c>
      <c r="D521" s="123" t="s">
        <v>209</v>
      </c>
      <c r="E521" s="123" t="s">
        <v>15</v>
      </c>
      <c r="F521" s="123">
        <v>39753</v>
      </c>
      <c r="G521" s="124">
        <v>43405</v>
      </c>
      <c r="H521" s="116">
        <v>183.19</v>
      </c>
      <c r="I521" s="116" t="s">
        <v>13</v>
      </c>
      <c r="J521">
        <v>6150.5149080000001</v>
      </c>
      <c r="K521" s="116">
        <v>987645.75195599999</v>
      </c>
      <c r="L521" t="s">
        <v>13</v>
      </c>
      <c r="M521" s="116">
        <v>2018</v>
      </c>
      <c r="N521" t="s">
        <v>13</v>
      </c>
    </row>
    <row r="522" spans="1:14" x14ac:dyDescent="0.25">
      <c r="A522" s="116">
        <v>520</v>
      </c>
      <c r="B522" s="117" t="s">
        <v>5414</v>
      </c>
      <c r="C522" s="117" t="s">
        <v>4521</v>
      </c>
      <c r="D522" s="123" t="s">
        <v>209</v>
      </c>
      <c r="E522" s="123" t="s">
        <v>15</v>
      </c>
      <c r="F522" s="123">
        <v>41365</v>
      </c>
      <c r="G522" s="124">
        <v>45017</v>
      </c>
      <c r="H522" s="116">
        <v>2178.17</v>
      </c>
      <c r="I522" s="116" t="s">
        <v>13</v>
      </c>
      <c r="J522">
        <v>14701.797014</v>
      </c>
      <c r="K522" s="116">
        <v>11630341.6252</v>
      </c>
      <c r="L522" t="s">
        <v>13</v>
      </c>
      <c r="M522" s="116">
        <v>2023</v>
      </c>
      <c r="N522" t="s">
        <v>13</v>
      </c>
    </row>
    <row r="523" spans="1:14" x14ac:dyDescent="0.25">
      <c r="A523" s="116">
        <v>521</v>
      </c>
      <c r="B523" s="117" t="s">
        <v>5414</v>
      </c>
      <c r="C523" s="117" t="s">
        <v>4525</v>
      </c>
      <c r="D523" s="123" t="s">
        <v>209</v>
      </c>
      <c r="E523" s="123" t="s">
        <v>15</v>
      </c>
      <c r="F523" s="123">
        <v>41365</v>
      </c>
      <c r="G523" s="124">
        <v>45017</v>
      </c>
      <c r="H523" s="116">
        <v>478.74</v>
      </c>
      <c r="I523" s="116" t="s">
        <v>13</v>
      </c>
      <c r="J523">
        <v>7642.887933</v>
      </c>
      <c r="K523" s="116">
        <v>2551900.1996800001</v>
      </c>
      <c r="L523" t="s">
        <v>13</v>
      </c>
      <c r="M523" s="116">
        <v>2023</v>
      </c>
      <c r="N523" t="s">
        <v>13</v>
      </c>
    </row>
    <row r="524" spans="1:14" x14ac:dyDescent="0.25">
      <c r="A524" s="116">
        <v>522</v>
      </c>
      <c r="B524" s="117" t="s">
        <v>5414</v>
      </c>
      <c r="C524" s="117" t="s">
        <v>4532</v>
      </c>
      <c r="D524" s="123" t="s">
        <v>209</v>
      </c>
      <c r="E524" s="123" t="s">
        <v>15</v>
      </c>
      <c r="F524" s="123">
        <v>41365</v>
      </c>
      <c r="G524" s="124">
        <v>45017</v>
      </c>
      <c r="H524" s="116">
        <v>884.96</v>
      </c>
      <c r="I524" s="116" t="s">
        <v>13</v>
      </c>
      <c r="J524">
        <v>9408.336765</v>
      </c>
      <c r="K524" s="116">
        <v>5444702.6868599998</v>
      </c>
      <c r="L524" t="s">
        <v>13</v>
      </c>
      <c r="M524" s="116">
        <v>2023</v>
      </c>
      <c r="N524" t="s">
        <v>13</v>
      </c>
    </row>
    <row r="525" spans="1:14" x14ac:dyDescent="0.25">
      <c r="A525" s="116">
        <v>523</v>
      </c>
      <c r="B525" s="117" t="s">
        <v>5414</v>
      </c>
      <c r="C525" s="117" t="s">
        <v>4541</v>
      </c>
      <c r="D525" s="123" t="s">
        <v>209</v>
      </c>
      <c r="E525" s="123" t="s">
        <v>15</v>
      </c>
      <c r="F525" s="123">
        <v>41365</v>
      </c>
      <c r="G525" s="124">
        <v>45017</v>
      </c>
      <c r="H525" s="116">
        <v>150</v>
      </c>
      <c r="I525" s="116" t="s">
        <v>13</v>
      </c>
      <c r="J525">
        <v>3693.7561270000001</v>
      </c>
      <c r="K525" s="116">
        <v>821113.57471800002</v>
      </c>
      <c r="L525" t="s">
        <v>13</v>
      </c>
      <c r="M525" s="116">
        <v>2023</v>
      </c>
      <c r="N525" t="s">
        <v>13</v>
      </c>
    </row>
    <row r="526" spans="1:14" x14ac:dyDescent="0.25">
      <c r="A526" s="116">
        <v>524</v>
      </c>
      <c r="B526" s="117" t="s">
        <v>5414</v>
      </c>
      <c r="C526" s="117" t="s">
        <v>4549</v>
      </c>
      <c r="D526" s="123" t="s">
        <v>209</v>
      </c>
      <c r="E526" s="123" t="s">
        <v>15</v>
      </c>
      <c r="F526" s="123">
        <v>41365</v>
      </c>
      <c r="G526" s="124">
        <v>45017</v>
      </c>
      <c r="H526" s="116">
        <v>116</v>
      </c>
      <c r="I526" s="116" t="s">
        <v>13</v>
      </c>
      <c r="J526">
        <v>3220.3531130000001</v>
      </c>
      <c r="K526" s="116">
        <v>630892.191659</v>
      </c>
      <c r="L526" t="s">
        <v>13</v>
      </c>
      <c r="M526" s="116">
        <v>2023</v>
      </c>
      <c r="N526" t="s">
        <v>13</v>
      </c>
    </row>
    <row r="527" spans="1:14" x14ac:dyDescent="0.25">
      <c r="A527" s="116">
        <v>525</v>
      </c>
      <c r="B527" s="117" t="s">
        <v>5414</v>
      </c>
      <c r="C527" s="117" t="s">
        <v>4528</v>
      </c>
      <c r="D527" s="123" t="s">
        <v>209</v>
      </c>
      <c r="E527" s="123" t="s">
        <v>15</v>
      </c>
      <c r="F527" s="123">
        <v>41365</v>
      </c>
      <c r="G527" s="124">
        <v>45017</v>
      </c>
      <c r="H527" s="116">
        <v>1450.84</v>
      </c>
      <c r="I527" s="116" t="s">
        <v>13</v>
      </c>
      <c r="J527">
        <v>16392.885982</v>
      </c>
      <c r="K527" s="116">
        <v>7926087.1295699999</v>
      </c>
      <c r="L527" t="s">
        <v>13</v>
      </c>
      <c r="M527" s="116">
        <v>2023</v>
      </c>
      <c r="N527" t="s">
        <v>13</v>
      </c>
    </row>
    <row r="528" spans="1:14" x14ac:dyDescent="0.25">
      <c r="A528" s="116">
        <v>526</v>
      </c>
      <c r="B528" s="117" t="s">
        <v>5414</v>
      </c>
      <c r="C528" s="117" t="s">
        <v>4544</v>
      </c>
      <c r="D528" s="123" t="s">
        <v>4546</v>
      </c>
      <c r="E528" s="123" t="s">
        <v>15</v>
      </c>
      <c r="F528" s="123">
        <v>41365</v>
      </c>
      <c r="G528" s="124">
        <v>45017</v>
      </c>
      <c r="H528" s="116">
        <v>1015</v>
      </c>
      <c r="I528" s="116" t="s">
        <v>13</v>
      </c>
      <c r="J528">
        <v>11730.258798000001</v>
      </c>
      <c r="K528" s="116">
        <v>4998459.5001699999</v>
      </c>
      <c r="L528" t="s">
        <v>13</v>
      </c>
      <c r="M528" s="116">
        <v>2023</v>
      </c>
      <c r="N528" t="s">
        <v>13</v>
      </c>
    </row>
    <row r="529" spans="1:14" hidden="1" x14ac:dyDescent="0.25">
      <c r="A529" s="116">
        <v>527</v>
      </c>
      <c r="B529" s="117" t="s">
        <v>5414</v>
      </c>
      <c r="C529" s="117" t="s">
        <v>2381</v>
      </c>
      <c r="D529" s="123" t="s">
        <v>420</v>
      </c>
      <c r="E529" s="123" t="s">
        <v>15</v>
      </c>
      <c r="F529" s="123">
        <v>39753</v>
      </c>
      <c r="G529" s="124">
        <v>43405</v>
      </c>
      <c r="H529" s="116">
        <v>1237.06</v>
      </c>
      <c r="I529" s="116" t="s">
        <v>13</v>
      </c>
      <c r="J529">
        <v>12676.793659999999</v>
      </c>
      <c r="K529" s="116">
        <v>6701741.3303100001</v>
      </c>
      <c r="L529" t="s">
        <v>13</v>
      </c>
      <c r="M529" s="116">
        <v>2018</v>
      </c>
      <c r="N529" t="s">
        <v>13</v>
      </c>
    </row>
    <row r="530" spans="1:14" x14ac:dyDescent="0.25">
      <c r="A530" s="116">
        <v>528</v>
      </c>
      <c r="B530" s="117" t="s">
        <v>5414</v>
      </c>
      <c r="C530" s="117" t="s">
        <v>2610</v>
      </c>
      <c r="D530" s="123" t="s">
        <v>420</v>
      </c>
      <c r="E530" s="123" t="s">
        <v>15</v>
      </c>
      <c r="F530" s="123">
        <v>39934</v>
      </c>
      <c r="G530" s="124">
        <v>43586</v>
      </c>
      <c r="H530" s="116">
        <v>1072.2</v>
      </c>
      <c r="I530" s="116" t="s">
        <v>13</v>
      </c>
      <c r="J530">
        <v>13188.077969</v>
      </c>
      <c r="K530" s="116">
        <v>6016309.0105400002</v>
      </c>
      <c r="L530" t="s">
        <v>13</v>
      </c>
      <c r="M530" s="116">
        <v>2019</v>
      </c>
      <c r="N530" t="s">
        <v>13</v>
      </c>
    </row>
    <row r="531" spans="1:14" x14ac:dyDescent="0.25">
      <c r="A531" s="116">
        <v>529</v>
      </c>
      <c r="B531" s="117" t="s">
        <v>5414</v>
      </c>
      <c r="C531" s="117" t="s">
        <v>2614</v>
      </c>
      <c r="D531" s="123" t="s">
        <v>420</v>
      </c>
      <c r="E531" s="123" t="s">
        <v>15</v>
      </c>
      <c r="F531" s="123">
        <v>39934</v>
      </c>
      <c r="G531" s="124">
        <v>43586</v>
      </c>
      <c r="H531" s="116">
        <v>2177.75</v>
      </c>
      <c r="I531" s="116" t="s">
        <v>13</v>
      </c>
      <c r="J531">
        <v>18471.172802000001</v>
      </c>
      <c r="K531" s="116">
        <v>11759508.1031</v>
      </c>
      <c r="L531" t="s">
        <v>13</v>
      </c>
      <c r="M531" s="116">
        <v>2019</v>
      </c>
      <c r="N531" t="s">
        <v>13</v>
      </c>
    </row>
    <row r="532" spans="1:14" x14ac:dyDescent="0.25">
      <c r="A532" s="116">
        <v>530</v>
      </c>
      <c r="B532" s="117" t="s">
        <v>5414</v>
      </c>
      <c r="C532" s="117" t="s">
        <v>2621</v>
      </c>
      <c r="D532" s="123" t="s">
        <v>420</v>
      </c>
      <c r="E532" s="123" t="s">
        <v>15</v>
      </c>
      <c r="F532" s="123">
        <v>39934</v>
      </c>
      <c r="G532" s="124">
        <v>43586</v>
      </c>
      <c r="H532" s="116">
        <v>2135.0100000000002</v>
      </c>
      <c r="I532" s="116" t="s">
        <v>13</v>
      </c>
      <c r="J532">
        <v>30264.125796</v>
      </c>
      <c r="K532" s="116">
        <v>11738299.3057</v>
      </c>
      <c r="L532" t="s">
        <v>13</v>
      </c>
      <c r="M532" s="116">
        <v>2019</v>
      </c>
      <c r="N532" t="s">
        <v>13</v>
      </c>
    </row>
    <row r="533" spans="1:14" x14ac:dyDescent="0.25">
      <c r="A533" s="116">
        <v>531</v>
      </c>
      <c r="B533" s="117" t="s">
        <v>5414</v>
      </c>
      <c r="C533" s="117" t="s">
        <v>2623</v>
      </c>
      <c r="D533" s="123" t="s">
        <v>420</v>
      </c>
      <c r="E533" s="123" t="s">
        <v>15</v>
      </c>
      <c r="F533" s="123">
        <v>39934</v>
      </c>
      <c r="G533" s="124">
        <v>43586</v>
      </c>
      <c r="H533" s="116">
        <v>1673.53</v>
      </c>
      <c r="I533" s="116" t="s">
        <v>13</v>
      </c>
      <c r="J533">
        <v>19833.709668</v>
      </c>
      <c r="K533" s="116">
        <v>9888877.4025199991</v>
      </c>
      <c r="L533" t="s">
        <v>13</v>
      </c>
      <c r="M533" s="116">
        <v>2019</v>
      </c>
      <c r="N533" t="s">
        <v>13</v>
      </c>
    </row>
    <row r="534" spans="1:14" x14ac:dyDescent="0.25">
      <c r="A534" s="116">
        <v>532</v>
      </c>
      <c r="B534" s="117" t="s">
        <v>5414</v>
      </c>
      <c r="C534" s="117" t="s">
        <v>2625</v>
      </c>
      <c r="D534" s="123" t="s">
        <v>420</v>
      </c>
      <c r="E534" s="123" t="s">
        <v>15</v>
      </c>
      <c r="F534" s="123">
        <v>39934</v>
      </c>
      <c r="G534" s="124">
        <v>43586</v>
      </c>
      <c r="H534" s="116">
        <v>2273.08</v>
      </c>
      <c r="I534" s="116" t="s">
        <v>13</v>
      </c>
      <c r="J534">
        <v>22028.103050999998</v>
      </c>
      <c r="K534" s="116">
        <v>17366079.234200001</v>
      </c>
      <c r="L534" t="s">
        <v>13</v>
      </c>
      <c r="M534" s="116">
        <v>2019</v>
      </c>
      <c r="N534" t="s">
        <v>13</v>
      </c>
    </row>
    <row r="535" spans="1:14" x14ac:dyDescent="0.25">
      <c r="A535" s="116">
        <v>533</v>
      </c>
      <c r="B535" s="117" t="s">
        <v>5414</v>
      </c>
      <c r="C535" s="117" t="s">
        <v>4517</v>
      </c>
      <c r="D535" s="123" t="s">
        <v>582</v>
      </c>
      <c r="E535" s="123" t="s">
        <v>15</v>
      </c>
      <c r="F535" s="123">
        <v>41365</v>
      </c>
      <c r="G535" s="124">
        <v>45017</v>
      </c>
      <c r="H535" s="116">
        <v>177.77</v>
      </c>
      <c r="I535" s="116" t="s">
        <v>13</v>
      </c>
      <c r="J535">
        <v>6986.2077170000002</v>
      </c>
      <c r="K535" s="116">
        <v>982430.61665900005</v>
      </c>
      <c r="L535" t="s">
        <v>13</v>
      </c>
      <c r="M535" s="116">
        <v>2023</v>
      </c>
      <c r="N535" t="s">
        <v>13</v>
      </c>
    </row>
    <row r="536" spans="1:14" x14ac:dyDescent="0.25">
      <c r="A536" s="116">
        <v>534</v>
      </c>
      <c r="B536" s="117" t="s">
        <v>5414</v>
      </c>
      <c r="C536" s="117" t="s">
        <v>3254</v>
      </c>
      <c r="D536" s="123" t="s">
        <v>37</v>
      </c>
      <c r="E536" s="123" t="s">
        <v>15</v>
      </c>
      <c r="F536" s="123">
        <v>40603</v>
      </c>
      <c r="G536" s="124">
        <v>44256</v>
      </c>
      <c r="H536" s="116">
        <v>274.89</v>
      </c>
      <c r="I536" s="116" t="s">
        <v>13</v>
      </c>
      <c r="J536">
        <v>7427.7539370000004</v>
      </c>
      <c r="K536" s="116">
        <v>1512453.6159600001</v>
      </c>
      <c r="L536" t="s">
        <v>13</v>
      </c>
      <c r="M536" s="116">
        <v>2021</v>
      </c>
      <c r="N536" t="s">
        <v>13</v>
      </c>
    </row>
    <row r="537" spans="1:14" x14ac:dyDescent="0.25">
      <c r="A537" s="116">
        <v>535</v>
      </c>
      <c r="B537" s="117" t="s">
        <v>5414</v>
      </c>
      <c r="C537" s="117" t="s">
        <v>2603</v>
      </c>
      <c r="D537" s="123" t="s">
        <v>5429</v>
      </c>
      <c r="E537" s="123" t="s">
        <v>15</v>
      </c>
      <c r="F537" s="123">
        <v>39934</v>
      </c>
      <c r="G537" s="124">
        <v>43586</v>
      </c>
      <c r="H537" s="116">
        <v>169.1</v>
      </c>
      <c r="I537" s="116" t="s">
        <v>13</v>
      </c>
      <c r="J537">
        <v>6634.580688</v>
      </c>
      <c r="K537" s="116">
        <v>945939.73659900005</v>
      </c>
      <c r="L537" t="s">
        <v>13</v>
      </c>
      <c r="M537" s="116">
        <v>2019</v>
      </c>
      <c r="N537" t="s">
        <v>13</v>
      </c>
    </row>
    <row r="538" spans="1:14" x14ac:dyDescent="0.25">
      <c r="A538" s="116">
        <v>536</v>
      </c>
      <c r="B538" s="117" t="s">
        <v>5414</v>
      </c>
      <c r="C538" s="117" t="s">
        <v>3081</v>
      </c>
      <c r="D538" s="123" t="s">
        <v>866</v>
      </c>
      <c r="E538" s="123" t="s">
        <v>15</v>
      </c>
      <c r="F538" s="123">
        <v>40452</v>
      </c>
      <c r="G538" s="124">
        <v>44105</v>
      </c>
      <c r="H538" s="116">
        <v>249</v>
      </c>
      <c r="I538" s="116" t="s">
        <v>13</v>
      </c>
      <c r="J538">
        <v>7686.2229180000004</v>
      </c>
      <c r="K538" s="116">
        <v>1401829.9209</v>
      </c>
      <c r="L538" t="s">
        <v>13</v>
      </c>
      <c r="M538" s="116">
        <v>2020</v>
      </c>
      <c r="N538" t="s">
        <v>13</v>
      </c>
    </row>
    <row r="539" spans="1:14" x14ac:dyDescent="0.25">
      <c r="A539" s="116">
        <v>537</v>
      </c>
      <c r="B539" s="117" t="s">
        <v>5414</v>
      </c>
      <c r="C539" s="117" t="s">
        <v>2607</v>
      </c>
      <c r="D539" s="123" t="s">
        <v>862</v>
      </c>
      <c r="E539" s="123" t="s">
        <v>15</v>
      </c>
      <c r="F539" s="123">
        <v>39934</v>
      </c>
      <c r="G539" s="124">
        <v>43586</v>
      </c>
      <c r="H539" s="116">
        <v>26.73</v>
      </c>
      <c r="I539" s="116" t="s">
        <v>13</v>
      </c>
      <c r="J539">
        <v>1887.507654</v>
      </c>
      <c r="K539" s="116">
        <v>150997.18154399999</v>
      </c>
      <c r="L539" t="s">
        <v>13</v>
      </c>
      <c r="M539" s="116">
        <v>2019</v>
      </c>
      <c r="N539" t="s">
        <v>13</v>
      </c>
    </row>
    <row r="540" spans="1:14" x14ac:dyDescent="0.25">
      <c r="A540" s="116">
        <v>538</v>
      </c>
      <c r="B540" s="117" t="s">
        <v>5414</v>
      </c>
      <c r="C540" s="117" t="s">
        <v>2618</v>
      </c>
      <c r="D540" s="123" t="s">
        <v>862</v>
      </c>
      <c r="E540" s="123" t="s">
        <v>15</v>
      </c>
      <c r="F540" s="123">
        <v>39934</v>
      </c>
      <c r="G540" s="124">
        <v>43586</v>
      </c>
      <c r="H540" s="116">
        <v>366</v>
      </c>
      <c r="I540" s="116" t="s">
        <v>13</v>
      </c>
      <c r="J540">
        <v>23918.351733</v>
      </c>
      <c r="K540" s="116">
        <v>7673793.4064999996</v>
      </c>
      <c r="L540" t="s">
        <v>13</v>
      </c>
      <c r="M540" s="116">
        <v>2019</v>
      </c>
      <c r="N540" t="s">
        <v>13</v>
      </c>
    </row>
    <row r="541" spans="1:14" x14ac:dyDescent="0.25">
      <c r="A541" s="116">
        <v>539</v>
      </c>
      <c r="B541" s="117" t="s">
        <v>5414</v>
      </c>
      <c r="C541" s="117" t="s">
        <v>2821</v>
      </c>
      <c r="D541" s="123" t="s">
        <v>862</v>
      </c>
      <c r="E541" s="123" t="s">
        <v>15</v>
      </c>
      <c r="F541" s="123">
        <v>40330</v>
      </c>
      <c r="G541" s="124">
        <v>43983</v>
      </c>
      <c r="H541" s="116">
        <v>544.82000000000005</v>
      </c>
      <c r="I541" s="116" t="s">
        <v>13</v>
      </c>
      <c r="J541">
        <v>7799.3747320000002</v>
      </c>
      <c r="K541" s="116">
        <v>3063312.78254</v>
      </c>
      <c r="L541" t="s">
        <v>13</v>
      </c>
      <c r="M541" s="116">
        <v>2020</v>
      </c>
      <c r="N541" t="s">
        <v>13</v>
      </c>
    </row>
    <row r="542" spans="1:14" x14ac:dyDescent="0.25">
      <c r="A542" s="116">
        <v>540</v>
      </c>
      <c r="B542" s="117" t="s">
        <v>5414</v>
      </c>
      <c r="C542" s="117" t="s">
        <v>3165</v>
      </c>
      <c r="D542" s="123" t="s">
        <v>862</v>
      </c>
      <c r="E542" s="123" t="s">
        <v>15</v>
      </c>
      <c r="F542" s="123">
        <v>40544</v>
      </c>
      <c r="G542" s="124">
        <v>44197</v>
      </c>
      <c r="H542" s="116">
        <v>170</v>
      </c>
      <c r="I542" s="116" t="s">
        <v>13</v>
      </c>
      <c r="J542">
        <v>4649.2703250000004</v>
      </c>
      <c r="K542" s="116">
        <v>896984.74020500004</v>
      </c>
      <c r="L542" t="s">
        <v>13</v>
      </c>
      <c r="M542" s="116">
        <v>2021</v>
      </c>
      <c r="N542" t="s">
        <v>13</v>
      </c>
    </row>
    <row r="543" spans="1:14" x14ac:dyDescent="0.25">
      <c r="A543" s="116">
        <v>541</v>
      </c>
      <c r="B543" s="117" t="s">
        <v>5414</v>
      </c>
      <c r="C543" s="117" t="s">
        <v>3169</v>
      </c>
      <c r="D543" s="123" t="s">
        <v>862</v>
      </c>
      <c r="E543" s="123" t="s">
        <v>15</v>
      </c>
      <c r="F543" s="123">
        <v>40544</v>
      </c>
      <c r="G543" s="124">
        <v>44197</v>
      </c>
      <c r="H543" s="116">
        <v>837</v>
      </c>
      <c r="I543" s="116" t="s">
        <v>13</v>
      </c>
      <c r="J543">
        <v>14957.221533</v>
      </c>
      <c r="K543" s="116">
        <v>4360747.0728900004</v>
      </c>
      <c r="L543" t="s">
        <v>13</v>
      </c>
      <c r="M543" s="116">
        <v>2021</v>
      </c>
      <c r="N543" t="s">
        <v>13</v>
      </c>
    </row>
    <row r="544" spans="1:14" x14ac:dyDescent="0.25">
      <c r="A544" s="116">
        <v>542</v>
      </c>
      <c r="B544" s="117" t="s">
        <v>5414</v>
      </c>
      <c r="C544" s="117" t="s">
        <v>3849</v>
      </c>
      <c r="D544" s="123" t="s">
        <v>862</v>
      </c>
      <c r="E544" s="123" t="s">
        <v>15</v>
      </c>
      <c r="F544" s="123">
        <v>40787</v>
      </c>
      <c r="G544" s="124">
        <v>44440</v>
      </c>
      <c r="H544" s="116">
        <v>46.4</v>
      </c>
      <c r="I544" s="116" t="s">
        <v>13</v>
      </c>
      <c r="J544">
        <v>2755.6732870000001</v>
      </c>
      <c r="K544" s="116">
        <v>198574.045602</v>
      </c>
      <c r="L544" t="s">
        <v>13</v>
      </c>
      <c r="M544" s="116">
        <v>2021</v>
      </c>
      <c r="N544" t="s">
        <v>13</v>
      </c>
    </row>
    <row r="545" spans="1:14" x14ac:dyDescent="0.25">
      <c r="A545" s="116">
        <v>543</v>
      </c>
      <c r="B545" s="117" t="s">
        <v>5414</v>
      </c>
      <c r="C545" s="117" t="s">
        <v>4353</v>
      </c>
      <c r="D545" s="123" t="s">
        <v>862</v>
      </c>
      <c r="E545" s="123" t="s">
        <v>15</v>
      </c>
      <c r="F545" s="123">
        <v>41214</v>
      </c>
      <c r="G545" s="124">
        <v>44866</v>
      </c>
      <c r="H545" s="116">
        <v>124</v>
      </c>
      <c r="I545" s="116" t="s">
        <v>13</v>
      </c>
      <c r="J545">
        <v>3766.726553</v>
      </c>
      <c r="K545" s="116">
        <v>787861.62815500004</v>
      </c>
      <c r="L545" t="s">
        <v>13</v>
      </c>
      <c r="M545" s="116">
        <v>2022</v>
      </c>
      <c r="N545" t="s">
        <v>13</v>
      </c>
    </row>
    <row r="546" spans="1:14" hidden="1" x14ac:dyDescent="0.25">
      <c r="A546" s="116">
        <v>544</v>
      </c>
      <c r="B546" s="117" t="s">
        <v>5414</v>
      </c>
      <c r="C546" s="117" t="s">
        <v>2364</v>
      </c>
      <c r="D546" s="123" t="s">
        <v>2366</v>
      </c>
      <c r="E546" s="123" t="s">
        <v>15</v>
      </c>
      <c r="F546" s="123">
        <v>39753</v>
      </c>
      <c r="G546" s="124">
        <v>43405</v>
      </c>
      <c r="H546" s="116">
        <v>283.60000000000002</v>
      </c>
      <c r="I546" s="116" t="s">
        <v>13</v>
      </c>
      <c r="J546">
        <v>5230.1282869999995</v>
      </c>
      <c r="K546" s="116">
        <v>1559506.3453200001</v>
      </c>
      <c r="L546" t="s">
        <v>13</v>
      </c>
      <c r="M546" s="116">
        <v>2018</v>
      </c>
      <c r="N546" t="s">
        <v>4817</v>
      </c>
    </row>
    <row r="547" spans="1:14" x14ac:dyDescent="0.25">
      <c r="A547" s="116">
        <v>545</v>
      </c>
      <c r="B547" s="117" t="s">
        <v>5414</v>
      </c>
      <c r="C547" s="117" t="s">
        <v>2601</v>
      </c>
      <c r="D547" s="123" t="s">
        <v>2366</v>
      </c>
      <c r="E547" s="123" t="s">
        <v>15</v>
      </c>
      <c r="F547" s="123">
        <v>39934</v>
      </c>
      <c r="G547" s="124">
        <v>43586</v>
      </c>
      <c r="H547" s="116">
        <v>168.22</v>
      </c>
      <c r="I547" s="116" t="s">
        <v>13</v>
      </c>
      <c r="J547">
        <v>18559.135663000001</v>
      </c>
      <c r="K547" s="116">
        <v>5267555.7921399996</v>
      </c>
      <c r="L547" t="s">
        <v>13</v>
      </c>
      <c r="M547" s="116">
        <v>2019</v>
      </c>
      <c r="N547" t="s">
        <v>13</v>
      </c>
    </row>
    <row r="548" spans="1:14" x14ac:dyDescent="0.25">
      <c r="A548" s="116">
        <v>546</v>
      </c>
      <c r="B548" s="117" t="s">
        <v>5414</v>
      </c>
      <c r="C548" s="117" t="s">
        <v>4689</v>
      </c>
      <c r="D548" s="123" t="s">
        <v>2455</v>
      </c>
      <c r="E548" s="123" t="s">
        <v>1050</v>
      </c>
      <c r="F548" s="123">
        <v>41699</v>
      </c>
      <c r="G548" s="124">
        <v>45352</v>
      </c>
      <c r="H548" s="116">
        <v>20</v>
      </c>
      <c r="I548" s="116" t="s">
        <v>13</v>
      </c>
      <c r="J548">
        <v>1710.4651759999999</v>
      </c>
      <c r="K548" s="116">
        <v>166297.98062399999</v>
      </c>
      <c r="L548" t="s">
        <v>13</v>
      </c>
      <c r="M548" s="116">
        <v>2024</v>
      </c>
      <c r="N548" t="s">
        <v>13</v>
      </c>
    </row>
    <row r="549" spans="1:14" x14ac:dyDescent="0.25">
      <c r="A549" s="116">
        <v>547</v>
      </c>
      <c r="B549" s="117" t="s">
        <v>5414</v>
      </c>
      <c r="C549" s="117" t="s">
        <v>4698</v>
      </c>
      <c r="D549" s="123" t="s">
        <v>2455</v>
      </c>
      <c r="E549" s="123" t="s">
        <v>1050</v>
      </c>
      <c r="F549" s="123">
        <v>41699</v>
      </c>
      <c r="G549" s="124">
        <v>45352</v>
      </c>
      <c r="H549" s="116">
        <v>40</v>
      </c>
      <c r="I549" s="116" t="s">
        <v>13</v>
      </c>
      <c r="J549">
        <v>2261.5626000000002</v>
      </c>
      <c r="K549" s="116">
        <v>319639.872164</v>
      </c>
      <c r="L549" t="s">
        <v>13</v>
      </c>
      <c r="M549" s="116">
        <v>2024</v>
      </c>
      <c r="N549" t="s">
        <v>13</v>
      </c>
    </row>
    <row r="550" spans="1:14" x14ac:dyDescent="0.25">
      <c r="A550" s="116">
        <v>548</v>
      </c>
      <c r="B550" s="117" t="s">
        <v>5414</v>
      </c>
      <c r="C550" s="117" t="s">
        <v>4692</v>
      </c>
      <c r="D550" s="123" t="s">
        <v>2455</v>
      </c>
      <c r="E550" s="123" t="s">
        <v>1050</v>
      </c>
      <c r="F550" s="123">
        <v>41699</v>
      </c>
      <c r="G550" s="124">
        <v>45352</v>
      </c>
      <c r="H550" s="116">
        <v>80</v>
      </c>
      <c r="I550" s="116" t="s">
        <v>13</v>
      </c>
      <c r="J550">
        <v>3285.5185999999999</v>
      </c>
      <c r="K550" s="116">
        <v>597171.97231800004</v>
      </c>
      <c r="L550" t="s">
        <v>13</v>
      </c>
      <c r="M550" s="116">
        <v>2024</v>
      </c>
      <c r="N550" t="s">
        <v>13</v>
      </c>
    </row>
    <row r="551" spans="1:14" x14ac:dyDescent="0.25">
      <c r="A551" s="116">
        <v>549</v>
      </c>
      <c r="B551" s="117" t="s">
        <v>5414</v>
      </c>
      <c r="C551" s="117" t="s">
        <v>4695</v>
      </c>
      <c r="D551" s="123" t="s">
        <v>2455</v>
      </c>
      <c r="E551" s="123" t="s">
        <v>1050</v>
      </c>
      <c r="F551" s="123">
        <v>41699</v>
      </c>
      <c r="G551" s="124">
        <v>45352</v>
      </c>
      <c r="H551" s="116">
        <v>80</v>
      </c>
      <c r="I551" s="116" t="s">
        <v>13</v>
      </c>
      <c r="J551">
        <v>3332.2379999999998</v>
      </c>
      <c r="K551" s="116">
        <v>608325.26034499996</v>
      </c>
      <c r="L551" t="s">
        <v>13</v>
      </c>
      <c r="M551" s="116">
        <v>2024</v>
      </c>
      <c r="N551" t="s">
        <v>13</v>
      </c>
    </row>
    <row r="552" spans="1:14" x14ac:dyDescent="0.25">
      <c r="A552" s="116">
        <v>550</v>
      </c>
      <c r="B552" s="117" t="s">
        <v>5414</v>
      </c>
      <c r="C552" s="117" t="s">
        <v>4686</v>
      </c>
      <c r="D552" s="123" t="s">
        <v>2455</v>
      </c>
      <c r="E552" s="123" t="s">
        <v>1050</v>
      </c>
      <c r="F552" s="123">
        <v>41699</v>
      </c>
      <c r="G552" s="124">
        <v>45352</v>
      </c>
      <c r="H552" s="116">
        <v>234.7</v>
      </c>
      <c r="I552" s="116" t="s">
        <v>13</v>
      </c>
      <c r="J552">
        <v>8511.2232000000004</v>
      </c>
      <c r="K552" s="116">
        <v>1772718.2901600001</v>
      </c>
      <c r="L552" t="s">
        <v>13</v>
      </c>
      <c r="M552" s="116">
        <v>2024</v>
      </c>
      <c r="N552" t="s">
        <v>13</v>
      </c>
    </row>
    <row r="553" spans="1:14" x14ac:dyDescent="0.25">
      <c r="A553" s="116">
        <v>551</v>
      </c>
      <c r="B553" s="117" t="s">
        <v>5414</v>
      </c>
      <c r="C553" s="117" t="s">
        <v>2453</v>
      </c>
      <c r="D553" s="123" t="s">
        <v>2455</v>
      </c>
      <c r="E553" s="123" t="s">
        <v>1050</v>
      </c>
      <c r="F553" s="123">
        <v>39783</v>
      </c>
      <c r="G553" s="124">
        <v>43435</v>
      </c>
      <c r="H553" s="116">
        <v>780.2</v>
      </c>
      <c r="I553" s="116" t="s">
        <v>13</v>
      </c>
      <c r="J553">
        <v>27258.471267000001</v>
      </c>
      <c r="K553" s="116">
        <v>6609141.4463299997</v>
      </c>
      <c r="L553" t="s">
        <v>13</v>
      </c>
      <c r="M553" s="116">
        <v>2018</v>
      </c>
      <c r="N553" t="s">
        <v>13</v>
      </c>
    </row>
    <row r="554" spans="1:14" x14ac:dyDescent="0.25">
      <c r="A554" s="116">
        <v>552</v>
      </c>
      <c r="B554" s="117" t="s">
        <v>5414</v>
      </c>
      <c r="C554" s="117" t="s">
        <v>4682</v>
      </c>
      <c r="D554" s="123" t="s">
        <v>4684</v>
      </c>
      <c r="E554" s="123" t="s">
        <v>1050</v>
      </c>
      <c r="F554" s="123">
        <v>41699</v>
      </c>
      <c r="G554" s="124">
        <v>45352</v>
      </c>
      <c r="H554" s="116">
        <v>80</v>
      </c>
      <c r="I554" s="116" t="s">
        <v>13</v>
      </c>
      <c r="J554">
        <v>3342.0526</v>
      </c>
      <c r="K554" s="116">
        <v>614676.75494100002</v>
      </c>
      <c r="L554" t="s">
        <v>13</v>
      </c>
      <c r="M554" s="116">
        <v>2024</v>
      </c>
      <c r="N554" t="s">
        <v>13</v>
      </c>
    </row>
    <row r="555" spans="1:14" x14ac:dyDescent="0.25">
      <c r="A555" s="116">
        <v>553</v>
      </c>
      <c r="B555" s="117" t="s">
        <v>5414</v>
      </c>
      <c r="C555" s="117" t="s">
        <v>4679</v>
      </c>
      <c r="D555" s="123" t="s">
        <v>1703</v>
      </c>
      <c r="E555" s="123" t="s">
        <v>1050</v>
      </c>
      <c r="F555" s="123">
        <v>41699</v>
      </c>
      <c r="G555" s="124">
        <v>45352</v>
      </c>
      <c r="H555" s="116">
        <v>60</v>
      </c>
      <c r="I555" s="116" t="s">
        <v>13</v>
      </c>
      <c r="J555">
        <v>3914.849612</v>
      </c>
      <c r="K555" s="116">
        <v>468411.73560000001</v>
      </c>
      <c r="L555" t="s">
        <v>13</v>
      </c>
      <c r="M555" s="116">
        <v>2024</v>
      </c>
      <c r="N555" t="s">
        <v>13</v>
      </c>
    </row>
    <row r="556" spans="1:14" x14ac:dyDescent="0.25">
      <c r="A556" s="116">
        <v>554</v>
      </c>
      <c r="B556" s="117" t="s">
        <v>5414</v>
      </c>
      <c r="C556" s="117" t="s">
        <v>4676</v>
      </c>
      <c r="D556" s="123" t="s">
        <v>1703</v>
      </c>
      <c r="E556" s="123" t="s">
        <v>1050</v>
      </c>
      <c r="F556" s="123">
        <v>41699</v>
      </c>
      <c r="G556" s="124">
        <v>45352</v>
      </c>
      <c r="H556" s="116">
        <v>80</v>
      </c>
      <c r="I556" s="116" t="s">
        <v>13</v>
      </c>
      <c r="J556">
        <v>3343.5836140000001</v>
      </c>
      <c r="K556" s="116">
        <v>623897.62775500002</v>
      </c>
      <c r="L556" t="s">
        <v>13</v>
      </c>
      <c r="M556" s="116">
        <v>2024</v>
      </c>
      <c r="N556" t="s">
        <v>13</v>
      </c>
    </row>
    <row r="557" spans="1:14" x14ac:dyDescent="0.25">
      <c r="A557" s="116">
        <v>555</v>
      </c>
      <c r="B557" s="117" t="s">
        <v>5414</v>
      </c>
      <c r="C557" s="117" t="s">
        <v>4673</v>
      </c>
      <c r="D557" s="123" t="s">
        <v>1703</v>
      </c>
      <c r="E557" s="123" t="s">
        <v>1050</v>
      </c>
      <c r="F557" s="123">
        <v>41699</v>
      </c>
      <c r="G557" s="124">
        <v>45352</v>
      </c>
      <c r="H557" s="116">
        <v>70.680000000000007</v>
      </c>
      <c r="I557" s="116" t="s">
        <v>13</v>
      </c>
      <c r="J557">
        <v>3085.6730739999998</v>
      </c>
      <c r="K557" s="116">
        <v>549906.51714000001</v>
      </c>
      <c r="L557" t="s">
        <v>13</v>
      </c>
      <c r="M557" s="116">
        <v>2024</v>
      </c>
      <c r="N557" t="s">
        <v>13</v>
      </c>
    </row>
    <row r="558" spans="1:14" x14ac:dyDescent="0.25">
      <c r="A558" s="116">
        <v>556</v>
      </c>
      <c r="B558" s="117" t="s">
        <v>5414</v>
      </c>
      <c r="C558" s="117" t="s">
        <v>3220</v>
      </c>
      <c r="D558" s="123" t="s">
        <v>1703</v>
      </c>
      <c r="E558" s="123" t="s">
        <v>1050</v>
      </c>
      <c r="F558" s="123">
        <v>40575</v>
      </c>
      <c r="G558" s="124">
        <v>44228</v>
      </c>
      <c r="H558" s="116">
        <v>245</v>
      </c>
      <c r="I558" s="116" t="s">
        <v>13</v>
      </c>
      <c r="J558">
        <v>6647.3586439999999</v>
      </c>
      <c r="K558" s="116">
        <v>1876364.47278</v>
      </c>
      <c r="L558" t="s">
        <v>13</v>
      </c>
      <c r="M558" s="116">
        <v>2021</v>
      </c>
      <c r="N558" t="s">
        <v>13</v>
      </c>
    </row>
    <row r="559" spans="1:14" x14ac:dyDescent="0.25">
      <c r="A559" s="116">
        <v>557</v>
      </c>
      <c r="B559" s="117" t="s">
        <v>5414</v>
      </c>
      <c r="C559" s="117" t="s">
        <v>4673</v>
      </c>
      <c r="D559" s="123" t="s">
        <v>1703</v>
      </c>
      <c r="E559" s="123" t="s">
        <v>1050</v>
      </c>
      <c r="F559" s="123">
        <v>41699</v>
      </c>
      <c r="G559" s="124">
        <v>45352</v>
      </c>
      <c r="H559" s="116">
        <v>70.680000000000007</v>
      </c>
      <c r="I559" s="116" t="s">
        <v>13</v>
      </c>
      <c r="J559">
        <v>3085.6730739999998</v>
      </c>
      <c r="K559" s="116">
        <v>549906.51714000001</v>
      </c>
      <c r="L559" t="s">
        <v>13</v>
      </c>
      <c r="M559" s="116">
        <v>2024</v>
      </c>
      <c r="N559" t="s">
        <v>13</v>
      </c>
    </row>
    <row r="560" spans="1:14" x14ac:dyDescent="0.25">
      <c r="A560" s="116">
        <v>558</v>
      </c>
      <c r="B560" s="117" t="s">
        <v>5414</v>
      </c>
      <c r="C560" s="117" t="s">
        <v>3448</v>
      </c>
      <c r="D560" s="123" t="s">
        <v>2514</v>
      </c>
      <c r="E560" s="123" t="s">
        <v>1050</v>
      </c>
      <c r="F560" s="123">
        <v>40664</v>
      </c>
      <c r="G560" s="124">
        <v>44317</v>
      </c>
      <c r="H560" s="116">
        <v>160</v>
      </c>
      <c r="I560" s="116" t="s">
        <v>13</v>
      </c>
      <c r="J560">
        <v>4474.1607199999999</v>
      </c>
      <c r="K560" s="116">
        <v>1250437.97383</v>
      </c>
      <c r="L560" t="s">
        <v>13</v>
      </c>
      <c r="M560" s="116">
        <v>2021</v>
      </c>
      <c r="N560" t="s">
        <v>13</v>
      </c>
    </row>
    <row r="561" spans="1:14" x14ac:dyDescent="0.25">
      <c r="A561" s="116">
        <v>559</v>
      </c>
      <c r="B561" s="117" t="s">
        <v>5414</v>
      </c>
      <c r="C561" s="117" t="s">
        <v>2528</v>
      </c>
      <c r="D561" s="123" t="s">
        <v>2514</v>
      </c>
      <c r="E561" s="123" t="s">
        <v>1050</v>
      </c>
      <c r="F561" s="123">
        <v>39783</v>
      </c>
      <c r="G561" s="124">
        <v>43435</v>
      </c>
      <c r="H561" s="116">
        <v>640</v>
      </c>
      <c r="I561" s="116" t="s">
        <v>13</v>
      </c>
      <c r="J561">
        <v>8930.5877999999993</v>
      </c>
      <c r="K561" s="116">
        <v>4984707.1992600001</v>
      </c>
      <c r="L561" t="s">
        <v>13</v>
      </c>
      <c r="M561" s="116">
        <v>2018</v>
      </c>
      <c r="N561" t="s">
        <v>13</v>
      </c>
    </row>
    <row r="562" spans="1:14" x14ac:dyDescent="0.25">
      <c r="A562" s="116">
        <v>560</v>
      </c>
      <c r="B562" s="117" t="s">
        <v>5414</v>
      </c>
      <c r="C562" s="117" t="s">
        <v>2524</v>
      </c>
      <c r="D562" s="123" t="s">
        <v>2514</v>
      </c>
      <c r="E562" s="123" t="s">
        <v>1050</v>
      </c>
      <c r="F562" s="123">
        <v>39783</v>
      </c>
      <c r="G562" s="124">
        <v>43435</v>
      </c>
      <c r="H562" s="116">
        <v>640</v>
      </c>
      <c r="I562" s="116" t="s">
        <v>13</v>
      </c>
      <c r="J562">
        <v>12257.060305000001</v>
      </c>
      <c r="K562" s="116">
        <v>4354910.6895300001</v>
      </c>
      <c r="L562" t="s">
        <v>13</v>
      </c>
      <c r="M562" s="116">
        <v>2018</v>
      </c>
      <c r="N562" t="s">
        <v>13</v>
      </c>
    </row>
    <row r="563" spans="1:14" x14ac:dyDescent="0.25">
      <c r="A563" s="116">
        <v>561</v>
      </c>
      <c r="B563" s="117" t="s">
        <v>5414</v>
      </c>
      <c r="C563" s="117" t="s">
        <v>2520</v>
      </c>
      <c r="D563" s="123" t="s">
        <v>2514</v>
      </c>
      <c r="E563" s="123" t="s">
        <v>1050</v>
      </c>
      <c r="F563" s="123">
        <v>39783</v>
      </c>
      <c r="G563" s="124">
        <v>43435</v>
      </c>
      <c r="H563" s="116">
        <v>966.62</v>
      </c>
      <c r="I563" s="116" t="s">
        <v>13</v>
      </c>
      <c r="J563">
        <v>11191.714368999999</v>
      </c>
      <c r="K563" s="116">
        <v>7514846.4827699997</v>
      </c>
      <c r="L563" t="s">
        <v>13</v>
      </c>
      <c r="M563" s="116">
        <v>2018</v>
      </c>
      <c r="N563" t="s">
        <v>13</v>
      </c>
    </row>
    <row r="564" spans="1:14" x14ac:dyDescent="0.25">
      <c r="A564" s="116">
        <v>562</v>
      </c>
      <c r="B564" s="117" t="s">
        <v>5414</v>
      </c>
      <c r="C564" s="117" t="s">
        <v>2517</v>
      </c>
      <c r="D564" s="123" t="s">
        <v>2514</v>
      </c>
      <c r="E564" s="123" t="s">
        <v>1050</v>
      </c>
      <c r="F564" s="123">
        <v>39783</v>
      </c>
      <c r="G564" s="124">
        <v>43435</v>
      </c>
      <c r="H564" s="116">
        <v>160</v>
      </c>
      <c r="I564" s="116" t="s">
        <v>13</v>
      </c>
      <c r="J564">
        <v>4431.83</v>
      </c>
      <c r="K564" s="116">
        <v>1227568.31112</v>
      </c>
      <c r="L564" t="s">
        <v>13</v>
      </c>
      <c r="M564" s="116">
        <v>2018</v>
      </c>
      <c r="N564" t="s">
        <v>13</v>
      </c>
    </row>
    <row r="565" spans="1:14" x14ac:dyDescent="0.25">
      <c r="A565" s="116">
        <v>563</v>
      </c>
      <c r="B565" s="117" t="s">
        <v>5414</v>
      </c>
      <c r="C565" s="117" t="s">
        <v>2512</v>
      </c>
      <c r="D565" s="123" t="s">
        <v>2514</v>
      </c>
      <c r="E565" s="123" t="s">
        <v>1050</v>
      </c>
      <c r="F565" s="123">
        <v>39783</v>
      </c>
      <c r="G565" s="124">
        <v>43435</v>
      </c>
      <c r="H565" s="116">
        <v>965.65</v>
      </c>
      <c r="I565" s="116" t="s">
        <v>13</v>
      </c>
      <c r="J565">
        <v>25686.428743</v>
      </c>
      <c r="K565" s="116">
        <v>7470871.7165299999</v>
      </c>
      <c r="L565" t="s">
        <v>13</v>
      </c>
      <c r="M565" s="116">
        <v>2018</v>
      </c>
      <c r="N565" t="s">
        <v>13</v>
      </c>
    </row>
    <row r="566" spans="1:14" x14ac:dyDescent="0.25">
      <c r="A566" s="116">
        <v>564</v>
      </c>
      <c r="B566" s="117" t="s">
        <v>5414</v>
      </c>
      <c r="C566" s="117" t="s">
        <v>2489</v>
      </c>
      <c r="D566" s="123" t="s">
        <v>2461</v>
      </c>
      <c r="E566" s="123" t="s">
        <v>1050</v>
      </c>
      <c r="F566" s="123">
        <v>39783</v>
      </c>
      <c r="G566" s="124">
        <v>43435</v>
      </c>
      <c r="H566" s="116">
        <v>640</v>
      </c>
      <c r="I566" s="116" t="s">
        <v>13</v>
      </c>
      <c r="J566">
        <v>17787.512428999999</v>
      </c>
      <c r="K566" s="116">
        <v>4948233.6552600004</v>
      </c>
      <c r="L566" t="s">
        <v>13</v>
      </c>
      <c r="M566" s="116">
        <v>2018</v>
      </c>
      <c r="N566" t="s">
        <v>13</v>
      </c>
    </row>
    <row r="567" spans="1:14" x14ac:dyDescent="0.25">
      <c r="A567" s="116">
        <v>565</v>
      </c>
      <c r="B567" s="117" t="s">
        <v>5414</v>
      </c>
      <c r="C567" s="117" t="s">
        <v>2486</v>
      </c>
      <c r="D567" s="123" t="s">
        <v>2461</v>
      </c>
      <c r="E567" s="123" t="s">
        <v>1050</v>
      </c>
      <c r="F567" s="123">
        <v>39783</v>
      </c>
      <c r="G567" s="124">
        <v>43435</v>
      </c>
      <c r="H567" s="116">
        <v>520</v>
      </c>
      <c r="I567" s="116" t="s">
        <v>13</v>
      </c>
      <c r="J567">
        <v>12237.135</v>
      </c>
      <c r="K567" s="116">
        <v>3965457.5665099998</v>
      </c>
      <c r="L567" t="s">
        <v>13</v>
      </c>
      <c r="M567" s="116">
        <v>2018</v>
      </c>
      <c r="N567" t="s">
        <v>13</v>
      </c>
    </row>
    <row r="568" spans="1:14" x14ac:dyDescent="0.25">
      <c r="A568" s="116">
        <v>566</v>
      </c>
      <c r="B568" s="117" t="s">
        <v>5414</v>
      </c>
      <c r="C568" s="117" t="s">
        <v>2483</v>
      </c>
      <c r="D568" s="123" t="s">
        <v>2461</v>
      </c>
      <c r="E568" s="123" t="s">
        <v>1050</v>
      </c>
      <c r="F568" s="123">
        <v>39783</v>
      </c>
      <c r="G568" s="124">
        <v>43435</v>
      </c>
      <c r="H568" s="116">
        <v>444.7</v>
      </c>
      <c r="I568" s="116" t="s">
        <v>13</v>
      </c>
      <c r="J568">
        <v>12980.138541</v>
      </c>
      <c r="K568" s="116">
        <v>3485714.5551700001</v>
      </c>
      <c r="L568" t="s">
        <v>13</v>
      </c>
      <c r="M568" s="116">
        <v>2018</v>
      </c>
      <c r="N568" t="s">
        <v>13</v>
      </c>
    </row>
    <row r="569" spans="1:14" x14ac:dyDescent="0.25">
      <c r="A569" s="116">
        <v>567</v>
      </c>
      <c r="B569" s="117" t="s">
        <v>5414</v>
      </c>
      <c r="C569" s="117" t="s">
        <v>2479</v>
      </c>
      <c r="D569" s="123" t="s">
        <v>2461</v>
      </c>
      <c r="E569" s="123" t="s">
        <v>1050</v>
      </c>
      <c r="F569" s="123">
        <v>39783</v>
      </c>
      <c r="G569" s="124">
        <v>43435</v>
      </c>
      <c r="H569" s="116">
        <v>769.83</v>
      </c>
      <c r="I569" s="116" t="s">
        <v>13</v>
      </c>
      <c r="J569">
        <v>12253.009767</v>
      </c>
      <c r="K569" s="116">
        <v>5933278.7016399996</v>
      </c>
      <c r="L569" t="s">
        <v>13</v>
      </c>
      <c r="M569" s="116">
        <v>2018</v>
      </c>
      <c r="N569" t="s">
        <v>13</v>
      </c>
    </row>
    <row r="570" spans="1:14" x14ac:dyDescent="0.25">
      <c r="A570" s="116">
        <v>568</v>
      </c>
      <c r="B570" s="117" t="s">
        <v>5414</v>
      </c>
      <c r="C570" s="117" t="s">
        <v>2459</v>
      </c>
      <c r="D570" s="123" t="s">
        <v>2461</v>
      </c>
      <c r="E570" s="123" t="s">
        <v>1050</v>
      </c>
      <c r="F570" s="123">
        <v>39783</v>
      </c>
      <c r="G570" s="124">
        <v>43435</v>
      </c>
      <c r="H570" s="116">
        <v>542.41999999999996</v>
      </c>
      <c r="I570" s="116" t="s">
        <v>13</v>
      </c>
      <c r="J570">
        <v>17059.951227000001</v>
      </c>
      <c r="K570" s="116">
        <v>4233173.7999299997</v>
      </c>
      <c r="L570" t="s">
        <v>13</v>
      </c>
      <c r="M570" s="116">
        <v>2018</v>
      </c>
      <c r="N570" t="s">
        <v>13</v>
      </c>
    </row>
    <row r="571" spans="1:14" x14ac:dyDescent="0.25">
      <c r="A571" s="116">
        <v>569</v>
      </c>
      <c r="B571" s="117" t="s">
        <v>5414</v>
      </c>
      <c r="C571" s="117" t="s">
        <v>2674</v>
      </c>
      <c r="D571" s="123" t="s">
        <v>2466</v>
      </c>
      <c r="E571" s="123" t="s">
        <v>1050</v>
      </c>
      <c r="F571" s="123">
        <v>40057</v>
      </c>
      <c r="G571" s="124">
        <v>43709</v>
      </c>
      <c r="H571" s="116">
        <v>488.95</v>
      </c>
      <c r="I571" s="116" t="s">
        <v>13</v>
      </c>
      <c r="J571">
        <v>19424.623264999998</v>
      </c>
      <c r="K571" s="116">
        <v>3794660.9416299998</v>
      </c>
      <c r="L571" t="s">
        <v>13</v>
      </c>
      <c r="M571" s="116">
        <v>2019</v>
      </c>
      <c r="N571" t="s">
        <v>13</v>
      </c>
    </row>
    <row r="572" spans="1:14" x14ac:dyDescent="0.25">
      <c r="A572" s="116">
        <v>570</v>
      </c>
      <c r="B572" s="117" t="s">
        <v>5414</v>
      </c>
      <c r="C572" s="117" t="s">
        <v>2509</v>
      </c>
      <c r="D572" s="123" t="s">
        <v>2466</v>
      </c>
      <c r="E572" s="123" t="s">
        <v>1050</v>
      </c>
      <c r="F572" s="123">
        <v>39783</v>
      </c>
      <c r="G572" s="124">
        <v>43435</v>
      </c>
      <c r="H572" s="116">
        <v>1440</v>
      </c>
      <c r="I572" s="116" t="s">
        <v>13</v>
      </c>
      <c r="J572">
        <v>13377.428024000001</v>
      </c>
      <c r="K572" s="116">
        <v>9946046.1624899991</v>
      </c>
      <c r="L572" t="s">
        <v>13</v>
      </c>
      <c r="M572" s="116">
        <v>2018</v>
      </c>
      <c r="N572" t="s">
        <v>13</v>
      </c>
    </row>
    <row r="573" spans="1:14" x14ac:dyDescent="0.25">
      <c r="A573" s="116">
        <v>571</v>
      </c>
      <c r="B573" s="117" t="s">
        <v>5414</v>
      </c>
      <c r="C573" s="117" t="s">
        <v>2505</v>
      </c>
      <c r="D573" s="123" t="s">
        <v>2466</v>
      </c>
      <c r="E573" s="123" t="s">
        <v>1050</v>
      </c>
      <c r="F573" s="123">
        <v>39783</v>
      </c>
      <c r="G573" s="124">
        <v>43435</v>
      </c>
      <c r="H573" s="116">
        <v>1262.6300000000001</v>
      </c>
      <c r="I573" s="116" t="s">
        <v>13</v>
      </c>
      <c r="J573">
        <v>14468.393037</v>
      </c>
      <c r="K573" s="116">
        <v>9816122.5307800006</v>
      </c>
      <c r="L573" t="s">
        <v>13</v>
      </c>
      <c r="M573" s="116">
        <v>2018</v>
      </c>
      <c r="N573" t="s">
        <v>13</v>
      </c>
    </row>
    <row r="574" spans="1:14" x14ac:dyDescent="0.25">
      <c r="A574" s="116">
        <v>572</v>
      </c>
      <c r="B574" s="117" t="s">
        <v>5414</v>
      </c>
      <c r="C574" s="117" t="s">
        <v>2502</v>
      </c>
      <c r="D574" s="123" t="s">
        <v>2466</v>
      </c>
      <c r="E574" s="123" t="s">
        <v>1050</v>
      </c>
      <c r="F574" s="123">
        <v>39783</v>
      </c>
      <c r="G574" s="124">
        <v>43435</v>
      </c>
      <c r="H574" s="116">
        <v>435</v>
      </c>
      <c r="I574" s="116" t="s">
        <v>13</v>
      </c>
      <c r="J574">
        <v>12189.099231</v>
      </c>
      <c r="K574" s="116">
        <v>3370580.1943299999</v>
      </c>
      <c r="L574" t="s">
        <v>13</v>
      </c>
      <c r="M574" s="116">
        <v>2018</v>
      </c>
      <c r="N574" t="s">
        <v>13</v>
      </c>
    </row>
    <row r="575" spans="1:14" x14ac:dyDescent="0.25">
      <c r="A575" s="116">
        <v>573</v>
      </c>
      <c r="B575" s="117" t="s">
        <v>5414</v>
      </c>
      <c r="C575" s="117" t="s">
        <v>2499</v>
      </c>
      <c r="D575" s="123" t="s">
        <v>2466</v>
      </c>
      <c r="E575" s="123" t="s">
        <v>1050</v>
      </c>
      <c r="F575" s="123">
        <v>39783</v>
      </c>
      <c r="G575" s="124">
        <v>43435</v>
      </c>
      <c r="H575" s="116">
        <v>920</v>
      </c>
      <c r="I575" s="116" t="s">
        <v>13</v>
      </c>
      <c r="J575">
        <v>17673.563236000002</v>
      </c>
      <c r="K575" s="116">
        <v>7057738.8653199999</v>
      </c>
      <c r="L575" t="s">
        <v>13</v>
      </c>
      <c r="M575" s="116">
        <v>2018</v>
      </c>
      <c r="N575" t="s">
        <v>13</v>
      </c>
    </row>
    <row r="576" spans="1:14" x14ac:dyDescent="0.25">
      <c r="A576" s="116">
        <v>574</v>
      </c>
      <c r="B576" s="117" t="s">
        <v>5414</v>
      </c>
      <c r="C576" s="117" t="s">
        <v>2496</v>
      </c>
      <c r="D576" s="123" t="s">
        <v>2466</v>
      </c>
      <c r="E576" s="123" t="s">
        <v>1050</v>
      </c>
      <c r="F576" s="123">
        <v>39783</v>
      </c>
      <c r="G576" s="124">
        <v>43435</v>
      </c>
      <c r="H576" s="116">
        <v>800</v>
      </c>
      <c r="I576" s="116" t="s">
        <v>13</v>
      </c>
      <c r="J576">
        <v>15683.442899</v>
      </c>
      <c r="K576" s="116">
        <v>6318132.5500699999</v>
      </c>
      <c r="L576" t="s">
        <v>13</v>
      </c>
      <c r="M576" s="116">
        <v>2018</v>
      </c>
      <c r="N576" t="s">
        <v>13</v>
      </c>
    </row>
    <row r="577" spans="1:14" x14ac:dyDescent="0.25">
      <c r="A577" s="116">
        <v>575</v>
      </c>
      <c r="B577" s="117" t="s">
        <v>5414</v>
      </c>
      <c r="C577" s="117" t="s">
        <v>2492</v>
      </c>
      <c r="D577" s="123" t="s">
        <v>2466</v>
      </c>
      <c r="E577" s="123" t="s">
        <v>1050</v>
      </c>
      <c r="F577" s="123">
        <v>39783</v>
      </c>
      <c r="G577" s="124">
        <v>43435</v>
      </c>
      <c r="H577" s="116">
        <v>848.8</v>
      </c>
      <c r="I577" s="116" t="s">
        <v>13</v>
      </c>
      <c r="J577">
        <v>14550.739704</v>
      </c>
      <c r="K577" s="116">
        <v>6584549.4841900002</v>
      </c>
      <c r="L577" t="s">
        <v>13</v>
      </c>
      <c r="M577" s="116">
        <v>2018</v>
      </c>
      <c r="N577" t="s">
        <v>13</v>
      </c>
    </row>
    <row r="578" spans="1:14" x14ac:dyDescent="0.25">
      <c r="A578" s="116">
        <v>576</v>
      </c>
      <c r="B578" s="117" t="s">
        <v>5414</v>
      </c>
      <c r="C578" s="117" t="s">
        <v>2476</v>
      </c>
      <c r="D578" s="123" t="s">
        <v>2466</v>
      </c>
      <c r="E578" s="123" t="s">
        <v>1050</v>
      </c>
      <c r="F578" s="123">
        <v>39783</v>
      </c>
      <c r="G578" s="124">
        <v>43435</v>
      </c>
      <c r="H578" s="116">
        <v>200</v>
      </c>
      <c r="I578" s="116" t="s">
        <v>13</v>
      </c>
      <c r="J578">
        <v>7793.4423079999997</v>
      </c>
      <c r="K578" s="116">
        <v>1550559.58867</v>
      </c>
      <c r="L578" t="s">
        <v>13</v>
      </c>
      <c r="M578" s="116">
        <v>2018</v>
      </c>
      <c r="N578" t="s">
        <v>13</v>
      </c>
    </row>
    <row r="579" spans="1:14" x14ac:dyDescent="0.25">
      <c r="A579" s="116">
        <v>577</v>
      </c>
      <c r="B579" s="117" t="s">
        <v>5414</v>
      </c>
      <c r="C579" s="117" t="s">
        <v>2472</v>
      </c>
      <c r="D579" s="123" t="s">
        <v>2466</v>
      </c>
      <c r="E579" s="123" t="s">
        <v>1050</v>
      </c>
      <c r="F579" s="123">
        <v>39783</v>
      </c>
      <c r="G579" s="124">
        <v>43435</v>
      </c>
      <c r="H579" s="116">
        <v>299.73</v>
      </c>
      <c r="I579" s="116" t="s">
        <v>13</v>
      </c>
      <c r="J579">
        <v>14955.654504</v>
      </c>
      <c r="K579" s="116">
        <v>2303239.3147999998</v>
      </c>
      <c r="L579" t="s">
        <v>13</v>
      </c>
      <c r="M579" s="116">
        <v>2018</v>
      </c>
      <c r="N579" t="s">
        <v>13</v>
      </c>
    </row>
    <row r="580" spans="1:14" x14ac:dyDescent="0.25">
      <c r="A580" s="116">
        <v>578</v>
      </c>
      <c r="B580" s="117" t="s">
        <v>5414</v>
      </c>
      <c r="C580" s="117" t="s">
        <v>2469</v>
      </c>
      <c r="D580" s="123" t="s">
        <v>2466</v>
      </c>
      <c r="E580" s="123" t="s">
        <v>1050</v>
      </c>
      <c r="F580" s="123">
        <v>39783</v>
      </c>
      <c r="G580" s="124">
        <v>43435</v>
      </c>
      <c r="H580" s="116">
        <v>560</v>
      </c>
      <c r="I580" s="116" t="s">
        <v>13</v>
      </c>
      <c r="J580">
        <v>14400.763543999999</v>
      </c>
      <c r="K580" s="116">
        <v>4300752.0323999999</v>
      </c>
      <c r="L580" t="s">
        <v>13</v>
      </c>
      <c r="M580" s="116">
        <v>2018</v>
      </c>
      <c r="N580" t="s">
        <v>13</v>
      </c>
    </row>
    <row r="581" spans="1:14" x14ac:dyDescent="0.25">
      <c r="A581" s="116">
        <v>579</v>
      </c>
      <c r="B581" s="117" t="s">
        <v>5414</v>
      </c>
      <c r="C581" s="117" t="s">
        <v>2464</v>
      </c>
      <c r="D581" s="123" t="s">
        <v>2466</v>
      </c>
      <c r="E581" s="123" t="s">
        <v>1050</v>
      </c>
      <c r="F581" s="123">
        <v>39783</v>
      </c>
      <c r="G581" s="124">
        <v>43435</v>
      </c>
      <c r="H581" s="116">
        <v>380</v>
      </c>
      <c r="I581" s="116" t="s">
        <v>13</v>
      </c>
      <c r="J581">
        <v>12731.616237</v>
      </c>
      <c r="K581" s="116">
        <v>2904036.1802699999</v>
      </c>
      <c r="L581" t="s">
        <v>13</v>
      </c>
      <c r="M581" s="116">
        <v>2018</v>
      </c>
      <c r="N581" t="s">
        <v>13</v>
      </c>
    </row>
    <row r="582" spans="1:14" x14ac:dyDescent="0.25">
      <c r="A582" s="116">
        <v>580</v>
      </c>
      <c r="B582" s="117" t="s">
        <v>5414</v>
      </c>
      <c r="C582" s="117" t="s">
        <v>4556</v>
      </c>
      <c r="D582" s="123" t="s">
        <v>4558</v>
      </c>
      <c r="E582" s="123" t="s">
        <v>1050</v>
      </c>
      <c r="F582" s="123">
        <v>41426</v>
      </c>
      <c r="G582" s="124">
        <v>45078</v>
      </c>
      <c r="H582" s="116">
        <v>560</v>
      </c>
      <c r="I582" s="116" t="s">
        <v>13</v>
      </c>
      <c r="J582">
        <v>10120.507801</v>
      </c>
      <c r="K582" s="116">
        <v>4431622.1230899999</v>
      </c>
      <c r="L582" t="s">
        <v>13</v>
      </c>
      <c r="M582" s="116">
        <v>2023</v>
      </c>
      <c r="N582" t="s">
        <v>13</v>
      </c>
    </row>
    <row r="583" spans="1:14" x14ac:dyDescent="0.25">
      <c r="A583" s="116">
        <v>581</v>
      </c>
      <c r="B583" s="117" t="s">
        <v>5414</v>
      </c>
      <c r="C583" s="117" t="s">
        <v>4571</v>
      </c>
      <c r="D583" s="123" t="s">
        <v>324</v>
      </c>
      <c r="E583" s="123" t="s">
        <v>79</v>
      </c>
      <c r="F583" s="123">
        <v>42644</v>
      </c>
      <c r="G583" s="124">
        <v>46296</v>
      </c>
      <c r="H583" s="116">
        <v>1555.6</v>
      </c>
      <c r="I583" s="116" t="s">
        <v>13</v>
      </c>
      <c r="J583">
        <v>13186.175660000001</v>
      </c>
      <c r="K583" s="116">
        <v>7203419</v>
      </c>
      <c r="L583" t="s">
        <v>13</v>
      </c>
      <c r="M583" s="116">
        <v>2026</v>
      </c>
      <c r="N583" t="s">
        <v>13</v>
      </c>
    </row>
    <row r="584" spans="1:14" x14ac:dyDescent="0.25">
      <c r="A584" s="116">
        <v>582</v>
      </c>
      <c r="B584" s="117" t="s">
        <v>5414</v>
      </c>
      <c r="C584" s="117" t="s">
        <v>4570</v>
      </c>
      <c r="D584" s="123" t="s">
        <v>324</v>
      </c>
      <c r="E584" s="123" t="s">
        <v>79</v>
      </c>
      <c r="F584" s="123">
        <v>42644</v>
      </c>
      <c r="G584" s="124">
        <v>46296</v>
      </c>
      <c r="H584" s="116">
        <v>1885.87</v>
      </c>
      <c r="I584" s="116" t="s">
        <v>13</v>
      </c>
      <c r="J584">
        <v>15054.152955</v>
      </c>
      <c r="K584" s="116">
        <v>10578829.5</v>
      </c>
      <c r="L584" t="s">
        <v>13</v>
      </c>
      <c r="M584" s="116">
        <v>2026</v>
      </c>
      <c r="N584" t="s">
        <v>13</v>
      </c>
    </row>
    <row r="585" spans="1:14" x14ac:dyDescent="0.25">
      <c r="A585" s="116">
        <v>583</v>
      </c>
      <c r="B585" s="117" t="s">
        <v>5414</v>
      </c>
      <c r="C585" s="117" t="s">
        <v>4569</v>
      </c>
      <c r="D585" s="123" t="s">
        <v>324</v>
      </c>
      <c r="E585" s="123" t="s">
        <v>79</v>
      </c>
      <c r="F585" s="123">
        <v>42644</v>
      </c>
      <c r="G585" s="124">
        <v>46296</v>
      </c>
      <c r="H585" s="116">
        <v>1441.45</v>
      </c>
      <c r="I585" s="116" t="s">
        <v>13</v>
      </c>
      <c r="J585">
        <v>17750.259185999999</v>
      </c>
      <c r="K585" s="116">
        <v>8408715.5</v>
      </c>
      <c r="L585" t="s">
        <v>13</v>
      </c>
      <c r="M585" s="116">
        <v>2026</v>
      </c>
      <c r="N585" t="s">
        <v>13</v>
      </c>
    </row>
    <row r="586" spans="1:14" x14ac:dyDescent="0.25">
      <c r="A586" s="116">
        <v>584</v>
      </c>
      <c r="B586" s="117" t="s">
        <v>5414</v>
      </c>
      <c r="C586" s="117" t="s">
        <v>4568</v>
      </c>
      <c r="D586" s="123" t="s">
        <v>324</v>
      </c>
      <c r="E586" s="123" t="s">
        <v>79</v>
      </c>
      <c r="F586" s="123">
        <v>42644</v>
      </c>
      <c r="G586" s="124">
        <v>46296</v>
      </c>
      <c r="H586" s="116">
        <v>1243.25</v>
      </c>
      <c r="I586" s="116" t="s">
        <v>13</v>
      </c>
      <c r="J586">
        <v>20617.597046999999</v>
      </c>
      <c r="K586" s="116">
        <v>7040738</v>
      </c>
      <c r="L586" t="s">
        <v>13</v>
      </c>
      <c r="M586" s="116">
        <v>2026</v>
      </c>
      <c r="N586" t="s">
        <v>13</v>
      </c>
    </row>
    <row r="587" spans="1:14" x14ac:dyDescent="0.25">
      <c r="A587" s="116">
        <v>585</v>
      </c>
      <c r="B587" s="117" t="s">
        <v>5414</v>
      </c>
      <c r="C587" s="117" t="s">
        <v>4567</v>
      </c>
      <c r="D587" s="123" t="s">
        <v>324</v>
      </c>
      <c r="E587" s="123" t="s">
        <v>79</v>
      </c>
      <c r="F587" s="123">
        <v>42644</v>
      </c>
      <c r="G587" s="124">
        <v>46296</v>
      </c>
      <c r="H587" s="116">
        <v>1265.42</v>
      </c>
      <c r="I587" s="116" t="s">
        <v>13</v>
      </c>
      <c r="J587">
        <v>19782.160334</v>
      </c>
      <c r="K587" s="116">
        <v>7325668.5</v>
      </c>
      <c r="L587" t="s">
        <v>13</v>
      </c>
      <c r="M587" s="116">
        <v>2026</v>
      </c>
      <c r="N587" t="s">
        <v>13</v>
      </c>
    </row>
    <row r="588" spans="1:14" x14ac:dyDescent="0.25">
      <c r="A588" s="116">
        <v>586</v>
      </c>
      <c r="B588" s="117" t="s">
        <v>5414</v>
      </c>
      <c r="C588" s="117" t="s">
        <v>4566</v>
      </c>
      <c r="D588" s="123" t="s">
        <v>324</v>
      </c>
      <c r="E588" s="123" t="s">
        <v>79</v>
      </c>
      <c r="F588" s="123">
        <v>42644</v>
      </c>
      <c r="G588" s="124">
        <v>46296</v>
      </c>
      <c r="H588" s="116">
        <v>1880.89</v>
      </c>
      <c r="I588" s="116" t="s">
        <v>13</v>
      </c>
      <c r="J588">
        <v>15174.20679</v>
      </c>
      <c r="K588" s="116">
        <v>10816831.5</v>
      </c>
      <c r="L588" t="s">
        <v>13</v>
      </c>
      <c r="M588" s="116">
        <v>2026</v>
      </c>
      <c r="N588" t="s">
        <v>13</v>
      </c>
    </row>
    <row r="589" spans="1:14" x14ac:dyDescent="0.25">
      <c r="A589" s="116">
        <v>587</v>
      </c>
      <c r="B589" s="117" t="s">
        <v>5414</v>
      </c>
      <c r="C589" s="117" t="s">
        <v>4565</v>
      </c>
      <c r="D589" s="123" t="s">
        <v>324</v>
      </c>
      <c r="E589" s="123" t="s">
        <v>79</v>
      </c>
      <c r="F589" s="123">
        <v>42644</v>
      </c>
      <c r="G589" s="124">
        <v>46296</v>
      </c>
      <c r="H589" s="116">
        <v>1278.4100000000001</v>
      </c>
      <c r="I589" s="116" t="s">
        <v>13</v>
      </c>
      <c r="J589">
        <v>12444.735811</v>
      </c>
      <c r="K589" s="116">
        <v>4852504.5</v>
      </c>
      <c r="L589" t="s">
        <v>13</v>
      </c>
      <c r="M589" s="116">
        <v>2026</v>
      </c>
      <c r="N589" t="s">
        <v>13</v>
      </c>
    </row>
    <row r="590" spans="1:14" x14ac:dyDescent="0.25">
      <c r="A590" s="116">
        <v>588</v>
      </c>
      <c r="B590" s="117" t="s">
        <v>5414</v>
      </c>
      <c r="C590" s="117" t="s">
        <v>4564</v>
      </c>
      <c r="D590" s="123" t="s">
        <v>324</v>
      </c>
      <c r="E590" s="123" t="s">
        <v>79</v>
      </c>
      <c r="F590" s="123">
        <v>42644</v>
      </c>
      <c r="G590" s="124">
        <v>46296</v>
      </c>
      <c r="H590" s="116">
        <v>41</v>
      </c>
      <c r="I590" s="116" t="s">
        <v>13</v>
      </c>
      <c r="J590">
        <v>1912.014799</v>
      </c>
      <c r="K590" s="116">
        <v>228313</v>
      </c>
      <c r="L590" t="s">
        <v>13</v>
      </c>
      <c r="M590" s="116">
        <v>2026</v>
      </c>
      <c r="N590" t="s">
        <v>13</v>
      </c>
    </row>
    <row r="591" spans="1:14" x14ac:dyDescent="0.25">
      <c r="A591" s="116">
        <v>589</v>
      </c>
      <c r="B591" s="117" t="s">
        <v>5414</v>
      </c>
      <c r="C591" s="117" t="s">
        <v>4563</v>
      </c>
      <c r="D591" s="123" t="s">
        <v>324</v>
      </c>
      <c r="E591" s="123" t="s">
        <v>79</v>
      </c>
      <c r="F591" s="123">
        <v>42644</v>
      </c>
      <c r="G591" s="124">
        <v>46296</v>
      </c>
      <c r="H591" s="116">
        <v>1344.91</v>
      </c>
      <c r="I591" s="116" t="s">
        <v>13</v>
      </c>
      <c r="J591">
        <v>14414.651872</v>
      </c>
      <c r="K591" s="116">
        <v>8082879.4422000004</v>
      </c>
      <c r="L591" t="s">
        <v>13</v>
      </c>
      <c r="M591" s="116">
        <v>2026</v>
      </c>
      <c r="N591" t="s">
        <v>13</v>
      </c>
    </row>
    <row r="592" spans="1:14" x14ac:dyDescent="0.25">
      <c r="A592" s="116">
        <v>590</v>
      </c>
      <c r="B592" s="117" t="s">
        <v>5414</v>
      </c>
      <c r="C592" s="117" t="s">
        <v>4562</v>
      </c>
      <c r="D592" s="123" t="s">
        <v>324</v>
      </c>
      <c r="E592" s="123" t="s">
        <v>79</v>
      </c>
      <c r="F592" s="123">
        <v>42644</v>
      </c>
      <c r="G592" s="124">
        <v>46296</v>
      </c>
      <c r="H592" s="116">
        <v>1064.51</v>
      </c>
      <c r="I592" s="116" t="s">
        <v>13</v>
      </c>
      <c r="J592">
        <v>13897.857187</v>
      </c>
      <c r="K592" s="116">
        <v>6124420.5609999998</v>
      </c>
      <c r="L592" t="s">
        <v>13</v>
      </c>
      <c r="M592" s="116">
        <v>2026</v>
      </c>
      <c r="N592" t="s">
        <v>13</v>
      </c>
    </row>
    <row r="593" spans="1:14" x14ac:dyDescent="0.25">
      <c r="A593" s="116">
        <v>591</v>
      </c>
      <c r="B593" s="117" t="s">
        <v>5414</v>
      </c>
      <c r="C593" s="117" t="s">
        <v>4561</v>
      </c>
      <c r="D593" s="123" t="s">
        <v>5136</v>
      </c>
      <c r="E593" s="123" t="s">
        <v>79</v>
      </c>
      <c r="F593" s="123">
        <v>42644</v>
      </c>
      <c r="G593" s="124">
        <v>46296</v>
      </c>
      <c r="H593" s="116">
        <v>699.51</v>
      </c>
      <c r="I593" s="116" t="s">
        <v>13</v>
      </c>
      <c r="J593">
        <v>8517.2563470000005</v>
      </c>
      <c r="K593" s="116">
        <v>3894711</v>
      </c>
      <c r="L593" t="s">
        <v>13</v>
      </c>
      <c r="M593" s="116">
        <v>2026</v>
      </c>
      <c r="N593" t="s">
        <v>13</v>
      </c>
    </row>
    <row r="594" spans="1:14" x14ac:dyDescent="0.25">
      <c r="A594" s="116">
        <v>592</v>
      </c>
      <c r="B594" s="117" t="s">
        <v>5414</v>
      </c>
      <c r="C594" s="117" t="s">
        <v>4560</v>
      </c>
      <c r="D594" s="123" t="s">
        <v>5136</v>
      </c>
      <c r="E594" s="123" t="s">
        <v>79</v>
      </c>
      <c r="F594" s="123">
        <v>42644</v>
      </c>
      <c r="G594" s="124">
        <v>46296</v>
      </c>
      <c r="H594" s="116">
        <v>1517.02</v>
      </c>
      <c r="I594" s="116" t="s">
        <v>13</v>
      </c>
      <c r="J594">
        <v>12516.089443000001</v>
      </c>
      <c r="K594" s="116">
        <v>8303800</v>
      </c>
      <c r="L594" t="s">
        <v>13</v>
      </c>
      <c r="M594" s="116">
        <v>2026</v>
      </c>
      <c r="N594" t="s">
        <v>13</v>
      </c>
    </row>
    <row r="595" spans="1:14" x14ac:dyDescent="0.25">
      <c r="A595" s="116">
        <v>593</v>
      </c>
      <c r="B595" s="117" t="s">
        <v>5414</v>
      </c>
      <c r="C595" s="117" t="s">
        <v>4442</v>
      </c>
      <c r="D595" s="123" t="s">
        <v>5136</v>
      </c>
      <c r="E595" s="123" t="s">
        <v>79</v>
      </c>
      <c r="F595" s="123">
        <v>42278</v>
      </c>
      <c r="G595" s="124">
        <v>45931</v>
      </c>
      <c r="H595" s="116">
        <v>903.46</v>
      </c>
      <c r="I595" s="116" t="s">
        <v>13</v>
      </c>
      <c r="J595">
        <v>11124.759565</v>
      </c>
      <c r="K595" s="116">
        <v>6969363</v>
      </c>
      <c r="L595" t="s">
        <v>13</v>
      </c>
      <c r="M595" s="116">
        <v>2025</v>
      </c>
      <c r="N595" t="s">
        <v>13</v>
      </c>
    </row>
    <row r="596" spans="1:14" x14ac:dyDescent="0.25">
      <c r="A596" s="116">
        <v>594</v>
      </c>
      <c r="B596" s="117" t="s">
        <v>5414</v>
      </c>
      <c r="C596" s="117" t="s">
        <v>4441</v>
      </c>
      <c r="D596" s="123" t="s">
        <v>5136</v>
      </c>
      <c r="E596" s="123" t="s">
        <v>79</v>
      </c>
      <c r="F596" s="123">
        <v>42278</v>
      </c>
      <c r="G596" s="124">
        <v>45931</v>
      </c>
      <c r="H596" s="116">
        <v>1125.48</v>
      </c>
      <c r="I596" s="116" t="s">
        <v>13</v>
      </c>
      <c r="J596">
        <v>11308.716944</v>
      </c>
      <c r="K596" s="116">
        <v>7137507</v>
      </c>
      <c r="L596" t="s">
        <v>13</v>
      </c>
      <c r="M596" s="116">
        <v>2025</v>
      </c>
      <c r="N596" t="s">
        <v>13</v>
      </c>
    </row>
    <row r="597" spans="1:14" x14ac:dyDescent="0.25">
      <c r="A597" s="116">
        <v>595</v>
      </c>
      <c r="B597" s="117" t="s">
        <v>5414</v>
      </c>
      <c r="C597" s="117" t="s">
        <v>4440</v>
      </c>
      <c r="D597" s="123" t="s">
        <v>5136</v>
      </c>
      <c r="E597" s="123" t="s">
        <v>79</v>
      </c>
      <c r="F597" s="123">
        <v>42278</v>
      </c>
      <c r="G597" s="124">
        <v>45931</v>
      </c>
      <c r="H597" s="116">
        <v>1002.23</v>
      </c>
      <c r="I597" s="116" t="s">
        <v>13</v>
      </c>
      <c r="J597">
        <v>11265.543326999999</v>
      </c>
      <c r="K597" s="116">
        <v>7111183</v>
      </c>
      <c r="L597" t="s">
        <v>13</v>
      </c>
      <c r="M597" s="116">
        <v>2025</v>
      </c>
      <c r="N597" t="s">
        <v>13</v>
      </c>
    </row>
    <row r="598" spans="1:14" x14ac:dyDescent="0.25">
      <c r="A598" s="116">
        <v>596</v>
      </c>
      <c r="B598" s="117" t="s">
        <v>5414</v>
      </c>
      <c r="C598" s="117" t="s">
        <v>4439</v>
      </c>
      <c r="D598" s="123" t="s">
        <v>5136</v>
      </c>
      <c r="E598" s="123" t="s">
        <v>79</v>
      </c>
      <c r="F598" s="123">
        <v>42278</v>
      </c>
      <c r="G598" s="124">
        <v>45931</v>
      </c>
      <c r="H598" s="116">
        <v>957.39</v>
      </c>
      <c r="I598" s="116" t="s">
        <v>13</v>
      </c>
      <c r="J598">
        <v>11268.242364</v>
      </c>
      <c r="K598" s="116">
        <v>7058319</v>
      </c>
      <c r="L598" t="s">
        <v>13</v>
      </c>
      <c r="M598" s="116">
        <v>2025</v>
      </c>
      <c r="N598" t="s">
        <v>13</v>
      </c>
    </row>
    <row r="599" spans="1:14" x14ac:dyDescent="0.25">
      <c r="A599" s="116">
        <v>597</v>
      </c>
      <c r="B599" s="117" t="s">
        <v>5414</v>
      </c>
      <c r="C599" s="117" t="s">
        <v>4438</v>
      </c>
      <c r="D599" s="123" t="s">
        <v>5136</v>
      </c>
      <c r="E599" s="123" t="s">
        <v>79</v>
      </c>
      <c r="F599" s="123">
        <v>42278</v>
      </c>
      <c r="G599" s="124">
        <v>45931</v>
      </c>
      <c r="H599" s="116">
        <v>1297.72</v>
      </c>
      <c r="I599" s="116" t="s">
        <v>13</v>
      </c>
      <c r="J599">
        <v>11284.910257</v>
      </c>
      <c r="K599" s="116">
        <v>7162258</v>
      </c>
      <c r="L599" t="s">
        <v>13</v>
      </c>
      <c r="M599" s="116">
        <v>2025</v>
      </c>
      <c r="N599" t="s">
        <v>13</v>
      </c>
    </row>
    <row r="600" spans="1:14" x14ac:dyDescent="0.25">
      <c r="A600" s="116">
        <v>598</v>
      </c>
      <c r="B600" s="117" t="s">
        <v>5414</v>
      </c>
      <c r="C600" s="117" t="s">
        <v>4437</v>
      </c>
      <c r="D600" s="123" t="s">
        <v>5136</v>
      </c>
      <c r="E600" s="123" t="s">
        <v>79</v>
      </c>
      <c r="F600" s="123">
        <v>42278</v>
      </c>
      <c r="G600" s="124">
        <v>45931</v>
      </c>
      <c r="H600" s="116">
        <v>1206.6600000000001</v>
      </c>
      <c r="I600" s="116" t="s">
        <v>13</v>
      </c>
      <c r="J600">
        <v>11275.424977000001</v>
      </c>
      <c r="K600" s="116">
        <v>7128585</v>
      </c>
      <c r="L600" t="s">
        <v>13</v>
      </c>
      <c r="M600" s="116">
        <v>2025</v>
      </c>
      <c r="N600" t="s">
        <v>13</v>
      </c>
    </row>
    <row r="601" spans="1:14" x14ac:dyDescent="0.25">
      <c r="A601" s="116">
        <v>599</v>
      </c>
      <c r="B601" s="117" t="s">
        <v>5414</v>
      </c>
      <c r="C601" s="117" t="s">
        <v>4436</v>
      </c>
      <c r="D601" s="123" t="s">
        <v>5136</v>
      </c>
      <c r="E601" s="123" t="s">
        <v>79</v>
      </c>
      <c r="F601" s="123">
        <v>42278</v>
      </c>
      <c r="G601" s="124">
        <v>45931</v>
      </c>
      <c r="H601" s="116">
        <v>646.21</v>
      </c>
      <c r="I601" s="116" t="s">
        <v>13</v>
      </c>
      <c r="J601">
        <v>7579.0031289999997</v>
      </c>
      <c r="K601" s="116">
        <v>3585052.5</v>
      </c>
      <c r="L601" t="s">
        <v>13</v>
      </c>
      <c r="M601" s="116">
        <v>2025</v>
      </c>
      <c r="N601" t="s">
        <v>13</v>
      </c>
    </row>
    <row r="602" spans="1:14" x14ac:dyDescent="0.25">
      <c r="A602" s="116">
        <v>600</v>
      </c>
      <c r="B602" s="117" t="s">
        <v>5414</v>
      </c>
      <c r="C602" s="117" t="s">
        <v>4435</v>
      </c>
      <c r="D602" s="123" t="s">
        <v>5136</v>
      </c>
      <c r="E602" s="123" t="s">
        <v>79</v>
      </c>
      <c r="F602" s="123">
        <v>42278</v>
      </c>
      <c r="G602" s="124">
        <v>45931</v>
      </c>
      <c r="H602" s="116">
        <v>1073.29</v>
      </c>
      <c r="I602" s="116" t="s">
        <v>13</v>
      </c>
      <c r="J602">
        <v>11203.515378</v>
      </c>
      <c r="K602" s="116">
        <v>7019764.5</v>
      </c>
      <c r="L602" t="s">
        <v>13</v>
      </c>
      <c r="M602" s="116">
        <v>2025</v>
      </c>
      <c r="N602" t="s">
        <v>13</v>
      </c>
    </row>
    <row r="603" spans="1:14" x14ac:dyDescent="0.25">
      <c r="A603" s="116">
        <v>601</v>
      </c>
      <c r="B603" s="117" t="s">
        <v>5414</v>
      </c>
      <c r="C603" s="117" t="s">
        <v>4434</v>
      </c>
      <c r="D603" s="123" t="s">
        <v>5136</v>
      </c>
      <c r="E603" s="123" t="s">
        <v>79</v>
      </c>
      <c r="F603" s="123">
        <v>42278</v>
      </c>
      <c r="G603" s="124">
        <v>45931</v>
      </c>
      <c r="H603" s="116">
        <v>1197.92</v>
      </c>
      <c r="I603" s="116" t="s">
        <v>13</v>
      </c>
      <c r="J603">
        <v>11289.896262</v>
      </c>
      <c r="K603" s="116">
        <v>7070792</v>
      </c>
      <c r="L603" t="s">
        <v>13</v>
      </c>
      <c r="M603" s="116">
        <v>2025</v>
      </c>
      <c r="N603" t="s">
        <v>13</v>
      </c>
    </row>
    <row r="604" spans="1:14" x14ac:dyDescent="0.25">
      <c r="A604" s="116">
        <v>602</v>
      </c>
      <c r="B604" s="117" t="s">
        <v>5414</v>
      </c>
      <c r="C604" s="117" t="s">
        <v>4433</v>
      </c>
      <c r="D604" s="123" t="s">
        <v>5136</v>
      </c>
      <c r="E604" s="123" t="s">
        <v>79</v>
      </c>
      <c r="F604" s="123">
        <v>42278</v>
      </c>
      <c r="G604" s="124">
        <v>45931</v>
      </c>
      <c r="H604" s="116">
        <v>755.37</v>
      </c>
      <c r="I604" s="116" t="s">
        <v>13</v>
      </c>
      <c r="J604">
        <v>11327.057228</v>
      </c>
      <c r="K604" s="116">
        <v>7098648.5</v>
      </c>
      <c r="L604" t="s">
        <v>13</v>
      </c>
      <c r="M604" s="116">
        <v>2025</v>
      </c>
      <c r="N604" t="s">
        <v>13</v>
      </c>
    </row>
    <row r="605" spans="1:14" x14ac:dyDescent="0.25">
      <c r="A605" s="116">
        <v>603</v>
      </c>
      <c r="B605" s="117" t="s">
        <v>5414</v>
      </c>
      <c r="C605" s="117" t="s">
        <v>4432</v>
      </c>
      <c r="D605" s="123" t="s">
        <v>5136</v>
      </c>
      <c r="E605" s="123" t="s">
        <v>79</v>
      </c>
      <c r="F605" s="123">
        <v>42278</v>
      </c>
      <c r="G605" s="124">
        <v>45931</v>
      </c>
      <c r="H605" s="116">
        <v>586.75</v>
      </c>
      <c r="I605" s="116" t="s">
        <v>13</v>
      </c>
      <c r="J605">
        <v>7596.2132780000002</v>
      </c>
      <c r="K605" s="116">
        <v>3606137</v>
      </c>
      <c r="L605" t="s">
        <v>13</v>
      </c>
      <c r="M605" s="116">
        <v>2025</v>
      </c>
      <c r="N605" t="s">
        <v>13</v>
      </c>
    </row>
    <row r="606" spans="1:14" x14ac:dyDescent="0.25">
      <c r="A606" s="116">
        <v>604</v>
      </c>
      <c r="B606" s="117" t="s">
        <v>5414</v>
      </c>
      <c r="C606" s="117" t="s">
        <v>4431</v>
      </c>
      <c r="D606" s="123" t="s">
        <v>5136</v>
      </c>
      <c r="E606" s="123" t="s">
        <v>79</v>
      </c>
      <c r="F606" s="123">
        <v>42278</v>
      </c>
      <c r="G606" s="124">
        <v>45931</v>
      </c>
      <c r="H606" s="116">
        <v>441.81</v>
      </c>
      <c r="I606" s="116" t="s">
        <v>13</v>
      </c>
      <c r="J606">
        <v>11307.255547999999</v>
      </c>
      <c r="K606" s="116">
        <v>7143803</v>
      </c>
      <c r="L606" t="s">
        <v>13</v>
      </c>
      <c r="M606" s="116">
        <v>2025</v>
      </c>
      <c r="N606" t="s">
        <v>13</v>
      </c>
    </row>
    <row r="607" spans="1:14" x14ac:dyDescent="0.25">
      <c r="A607" s="116">
        <v>605</v>
      </c>
      <c r="B607" s="117" t="s">
        <v>5414</v>
      </c>
      <c r="C607" s="117" t="s">
        <v>4430</v>
      </c>
      <c r="D607" s="123" t="s">
        <v>5136</v>
      </c>
      <c r="E607" s="123" t="s">
        <v>79</v>
      </c>
      <c r="F607" s="123">
        <v>42278</v>
      </c>
      <c r="G607" s="124">
        <v>45931</v>
      </c>
      <c r="H607" s="116">
        <v>883.98</v>
      </c>
      <c r="I607" s="116" t="s">
        <v>13</v>
      </c>
      <c r="J607">
        <v>11307.358515</v>
      </c>
      <c r="K607" s="116">
        <v>7122958.5</v>
      </c>
      <c r="L607" t="s">
        <v>13</v>
      </c>
      <c r="M607" s="116">
        <v>2025</v>
      </c>
      <c r="N607" t="s">
        <v>13</v>
      </c>
    </row>
    <row r="608" spans="1:14" x14ac:dyDescent="0.25">
      <c r="A608" s="116">
        <v>606</v>
      </c>
      <c r="B608" s="117" t="s">
        <v>5414</v>
      </c>
      <c r="C608" s="117" t="s">
        <v>4391</v>
      </c>
      <c r="D608" s="123" t="s">
        <v>573</v>
      </c>
      <c r="E608" s="123" t="s">
        <v>79</v>
      </c>
      <c r="F608" s="123">
        <v>42644</v>
      </c>
      <c r="G608" s="124">
        <v>46296</v>
      </c>
      <c r="H608" s="116">
        <v>362.86</v>
      </c>
      <c r="I608" s="116" t="s">
        <v>13</v>
      </c>
      <c r="J608">
        <v>7548</v>
      </c>
      <c r="K608" s="116">
        <v>2007792</v>
      </c>
      <c r="L608" t="s">
        <v>13</v>
      </c>
      <c r="M608" s="116">
        <v>2026</v>
      </c>
      <c r="N608" t="s">
        <v>13</v>
      </c>
    </row>
    <row r="609" spans="1:14" x14ac:dyDescent="0.25">
      <c r="A609" s="116">
        <v>607</v>
      </c>
      <c r="B609" s="117" t="s">
        <v>5414</v>
      </c>
      <c r="C609" s="117" t="s">
        <v>4399</v>
      </c>
      <c r="D609" s="123" t="s">
        <v>573</v>
      </c>
      <c r="E609" s="123" t="s">
        <v>79</v>
      </c>
      <c r="F609" s="123">
        <v>42278</v>
      </c>
      <c r="G609" s="124">
        <v>45931</v>
      </c>
      <c r="H609" s="116">
        <v>358.76</v>
      </c>
      <c r="I609" s="116" t="s">
        <v>13</v>
      </c>
      <c r="J609">
        <v>6659.1201620000002</v>
      </c>
      <c r="K609" s="116">
        <v>2052364.5</v>
      </c>
      <c r="L609" t="s">
        <v>13</v>
      </c>
      <c r="M609" s="116">
        <v>2025</v>
      </c>
      <c r="N609" t="s">
        <v>13</v>
      </c>
    </row>
    <row r="610" spans="1:14" x14ac:dyDescent="0.25">
      <c r="A610" s="116">
        <v>608</v>
      </c>
      <c r="B610" s="117" t="s">
        <v>5414</v>
      </c>
      <c r="C610" s="117" t="s">
        <v>4402</v>
      </c>
      <c r="D610" s="123" t="s">
        <v>573</v>
      </c>
      <c r="E610" s="123" t="s">
        <v>79</v>
      </c>
      <c r="F610" s="123">
        <v>42278</v>
      </c>
      <c r="G610" s="124">
        <v>45931</v>
      </c>
      <c r="H610" s="116">
        <v>632.55999999999995</v>
      </c>
      <c r="I610" s="116" t="s">
        <v>13</v>
      </c>
      <c r="J610">
        <v>8554.4233550000008</v>
      </c>
      <c r="K610" s="116">
        <v>-3559064.5</v>
      </c>
      <c r="L610" t="s">
        <v>13</v>
      </c>
      <c r="M610" s="116">
        <v>2025</v>
      </c>
      <c r="N610" t="s">
        <v>13</v>
      </c>
    </row>
    <row r="611" spans="1:14" x14ac:dyDescent="0.25">
      <c r="A611" s="116">
        <v>609</v>
      </c>
      <c r="B611" s="117" t="s">
        <v>5414</v>
      </c>
      <c r="C611" s="117" t="s">
        <v>4398</v>
      </c>
      <c r="D611" s="123" t="s">
        <v>573</v>
      </c>
      <c r="E611" s="123" t="s">
        <v>79</v>
      </c>
      <c r="F611" s="123">
        <v>42278</v>
      </c>
      <c r="G611" s="124">
        <v>45931</v>
      </c>
      <c r="H611" s="116">
        <v>642.16</v>
      </c>
      <c r="I611" s="116" t="s">
        <v>13</v>
      </c>
      <c r="J611">
        <v>7682.5103879999997</v>
      </c>
      <c r="K611" s="116">
        <v>3687733.5</v>
      </c>
      <c r="L611" t="s">
        <v>13</v>
      </c>
      <c r="M611" s="116">
        <v>2025</v>
      </c>
      <c r="N611" t="s">
        <v>13</v>
      </c>
    </row>
    <row r="612" spans="1:14" x14ac:dyDescent="0.25">
      <c r="A612" s="116">
        <v>610</v>
      </c>
      <c r="B612" s="117" t="s">
        <v>5414</v>
      </c>
      <c r="C612" s="117" t="s">
        <v>4400</v>
      </c>
      <c r="D612" s="123" t="s">
        <v>573</v>
      </c>
      <c r="E612" s="123" t="s">
        <v>79</v>
      </c>
      <c r="F612" s="123">
        <v>42278</v>
      </c>
      <c r="G612" s="124">
        <v>45931</v>
      </c>
      <c r="H612" s="116">
        <v>480.21</v>
      </c>
      <c r="I612" s="116" t="s">
        <v>13</v>
      </c>
      <c r="J612">
        <v>9552.4782429999996</v>
      </c>
      <c r="K612" s="116">
        <v>2739165</v>
      </c>
      <c r="L612" t="s">
        <v>13</v>
      </c>
      <c r="M612" s="116">
        <v>2025</v>
      </c>
      <c r="N612" t="s">
        <v>13</v>
      </c>
    </row>
    <row r="613" spans="1:14" x14ac:dyDescent="0.25">
      <c r="A613" s="116">
        <v>611</v>
      </c>
      <c r="B613" s="117" t="s">
        <v>5414</v>
      </c>
      <c r="C613" s="117" t="s">
        <v>4396</v>
      </c>
      <c r="D613" s="123" t="s">
        <v>573</v>
      </c>
      <c r="E613" s="123" t="s">
        <v>79</v>
      </c>
      <c r="F613" s="123">
        <v>42278</v>
      </c>
      <c r="G613" s="124">
        <v>45931</v>
      </c>
      <c r="H613" s="116">
        <v>55.3</v>
      </c>
      <c r="I613" s="116" t="s">
        <v>13</v>
      </c>
      <c r="J613">
        <v>2870</v>
      </c>
      <c r="K613" s="116">
        <v>454044</v>
      </c>
      <c r="L613" t="s">
        <v>13</v>
      </c>
      <c r="M613" s="116">
        <v>2025</v>
      </c>
      <c r="N613" t="s">
        <v>13</v>
      </c>
    </row>
    <row r="614" spans="1:14" x14ac:dyDescent="0.25">
      <c r="A614" s="116">
        <v>612</v>
      </c>
      <c r="B614" s="117" t="s">
        <v>5414</v>
      </c>
      <c r="C614" s="117" t="s">
        <v>4397</v>
      </c>
      <c r="D614" s="123" t="s">
        <v>573</v>
      </c>
      <c r="E614" s="123" t="s">
        <v>79</v>
      </c>
      <c r="F614" s="123">
        <v>42278</v>
      </c>
      <c r="G614" s="124">
        <v>45931</v>
      </c>
      <c r="H614" s="116">
        <v>120.12</v>
      </c>
      <c r="I614" s="116" t="s">
        <v>13</v>
      </c>
      <c r="J614">
        <v>3445.224361</v>
      </c>
      <c r="K614" s="116">
        <v>501245.5</v>
      </c>
      <c r="L614" t="s">
        <v>13</v>
      </c>
      <c r="M614" s="116">
        <v>2025</v>
      </c>
      <c r="N614" t="s">
        <v>13</v>
      </c>
    </row>
    <row r="615" spans="1:14" x14ac:dyDescent="0.25">
      <c r="A615" s="116">
        <v>613</v>
      </c>
      <c r="B615" s="117" t="s">
        <v>5414</v>
      </c>
      <c r="C615" s="117" t="s">
        <v>4394</v>
      </c>
      <c r="D615" s="123" t="s">
        <v>573</v>
      </c>
      <c r="E615" s="123" t="s">
        <v>79</v>
      </c>
      <c r="F615" s="123">
        <v>42644</v>
      </c>
      <c r="G615" s="124">
        <v>46296</v>
      </c>
      <c r="H615" s="116">
        <v>621.20000000000005</v>
      </c>
      <c r="I615" s="116" t="s">
        <v>13</v>
      </c>
      <c r="J615">
        <v>7284.5290699999996</v>
      </c>
      <c r="K615" s="116">
        <v>3444323</v>
      </c>
      <c r="L615" t="s">
        <v>13</v>
      </c>
      <c r="M615" s="116">
        <v>2026</v>
      </c>
      <c r="N615" t="s">
        <v>13</v>
      </c>
    </row>
    <row r="616" spans="1:14" x14ac:dyDescent="0.25">
      <c r="A616" s="116">
        <v>614</v>
      </c>
      <c r="B616" s="117" t="s">
        <v>5414</v>
      </c>
      <c r="C616" s="117" t="s">
        <v>4395</v>
      </c>
      <c r="D616" s="123" t="s">
        <v>573</v>
      </c>
      <c r="E616" s="123" t="s">
        <v>79</v>
      </c>
      <c r="F616" s="123">
        <v>42278</v>
      </c>
      <c r="G616" s="124">
        <v>45931</v>
      </c>
      <c r="H616" s="116">
        <v>304.48</v>
      </c>
      <c r="I616" s="116" t="s">
        <v>13</v>
      </c>
      <c r="J616">
        <v>8324.9392889999999</v>
      </c>
      <c r="K616" s="116">
        <v>1772098.5</v>
      </c>
      <c r="L616" t="s">
        <v>13</v>
      </c>
      <c r="M616" s="116">
        <v>2025</v>
      </c>
      <c r="N616" t="s">
        <v>13</v>
      </c>
    </row>
    <row r="617" spans="1:14" x14ac:dyDescent="0.25">
      <c r="A617" s="116">
        <v>615</v>
      </c>
      <c r="B617" s="117" t="s">
        <v>5414</v>
      </c>
      <c r="C617" s="117" t="s">
        <v>4392</v>
      </c>
      <c r="D617" s="123" t="s">
        <v>573</v>
      </c>
      <c r="E617" s="123" t="s">
        <v>79</v>
      </c>
      <c r="F617" s="123">
        <v>42278</v>
      </c>
      <c r="G617" s="124">
        <v>45931</v>
      </c>
      <c r="H617" s="116">
        <v>516.25</v>
      </c>
      <c r="I617" s="116" t="s">
        <v>13</v>
      </c>
      <c r="J617">
        <v>10511.375174000001</v>
      </c>
      <c r="K617" s="116">
        <v>2984076.5</v>
      </c>
      <c r="L617" t="s">
        <v>13</v>
      </c>
      <c r="M617" s="116">
        <v>2025</v>
      </c>
      <c r="N617" t="s">
        <v>13</v>
      </c>
    </row>
    <row r="618" spans="1:14" x14ac:dyDescent="0.25">
      <c r="A618" s="116">
        <v>616</v>
      </c>
      <c r="B618" s="117" t="s">
        <v>5414</v>
      </c>
      <c r="C618" s="117" t="s">
        <v>4393</v>
      </c>
      <c r="D618" s="123" t="s">
        <v>573</v>
      </c>
      <c r="E618" s="123" t="s">
        <v>79</v>
      </c>
      <c r="F618" s="123">
        <v>42278</v>
      </c>
      <c r="G618" s="124">
        <v>45931</v>
      </c>
      <c r="H618" s="116">
        <v>544.86</v>
      </c>
      <c r="I618" s="116" t="s">
        <v>13</v>
      </c>
      <c r="J618">
        <v>7468.0908490000002</v>
      </c>
      <c r="K618" s="116">
        <v>3133518</v>
      </c>
      <c r="L618" t="s">
        <v>13</v>
      </c>
      <c r="M618" s="116">
        <v>2025</v>
      </c>
      <c r="N618" t="s">
        <v>13</v>
      </c>
    </row>
    <row r="619" spans="1:14" x14ac:dyDescent="0.25">
      <c r="A619" s="116">
        <v>617</v>
      </c>
      <c r="B619" s="117" t="s">
        <v>5414</v>
      </c>
      <c r="C619" s="117" t="s">
        <v>4390</v>
      </c>
      <c r="D619" s="123" t="s">
        <v>573</v>
      </c>
      <c r="E619" s="123" t="s">
        <v>79</v>
      </c>
      <c r="F619" s="123">
        <v>42278</v>
      </c>
      <c r="G619" s="124">
        <v>45931</v>
      </c>
      <c r="H619" s="116">
        <v>692.48</v>
      </c>
      <c r="I619" s="116" t="s">
        <v>13</v>
      </c>
      <c r="J619">
        <v>12489.690963999999</v>
      </c>
      <c r="K619" s="116">
        <v>3230147.5</v>
      </c>
      <c r="L619" t="s">
        <v>13</v>
      </c>
      <c r="M619" s="116">
        <v>2025</v>
      </c>
      <c r="N619" t="s">
        <v>13</v>
      </c>
    </row>
    <row r="620" spans="1:14" x14ac:dyDescent="0.25">
      <c r="A620" s="116">
        <v>618</v>
      </c>
      <c r="B620" s="117" t="s">
        <v>5414</v>
      </c>
      <c r="C620" s="117" t="s">
        <v>4408</v>
      </c>
      <c r="D620" s="123" t="s">
        <v>573</v>
      </c>
      <c r="E620" s="123" t="s">
        <v>79</v>
      </c>
      <c r="F620" s="123">
        <v>42278</v>
      </c>
      <c r="G620" s="124">
        <v>45931</v>
      </c>
      <c r="H620" s="116">
        <v>530.13</v>
      </c>
      <c r="I620" s="116" t="s">
        <v>13</v>
      </c>
      <c r="J620">
        <v>9536.3243910000001</v>
      </c>
      <c r="K620" s="116">
        <v>3079916</v>
      </c>
      <c r="L620" t="s">
        <v>13</v>
      </c>
      <c r="M620" s="116">
        <v>2025</v>
      </c>
      <c r="N620" t="s">
        <v>13</v>
      </c>
    </row>
    <row r="621" spans="1:14" x14ac:dyDescent="0.25">
      <c r="A621" s="116">
        <v>619</v>
      </c>
      <c r="B621" s="117" t="s">
        <v>5414</v>
      </c>
      <c r="C621" s="117" t="s">
        <v>4407</v>
      </c>
      <c r="D621" s="123" t="s">
        <v>573</v>
      </c>
      <c r="E621" s="123" t="s">
        <v>79</v>
      </c>
      <c r="F621" s="123">
        <v>42278</v>
      </c>
      <c r="G621" s="124">
        <v>45931</v>
      </c>
      <c r="H621" s="116">
        <v>641</v>
      </c>
      <c r="I621" s="116" t="s">
        <v>13</v>
      </c>
      <c r="J621">
        <v>7652.1236719999997</v>
      </c>
      <c r="K621" s="116">
        <v>3637090.49389</v>
      </c>
      <c r="L621" t="s">
        <v>13</v>
      </c>
      <c r="M621" s="116">
        <v>2025</v>
      </c>
      <c r="N621" t="s">
        <v>13</v>
      </c>
    </row>
    <row r="622" spans="1:14" x14ac:dyDescent="0.25">
      <c r="A622" s="116">
        <v>620</v>
      </c>
      <c r="B622" s="117" t="s">
        <v>5414</v>
      </c>
      <c r="C622" s="117" t="s">
        <v>4406</v>
      </c>
      <c r="D622" s="123" t="s">
        <v>573</v>
      </c>
      <c r="E622" s="123" t="s">
        <v>79</v>
      </c>
      <c r="F622" s="123">
        <v>42278</v>
      </c>
      <c r="G622" s="124">
        <v>45931</v>
      </c>
      <c r="H622" s="116">
        <v>399.77</v>
      </c>
      <c r="I622" s="116" t="s">
        <v>13</v>
      </c>
      <c r="J622">
        <v>7065.0333680000003</v>
      </c>
      <c r="K622" s="116">
        <v>2203676.5257000001</v>
      </c>
      <c r="L622" t="s">
        <v>13</v>
      </c>
      <c r="M622" s="116">
        <v>2025</v>
      </c>
      <c r="N622" t="s">
        <v>13</v>
      </c>
    </row>
    <row r="623" spans="1:14" x14ac:dyDescent="0.25">
      <c r="A623" s="116">
        <v>621</v>
      </c>
      <c r="B623" s="117" t="s">
        <v>5414</v>
      </c>
      <c r="C623" s="117" t="s">
        <v>4405</v>
      </c>
      <c r="D623" s="123" t="s">
        <v>573</v>
      </c>
      <c r="E623" s="123" t="s">
        <v>79</v>
      </c>
      <c r="F623" s="123">
        <v>42278</v>
      </c>
      <c r="G623" s="124">
        <v>45931</v>
      </c>
      <c r="H623" s="116">
        <v>369.4</v>
      </c>
      <c r="I623" s="116" t="s">
        <v>13</v>
      </c>
      <c r="J623">
        <v>6637.0186679999997</v>
      </c>
      <c r="K623" s="116">
        <v>2070553</v>
      </c>
      <c r="L623" t="s">
        <v>13</v>
      </c>
      <c r="M623" s="116">
        <v>2025</v>
      </c>
      <c r="N623" t="s">
        <v>13</v>
      </c>
    </row>
    <row r="624" spans="1:14" x14ac:dyDescent="0.25">
      <c r="A624" s="116">
        <v>622</v>
      </c>
      <c r="B624" s="117" t="s">
        <v>5414</v>
      </c>
      <c r="C624" s="117" t="s">
        <v>4425</v>
      </c>
      <c r="D624" s="123" t="s">
        <v>5430</v>
      </c>
      <c r="E624" s="123" t="s">
        <v>79</v>
      </c>
      <c r="F624" s="123">
        <v>42278</v>
      </c>
      <c r="G624" s="124">
        <v>45931</v>
      </c>
      <c r="H624" s="116">
        <v>636.16</v>
      </c>
      <c r="I624" s="116" t="s">
        <v>13</v>
      </c>
      <c r="J624">
        <v>7611.2574340000001</v>
      </c>
      <c r="K624" s="116">
        <v>3620407</v>
      </c>
      <c r="L624" t="s">
        <v>13</v>
      </c>
      <c r="M624" s="116">
        <v>2025</v>
      </c>
      <c r="N624" t="s">
        <v>13</v>
      </c>
    </row>
    <row r="625" spans="1:14" x14ac:dyDescent="0.25">
      <c r="A625" s="116">
        <v>623</v>
      </c>
      <c r="B625" s="117" t="s">
        <v>5414</v>
      </c>
      <c r="C625" s="117" t="s">
        <v>4426</v>
      </c>
      <c r="D625" s="123" t="s">
        <v>5430</v>
      </c>
      <c r="E625" s="123" t="s">
        <v>79</v>
      </c>
      <c r="F625" s="123">
        <v>42278</v>
      </c>
      <c r="G625" s="124">
        <v>45931</v>
      </c>
      <c r="H625" s="116">
        <v>631.6</v>
      </c>
      <c r="I625" s="116" t="s">
        <v>13</v>
      </c>
      <c r="J625">
        <v>7598.2069330000004</v>
      </c>
      <c r="K625" s="116">
        <v>3607692</v>
      </c>
      <c r="L625" t="s">
        <v>13</v>
      </c>
      <c r="M625" s="116">
        <v>2025</v>
      </c>
      <c r="N625" t="s">
        <v>13</v>
      </c>
    </row>
    <row r="626" spans="1:14" x14ac:dyDescent="0.25">
      <c r="A626" s="116">
        <v>624</v>
      </c>
      <c r="B626" s="117" t="s">
        <v>5414</v>
      </c>
      <c r="C626" s="117" t="s">
        <v>4427</v>
      </c>
      <c r="D626" s="123" t="s">
        <v>5430</v>
      </c>
      <c r="E626" s="123" t="s">
        <v>79</v>
      </c>
      <c r="F626" s="123">
        <v>42278</v>
      </c>
      <c r="G626" s="124">
        <v>45931</v>
      </c>
      <c r="H626" s="116">
        <v>533.32000000000005</v>
      </c>
      <c r="I626" s="116" t="s">
        <v>13</v>
      </c>
      <c r="J626">
        <v>7292.2918369999998</v>
      </c>
      <c r="K626" s="116">
        <v>2985023</v>
      </c>
      <c r="L626" t="s">
        <v>13</v>
      </c>
      <c r="M626" s="116">
        <v>2025</v>
      </c>
      <c r="N626" t="s">
        <v>13</v>
      </c>
    </row>
    <row r="627" spans="1:14" x14ac:dyDescent="0.25">
      <c r="A627" s="116">
        <v>625</v>
      </c>
      <c r="B627" s="117" t="s">
        <v>5414</v>
      </c>
      <c r="C627" s="117" t="s">
        <v>4421</v>
      </c>
      <c r="D627" s="123" t="s">
        <v>5430</v>
      </c>
      <c r="E627" s="123" t="s">
        <v>79</v>
      </c>
      <c r="F627" s="123">
        <v>42278</v>
      </c>
      <c r="G627" s="124">
        <v>45931</v>
      </c>
      <c r="H627" s="116">
        <v>12.5</v>
      </c>
      <c r="I627" s="116" t="s">
        <v>13</v>
      </c>
      <c r="J627">
        <v>1368.772821</v>
      </c>
      <c r="K627" s="116">
        <v>54818</v>
      </c>
      <c r="L627" t="s">
        <v>13</v>
      </c>
      <c r="M627" s="116">
        <v>2025</v>
      </c>
      <c r="N627" t="s">
        <v>13</v>
      </c>
    </row>
    <row r="628" spans="1:14" x14ac:dyDescent="0.25">
      <c r="A628" s="116">
        <v>626</v>
      </c>
      <c r="B628" s="117" t="s">
        <v>5414</v>
      </c>
      <c r="C628" s="117" t="s">
        <v>4422</v>
      </c>
      <c r="D628" s="123" t="s">
        <v>5430</v>
      </c>
      <c r="E628" s="123" t="s">
        <v>79</v>
      </c>
      <c r="F628" s="123">
        <v>42278</v>
      </c>
      <c r="G628" s="124">
        <v>45931</v>
      </c>
      <c r="H628" s="116">
        <v>429.13</v>
      </c>
      <c r="I628" s="116" t="s">
        <v>13</v>
      </c>
      <c r="J628">
        <v>6479.0944289999998</v>
      </c>
      <c r="K628" s="116">
        <v>2349299.5</v>
      </c>
      <c r="L628" t="s">
        <v>13</v>
      </c>
      <c r="M628" s="116">
        <v>2025</v>
      </c>
      <c r="N628" t="s">
        <v>13</v>
      </c>
    </row>
    <row r="629" spans="1:14" x14ac:dyDescent="0.25">
      <c r="A629" s="116">
        <v>627</v>
      </c>
      <c r="B629" s="117" t="s">
        <v>5414</v>
      </c>
      <c r="C629" s="117" t="s">
        <v>4424</v>
      </c>
      <c r="D629" s="123" t="s">
        <v>5430</v>
      </c>
      <c r="E629" s="123" t="s">
        <v>79</v>
      </c>
      <c r="F629" s="123">
        <v>42278</v>
      </c>
      <c r="G629" s="124">
        <v>45931</v>
      </c>
      <c r="H629" s="116">
        <v>642</v>
      </c>
      <c r="I629" s="116" t="s">
        <v>13</v>
      </c>
      <c r="J629">
        <v>7584.1372799999999</v>
      </c>
      <c r="K629" s="116">
        <v>3594713</v>
      </c>
      <c r="L629" t="s">
        <v>13</v>
      </c>
      <c r="M629" s="116">
        <v>2025</v>
      </c>
      <c r="N629" t="s">
        <v>13</v>
      </c>
    </row>
    <row r="630" spans="1:14" x14ac:dyDescent="0.25">
      <c r="A630" s="116">
        <v>628</v>
      </c>
      <c r="B630" s="117" t="s">
        <v>5414</v>
      </c>
      <c r="C630" s="117" t="s">
        <v>4415</v>
      </c>
      <c r="D630" s="123" t="s">
        <v>5430</v>
      </c>
      <c r="E630" s="123" t="s">
        <v>79</v>
      </c>
      <c r="F630" s="123">
        <v>42278</v>
      </c>
      <c r="G630" s="124">
        <v>45931</v>
      </c>
      <c r="H630" s="116">
        <v>638.47</v>
      </c>
      <c r="I630" s="116" t="s">
        <v>13</v>
      </c>
      <c r="J630">
        <v>7620.1433660000002</v>
      </c>
      <c r="K630" s="116">
        <v>3628929.5</v>
      </c>
      <c r="L630" t="s">
        <v>13</v>
      </c>
      <c r="M630" s="116">
        <v>2025</v>
      </c>
      <c r="N630" t="s">
        <v>13</v>
      </c>
    </row>
    <row r="631" spans="1:14" x14ac:dyDescent="0.25">
      <c r="A631" s="116">
        <v>629</v>
      </c>
      <c r="B631" s="117" t="s">
        <v>5414</v>
      </c>
      <c r="C631" s="117" t="s">
        <v>4420</v>
      </c>
      <c r="D631" s="123" t="s">
        <v>5430</v>
      </c>
      <c r="E631" s="123" t="s">
        <v>79</v>
      </c>
      <c r="F631" s="123">
        <v>42278</v>
      </c>
      <c r="G631" s="124">
        <v>45931</v>
      </c>
      <c r="H631" s="116">
        <v>51.1</v>
      </c>
      <c r="I631" s="116" t="s">
        <v>13</v>
      </c>
      <c r="J631">
        <v>2197.0007740000001</v>
      </c>
      <c r="K631" s="116">
        <v>292315</v>
      </c>
      <c r="L631" t="s">
        <v>13</v>
      </c>
      <c r="M631" s="116">
        <v>2025</v>
      </c>
      <c r="N631" t="s">
        <v>13</v>
      </c>
    </row>
    <row r="632" spans="1:14" x14ac:dyDescent="0.25">
      <c r="A632" s="116">
        <v>630</v>
      </c>
      <c r="B632" s="117" t="s">
        <v>5414</v>
      </c>
      <c r="C632" s="117" t="s">
        <v>4423</v>
      </c>
      <c r="D632" s="123" t="s">
        <v>5430</v>
      </c>
      <c r="E632" s="123" t="s">
        <v>79</v>
      </c>
      <c r="F632" s="123">
        <v>42278</v>
      </c>
      <c r="G632" s="124">
        <v>45931</v>
      </c>
      <c r="H632" s="116">
        <v>108.75</v>
      </c>
      <c r="I632" s="116" t="s">
        <v>13</v>
      </c>
      <c r="J632">
        <v>3209.7914040000001</v>
      </c>
      <c r="K632" s="116">
        <v>639868.5</v>
      </c>
      <c r="L632" t="s">
        <v>13</v>
      </c>
      <c r="M632" s="116">
        <v>2025</v>
      </c>
      <c r="N632" t="s">
        <v>13</v>
      </c>
    </row>
    <row r="633" spans="1:14" x14ac:dyDescent="0.25">
      <c r="A633" s="116">
        <v>631</v>
      </c>
      <c r="B633" s="117" t="s">
        <v>5414</v>
      </c>
      <c r="C633" s="117" t="s">
        <v>4416</v>
      </c>
      <c r="D633" s="123" t="s">
        <v>5430</v>
      </c>
      <c r="E633" s="123" t="s">
        <v>79</v>
      </c>
      <c r="F633" s="123">
        <v>42278</v>
      </c>
      <c r="G633" s="124">
        <v>45931</v>
      </c>
      <c r="H633" s="116">
        <v>83</v>
      </c>
      <c r="I633" s="116" t="s">
        <v>13</v>
      </c>
      <c r="J633">
        <v>2851.0539910000002</v>
      </c>
      <c r="K633" s="116">
        <v>454764.5</v>
      </c>
      <c r="L633" t="s">
        <v>13</v>
      </c>
      <c r="M633" s="116">
        <v>2025</v>
      </c>
      <c r="N633" t="s">
        <v>13</v>
      </c>
    </row>
    <row r="634" spans="1:14" x14ac:dyDescent="0.25">
      <c r="A634" s="116">
        <v>632</v>
      </c>
      <c r="B634" s="117" t="s">
        <v>5414</v>
      </c>
      <c r="C634" s="117" t="s">
        <v>4429</v>
      </c>
      <c r="D634" s="123" t="s">
        <v>5430</v>
      </c>
      <c r="E634" s="123" t="s">
        <v>79</v>
      </c>
      <c r="F634" s="123">
        <v>42278</v>
      </c>
      <c r="G634" s="124">
        <v>45931</v>
      </c>
      <c r="H634" s="116">
        <v>420.9</v>
      </c>
      <c r="I634" s="116" t="s">
        <v>13</v>
      </c>
      <c r="J634">
        <v>7629.1960859999999</v>
      </c>
      <c r="K634" s="116">
        <v>2226631.5</v>
      </c>
      <c r="L634" t="s">
        <v>13</v>
      </c>
      <c r="M634" s="116">
        <v>2025</v>
      </c>
      <c r="N634" t="s">
        <v>13</v>
      </c>
    </row>
    <row r="635" spans="1:14" x14ac:dyDescent="0.25">
      <c r="A635" s="116">
        <v>633</v>
      </c>
      <c r="B635" s="117" t="s">
        <v>5414</v>
      </c>
      <c r="C635" s="117" t="s">
        <v>4419</v>
      </c>
      <c r="D635" s="123" t="s">
        <v>5430</v>
      </c>
      <c r="E635" s="123" t="s">
        <v>79</v>
      </c>
      <c r="F635" s="123">
        <v>42278</v>
      </c>
      <c r="G635" s="124">
        <v>45931</v>
      </c>
      <c r="H635" s="116">
        <v>344.48</v>
      </c>
      <c r="I635" s="116" t="s">
        <v>13</v>
      </c>
      <c r="J635">
        <v>6190.313118</v>
      </c>
      <c r="K635" s="116">
        <v>1658381.5</v>
      </c>
      <c r="L635" t="s">
        <v>13</v>
      </c>
      <c r="M635" s="116">
        <v>2025</v>
      </c>
      <c r="N635" t="s">
        <v>13</v>
      </c>
    </row>
    <row r="636" spans="1:14" x14ac:dyDescent="0.25">
      <c r="A636" s="116">
        <v>634</v>
      </c>
      <c r="B636" s="117" t="s">
        <v>5414</v>
      </c>
      <c r="C636" s="117" t="s">
        <v>4418</v>
      </c>
      <c r="D636" s="123" t="s">
        <v>5430</v>
      </c>
      <c r="E636" s="123" t="s">
        <v>79</v>
      </c>
      <c r="F636" s="123">
        <v>42278</v>
      </c>
      <c r="G636" s="124">
        <v>45931</v>
      </c>
      <c r="H636" s="116">
        <v>533.76</v>
      </c>
      <c r="I636" s="116" t="s">
        <v>13</v>
      </c>
      <c r="J636">
        <v>7540.3971490000004</v>
      </c>
      <c r="K636" s="116">
        <v>2635634</v>
      </c>
      <c r="L636" t="s">
        <v>13</v>
      </c>
      <c r="M636" s="116">
        <v>2025</v>
      </c>
      <c r="N636" t="s">
        <v>13</v>
      </c>
    </row>
    <row r="637" spans="1:14" x14ac:dyDescent="0.25">
      <c r="A637" s="116">
        <v>635</v>
      </c>
      <c r="B637" s="117" t="s">
        <v>5414</v>
      </c>
      <c r="C637" s="117" t="s">
        <v>4417</v>
      </c>
      <c r="D637" s="123" t="s">
        <v>5430</v>
      </c>
      <c r="E637" s="123" t="s">
        <v>79</v>
      </c>
      <c r="F637" s="123">
        <v>42278</v>
      </c>
      <c r="G637" s="124">
        <v>45931</v>
      </c>
      <c r="H637" s="116">
        <v>59.28</v>
      </c>
      <c r="I637" s="116" t="s">
        <v>13</v>
      </c>
      <c r="J637">
        <v>2892.0928399999998</v>
      </c>
      <c r="K637" s="116">
        <v>468434</v>
      </c>
      <c r="L637" t="s">
        <v>13</v>
      </c>
      <c r="M637" s="116">
        <v>2025</v>
      </c>
      <c r="N637" t="s">
        <v>13</v>
      </c>
    </row>
    <row r="638" spans="1:14" x14ac:dyDescent="0.25">
      <c r="A638" s="116">
        <v>636</v>
      </c>
      <c r="B638" s="117" t="s">
        <v>5414</v>
      </c>
      <c r="C638" s="117" t="s">
        <v>4414</v>
      </c>
      <c r="D638" s="123" t="s">
        <v>5430</v>
      </c>
      <c r="E638" s="123" t="s">
        <v>79</v>
      </c>
      <c r="F638" s="123">
        <v>42278</v>
      </c>
      <c r="G638" s="124">
        <v>45931</v>
      </c>
      <c r="H638" s="116">
        <v>441.11</v>
      </c>
      <c r="I638" s="116" t="s">
        <v>13</v>
      </c>
      <c r="J638">
        <v>6916.3312610000003</v>
      </c>
      <c r="K638" s="116">
        <v>2308832.5</v>
      </c>
      <c r="L638" t="s">
        <v>13</v>
      </c>
      <c r="M638" s="116">
        <v>2025</v>
      </c>
      <c r="N638" t="s">
        <v>13</v>
      </c>
    </row>
    <row r="639" spans="1:14" x14ac:dyDescent="0.25">
      <c r="A639" s="116">
        <v>637</v>
      </c>
      <c r="B639" s="117" t="s">
        <v>5414</v>
      </c>
      <c r="C639" s="117" t="s">
        <v>4413</v>
      </c>
      <c r="D639" s="123" t="s">
        <v>5430</v>
      </c>
      <c r="E639" s="123" t="s">
        <v>79</v>
      </c>
      <c r="F639" s="123">
        <v>42278</v>
      </c>
      <c r="G639" s="124">
        <v>45931</v>
      </c>
      <c r="H639" s="116">
        <v>39.58</v>
      </c>
      <c r="I639" s="116" t="s">
        <v>13</v>
      </c>
      <c r="J639">
        <v>1954</v>
      </c>
      <c r="K639" s="116">
        <v>238392</v>
      </c>
      <c r="L639" t="s">
        <v>13</v>
      </c>
      <c r="M639" s="116">
        <v>2025</v>
      </c>
      <c r="N639" t="s">
        <v>13</v>
      </c>
    </row>
    <row r="640" spans="1:14" x14ac:dyDescent="0.25">
      <c r="A640" s="116">
        <v>638</v>
      </c>
      <c r="B640" s="117" t="s">
        <v>5414</v>
      </c>
      <c r="C640" s="117" t="s">
        <v>4411</v>
      </c>
      <c r="D640" s="123" t="s">
        <v>573</v>
      </c>
      <c r="E640" s="123" t="s">
        <v>79</v>
      </c>
      <c r="F640" s="123">
        <v>42278</v>
      </c>
      <c r="G640" s="124">
        <v>45931</v>
      </c>
      <c r="H640" s="116">
        <v>263.41000000000003</v>
      </c>
      <c r="I640" s="116" t="s">
        <v>13</v>
      </c>
      <c r="J640">
        <v>7434.1541909999996</v>
      </c>
      <c r="K640" s="116">
        <v>1523327</v>
      </c>
      <c r="L640" t="s">
        <v>13</v>
      </c>
      <c r="M640" s="116">
        <v>2025</v>
      </c>
      <c r="N640" t="s">
        <v>13</v>
      </c>
    </row>
    <row r="641" spans="1:14" x14ac:dyDescent="0.25">
      <c r="A641" s="116">
        <v>639</v>
      </c>
      <c r="B641" s="117" t="s">
        <v>5414</v>
      </c>
      <c r="C641" s="117" t="s">
        <v>4412</v>
      </c>
      <c r="D641" s="123" t="s">
        <v>573</v>
      </c>
      <c r="E641" s="123" t="s">
        <v>79</v>
      </c>
      <c r="F641" s="123">
        <v>42278</v>
      </c>
      <c r="G641" s="124">
        <v>45931</v>
      </c>
      <c r="H641" s="116">
        <v>409.54</v>
      </c>
      <c r="I641" s="116" t="s">
        <v>13</v>
      </c>
      <c r="J641">
        <v>15599.180114000001</v>
      </c>
      <c r="K641" s="116">
        <v>2354252.5</v>
      </c>
      <c r="L641" t="s">
        <v>13</v>
      </c>
      <c r="M641" s="116">
        <v>2025</v>
      </c>
      <c r="N641" t="s">
        <v>13</v>
      </c>
    </row>
    <row r="642" spans="1:14" x14ac:dyDescent="0.25">
      <c r="A642" s="116">
        <v>640</v>
      </c>
      <c r="B642" s="117" t="s">
        <v>5414</v>
      </c>
      <c r="C642" s="117" t="s">
        <v>4410</v>
      </c>
      <c r="D642" s="123" t="s">
        <v>573</v>
      </c>
      <c r="E642" s="123" t="s">
        <v>79</v>
      </c>
      <c r="F642" s="123">
        <v>42278</v>
      </c>
      <c r="G642" s="124">
        <v>45931</v>
      </c>
      <c r="H642" s="116">
        <v>539.16</v>
      </c>
      <c r="I642" s="116" t="s">
        <v>13</v>
      </c>
      <c r="J642">
        <v>15524.409551999999</v>
      </c>
      <c r="K642" s="116">
        <v>2952770</v>
      </c>
      <c r="L642" t="s">
        <v>13</v>
      </c>
      <c r="M642" s="116">
        <v>2025</v>
      </c>
      <c r="N642" t="s">
        <v>13</v>
      </c>
    </row>
    <row r="643" spans="1:14" x14ac:dyDescent="0.25">
      <c r="A643" s="116">
        <v>641</v>
      </c>
      <c r="B643" s="117" t="s">
        <v>5414</v>
      </c>
      <c r="C643" s="117" t="s">
        <v>4403</v>
      </c>
      <c r="D643" s="123" t="s">
        <v>573</v>
      </c>
      <c r="E643" s="123" t="s">
        <v>79</v>
      </c>
      <c r="F643" s="123">
        <v>42278</v>
      </c>
      <c r="G643" s="124">
        <v>45931</v>
      </c>
      <c r="H643" s="116">
        <v>641.36</v>
      </c>
      <c r="I643" s="116" t="s">
        <v>13</v>
      </c>
      <c r="J643">
        <v>7594.9340270000002</v>
      </c>
      <c r="K643" s="116">
        <v>3603852.5</v>
      </c>
      <c r="L643" t="s">
        <v>13</v>
      </c>
      <c r="M643" s="116">
        <v>2025</v>
      </c>
      <c r="N643" t="s">
        <v>13</v>
      </c>
    </row>
    <row r="644" spans="1:14" x14ac:dyDescent="0.25">
      <c r="A644" s="116">
        <v>642</v>
      </c>
      <c r="B644" s="117" t="s">
        <v>5414</v>
      </c>
      <c r="C644" s="117" t="s">
        <v>4401</v>
      </c>
      <c r="D644" s="123" t="s">
        <v>573</v>
      </c>
      <c r="E644" s="123" t="s">
        <v>79</v>
      </c>
      <c r="F644" s="123">
        <v>42278</v>
      </c>
      <c r="G644" s="124">
        <v>45931</v>
      </c>
      <c r="H644" s="116">
        <v>685.78</v>
      </c>
      <c r="I644" s="116" t="s">
        <v>13</v>
      </c>
      <c r="J644">
        <v>16174.432688999999</v>
      </c>
      <c r="K644" s="116">
        <v>3874863.5</v>
      </c>
      <c r="L644" t="s">
        <v>13</v>
      </c>
      <c r="M644" s="116">
        <v>2025</v>
      </c>
      <c r="N644" t="s">
        <v>13</v>
      </c>
    </row>
    <row r="645" spans="1:14" x14ac:dyDescent="0.25">
      <c r="A645" s="116">
        <v>643</v>
      </c>
      <c r="B645" s="117" t="s">
        <v>5414</v>
      </c>
      <c r="C645" s="117" t="s">
        <v>4404</v>
      </c>
      <c r="D645" s="123" t="s">
        <v>573</v>
      </c>
      <c r="E645" s="123" t="s">
        <v>79</v>
      </c>
      <c r="F645" s="123">
        <v>42278</v>
      </c>
      <c r="G645" s="124">
        <v>45931</v>
      </c>
      <c r="H645" s="116">
        <v>521.5</v>
      </c>
      <c r="I645" s="116" t="s">
        <v>13</v>
      </c>
      <c r="J645">
        <v>7557.2231570000004</v>
      </c>
      <c r="K645" s="116">
        <v>2949555</v>
      </c>
      <c r="L645" t="s">
        <v>13</v>
      </c>
      <c r="M645" s="116">
        <v>2025</v>
      </c>
      <c r="N645" t="s">
        <v>13</v>
      </c>
    </row>
    <row r="646" spans="1:14" x14ac:dyDescent="0.25">
      <c r="A646" s="116">
        <v>644</v>
      </c>
      <c r="B646" s="117" t="s">
        <v>5414</v>
      </c>
      <c r="C646" s="117" t="s">
        <v>4850</v>
      </c>
      <c r="D646" s="123" t="s">
        <v>904</v>
      </c>
      <c r="E646" s="123" t="s">
        <v>512</v>
      </c>
      <c r="F646" s="123">
        <v>42309</v>
      </c>
      <c r="G646" s="124">
        <v>45962</v>
      </c>
      <c r="H646" s="116">
        <v>1035</v>
      </c>
      <c r="I646" s="116" t="s">
        <v>13</v>
      </c>
      <c r="J646">
        <v>14476.169196999999</v>
      </c>
      <c r="K646" s="116">
        <v>6452680.5</v>
      </c>
      <c r="L646" t="s">
        <v>13</v>
      </c>
      <c r="M646" s="116">
        <v>2025</v>
      </c>
      <c r="N646" t="s">
        <v>13</v>
      </c>
    </row>
    <row r="647" spans="1:14" x14ac:dyDescent="0.25">
      <c r="A647" s="116">
        <v>645</v>
      </c>
      <c r="B647" s="117" t="s">
        <v>5414</v>
      </c>
      <c r="C647" s="117" t="s">
        <v>4853</v>
      </c>
      <c r="D647" s="123" t="s">
        <v>559</v>
      </c>
      <c r="E647" s="123" t="s">
        <v>512</v>
      </c>
      <c r="F647" s="123">
        <v>42309</v>
      </c>
      <c r="G647" s="124">
        <v>45962</v>
      </c>
      <c r="H647" s="116">
        <v>2081.62</v>
      </c>
      <c r="I647" s="116" t="s">
        <v>13</v>
      </c>
      <c r="J647">
        <v>25248.552478000001</v>
      </c>
      <c r="K647" s="116">
        <v>12890661.5</v>
      </c>
      <c r="L647" t="s">
        <v>13</v>
      </c>
      <c r="M647" s="116">
        <v>2025</v>
      </c>
      <c r="N647" t="s">
        <v>13</v>
      </c>
    </row>
    <row r="648" spans="1:14" x14ac:dyDescent="0.25">
      <c r="A648" s="116">
        <v>646</v>
      </c>
      <c r="B648" s="117" t="s">
        <v>5414</v>
      </c>
      <c r="C648" s="117" t="s">
        <v>4854</v>
      </c>
      <c r="D648" s="123" t="s">
        <v>904</v>
      </c>
      <c r="E648" s="123" t="s">
        <v>512</v>
      </c>
      <c r="F648" s="123">
        <v>42309</v>
      </c>
      <c r="G648" s="124">
        <v>45962</v>
      </c>
      <c r="H648" s="116">
        <v>1572.7</v>
      </c>
      <c r="I648" s="116" t="s">
        <v>13</v>
      </c>
      <c r="J648">
        <v>14785.388589</v>
      </c>
      <c r="K648" s="116">
        <v>9826019.5</v>
      </c>
      <c r="L648" t="s">
        <v>13</v>
      </c>
      <c r="M648" s="116">
        <v>2025</v>
      </c>
      <c r="N648" t="s">
        <v>13</v>
      </c>
    </row>
    <row r="649" spans="1:14" x14ac:dyDescent="0.25">
      <c r="A649" s="116">
        <v>647</v>
      </c>
      <c r="B649" s="117" t="s">
        <v>5414</v>
      </c>
      <c r="C649" s="117" t="s">
        <v>4855</v>
      </c>
      <c r="D649" s="123" t="s">
        <v>559</v>
      </c>
      <c r="E649" s="123" t="s">
        <v>512</v>
      </c>
      <c r="F649" s="123">
        <v>42309</v>
      </c>
      <c r="G649" s="124">
        <v>45962</v>
      </c>
      <c r="H649" s="116">
        <v>2219.5100000000002</v>
      </c>
      <c r="I649" s="116" t="s">
        <v>13</v>
      </c>
      <c r="J649">
        <v>22019.746958</v>
      </c>
      <c r="K649" s="116">
        <v>14026423</v>
      </c>
      <c r="L649" t="s">
        <v>13</v>
      </c>
      <c r="M649" s="116">
        <v>2025</v>
      </c>
      <c r="N649" t="s">
        <v>13</v>
      </c>
    </row>
    <row r="650" spans="1:14" x14ac:dyDescent="0.25">
      <c r="A650" s="116">
        <v>648</v>
      </c>
      <c r="B650" s="117" t="s">
        <v>5414</v>
      </c>
      <c r="C650" s="117" t="s">
        <v>4851</v>
      </c>
      <c r="D650" s="123" t="s">
        <v>904</v>
      </c>
      <c r="E650" s="123" t="s">
        <v>512</v>
      </c>
      <c r="F650" s="123">
        <v>42309</v>
      </c>
      <c r="G650" s="124">
        <v>45962</v>
      </c>
      <c r="H650" s="116">
        <v>676.28</v>
      </c>
      <c r="I650" s="116" t="s">
        <v>13</v>
      </c>
      <c r="J650">
        <v>15933.30875</v>
      </c>
      <c r="K650" s="116">
        <v>4237919</v>
      </c>
      <c r="L650" t="s">
        <v>13</v>
      </c>
      <c r="M650" s="116">
        <v>2025</v>
      </c>
      <c r="N650" t="s">
        <v>13</v>
      </c>
    </row>
    <row r="651" spans="1:14" x14ac:dyDescent="0.25">
      <c r="A651" s="116">
        <v>649</v>
      </c>
      <c r="B651" s="117" t="s">
        <v>5414</v>
      </c>
      <c r="C651" s="117" t="s">
        <v>4852</v>
      </c>
      <c r="D651" s="123" t="s">
        <v>904</v>
      </c>
      <c r="E651" s="123" t="s">
        <v>512</v>
      </c>
      <c r="F651" s="123">
        <v>42309</v>
      </c>
      <c r="G651" s="124">
        <v>45962</v>
      </c>
      <c r="H651" s="116">
        <v>320</v>
      </c>
      <c r="I651" s="116" t="s">
        <v>13</v>
      </c>
      <c r="J651">
        <v>8007.0045090000003</v>
      </c>
      <c r="K651" s="116">
        <v>2000988</v>
      </c>
      <c r="L651" t="s">
        <v>13</v>
      </c>
      <c r="M651" s="116">
        <v>2025</v>
      </c>
      <c r="N651" t="s">
        <v>13</v>
      </c>
    </row>
    <row r="652" spans="1:14" x14ac:dyDescent="0.25">
      <c r="A652" s="116">
        <v>650</v>
      </c>
      <c r="B652" s="117" t="s">
        <v>5414</v>
      </c>
      <c r="C652" s="117" t="s">
        <v>4650</v>
      </c>
      <c r="D652" s="123" t="s">
        <v>5227</v>
      </c>
      <c r="E652" s="123" t="s">
        <v>1050</v>
      </c>
      <c r="F652" s="123">
        <v>42644</v>
      </c>
      <c r="G652" s="124">
        <v>46296</v>
      </c>
      <c r="H652" s="116">
        <v>620</v>
      </c>
      <c r="I652" s="116" t="s">
        <v>13</v>
      </c>
      <c r="J652">
        <v>20836.616472999998</v>
      </c>
      <c r="K652" s="116">
        <v>5292981.5</v>
      </c>
      <c r="L652" t="s">
        <v>13</v>
      </c>
      <c r="M652" s="116">
        <v>2026</v>
      </c>
      <c r="N652" t="s">
        <v>13</v>
      </c>
    </row>
    <row r="653" spans="1:14" x14ac:dyDescent="0.25">
      <c r="A653" s="116">
        <v>651</v>
      </c>
      <c r="B653" s="117" t="s">
        <v>5414</v>
      </c>
      <c r="C653" s="117" t="s">
        <v>4649</v>
      </c>
      <c r="D653" s="123" t="s">
        <v>5227</v>
      </c>
      <c r="E653" s="123" t="s">
        <v>1050</v>
      </c>
      <c r="F653" s="123">
        <v>42644</v>
      </c>
      <c r="G653" s="124">
        <v>46296</v>
      </c>
      <c r="H653" s="116">
        <v>2007.17</v>
      </c>
      <c r="I653" s="116" t="s">
        <v>13</v>
      </c>
      <c r="J653">
        <v>37496.141856000002</v>
      </c>
      <c r="K653" s="116">
        <v>14267084</v>
      </c>
      <c r="L653" t="s">
        <v>13</v>
      </c>
      <c r="M653" s="116">
        <v>2026</v>
      </c>
      <c r="N653" t="s">
        <v>13</v>
      </c>
    </row>
    <row r="654" spans="1:14" x14ac:dyDescent="0.25">
      <c r="A654" s="116">
        <v>652</v>
      </c>
      <c r="B654" s="117" t="s">
        <v>5414</v>
      </c>
      <c r="C654" s="117" t="s">
        <v>4648</v>
      </c>
      <c r="D654" s="123" t="s">
        <v>5227</v>
      </c>
      <c r="E654" s="123" t="s">
        <v>1050</v>
      </c>
      <c r="F654" s="123">
        <v>42644</v>
      </c>
      <c r="G654" s="124">
        <v>46296</v>
      </c>
      <c r="H654" s="116">
        <v>990</v>
      </c>
      <c r="I654" s="116" t="s">
        <v>13</v>
      </c>
      <c r="J654">
        <v>18655.202765000002</v>
      </c>
      <c r="K654" s="116">
        <v>-7527994</v>
      </c>
      <c r="L654" t="s">
        <v>13</v>
      </c>
      <c r="M654" s="116">
        <v>2026</v>
      </c>
      <c r="N654" t="s">
        <v>13</v>
      </c>
    </row>
    <row r="655" spans="1:14" x14ac:dyDescent="0.25">
      <c r="A655" s="116">
        <v>653</v>
      </c>
      <c r="B655" s="117" t="s">
        <v>5414</v>
      </c>
      <c r="C655" s="117" t="s">
        <v>4647</v>
      </c>
      <c r="D655" s="123" t="s">
        <v>5227</v>
      </c>
      <c r="E655" s="123" t="s">
        <v>1050</v>
      </c>
      <c r="F655" s="123">
        <v>42644</v>
      </c>
      <c r="G655" s="124">
        <v>46296</v>
      </c>
      <c r="H655" s="116">
        <v>2052.5</v>
      </c>
      <c r="I655" s="116" t="s">
        <v>13</v>
      </c>
      <c r="J655">
        <v>40219.442915</v>
      </c>
      <c r="K655" s="116">
        <v>14044223</v>
      </c>
      <c r="L655" t="s">
        <v>13</v>
      </c>
      <c r="M655" s="116">
        <v>2026</v>
      </c>
      <c r="N655" t="s">
        <v>13</v>
      </c>
    </row>
    <row r="656" spans="1:14" x14ac:dyDescent="0.25">
      <c r="A656" s="116">
        <v>654</v>
      </c>
      <c r="B656" s="117" t="s">
        <v>5414</v>
      </c>
      <c r="C656" s="117" t="s">
        <v>4646</v>
      </c>
      <c r="D656" s="123" t="s">
        <v>5227</v>
      </c>
      <c r="E656" s="123" t="s">
        <v>1050</v>
      </c>
      <c r="F656" s="123">
        <v>42644</v>
      </c>
      <c r="G656" s="124">
        <v>46296</v>
      </c>
      <c r="H656" s="116">
        <v>513.92999999999995</v>
      </c>
      <c r="I656" s="116" t="s">
        <v>13</v>
      </c>
      <c r="J656">
        <v>20049.888859999999</v>
      </c>
      <c r="K656" s="116">
        <v>6367552.5</v>
      </c>
      <c r="L656" t="s">
        <v>13</v>
      </c>
      <c r="M656" s="116">
        <v>2026</v>
      </c>
      <c r="N656" t="s">
        <v>13</v>
      </c>
    </row>
    <row r="657" spans="1:14" x14ac:dyDescent="0.25">
      <c r="A657" s="116">
        <v>655</v>
      </c>
      <c r="B657" s="117" t="s">
        <v>5414</v>
      </c>
      <c r="C657" s="117" t="s">
        <v>4645</v>
      </c>
      <c r="D657" s="123" t="s">
        <v>5227</v>
      </c>
      <c r="E657" s="123" t="s">
        <v>1050</v>
      </c>
      <c r="F657" s="123">
        <v>42644</v>
      </c>
      <c r="G657" s="124">
        <v>46296</v>
      </c>
      <c r="H657" s="116">
        <v>889.33</v>
      </c>
      <c r="I657" s="116" t="s">
        <v>13</v>
      </c>
      <c r="J657">
        <v>14671.589395000001</v>
      </c>
      <c r="K657" s="116">
        <v>7141350.5</v>
      </c>
      <c r="L657" t="s">
        <v>13</v>
      </c>
      <c r="M657" s="116">
        <v>2026</v>
      </c>
      <c r="N657" t="s">
        <v>13</v>
      </c>
    </row>
    <row r="658" spans="1:14" x14ac:dyDescent="0.25">
      <c r="A658" s="116">
        <v>656</v>
      </c>
      <c r="B658" s="117" t="s">
        <v>5414</v>
      </c>
      <c r="C658" s="117" t="s">
        <v>4644</v>
      </c>
      <c r="D658" s="123" t="s">
        <v>5227</v>
      </c>
      <c r="E658" s="123" t="s">
        <v>1050</v>
      </c>
      <c r="F658" s="123">
        <v>42644</v>
      </c>
      <c r="G658" s="124">
        <v>46296</v>
      </c>
      <c r="H658" s="116">
        <v>1215.18</v>
      </c>
      <c r="I658" s="116" t="s">
        <v>13</v>
      </c>
      <c r="J658">
        <v>31813.733835999999</v>
      </c>
      <c r="K658" s="116">
        <v>9711189</v>
      </c>
      <c r="L658" t="s">
        <v>13</v>
      </c>
      <c r="M658" s="116">
        <v>2026</v>
      </c>
      <c r="N658" t="s">
        <v>13</v>
      </c>
    </row>
    <row r="659" spans="1:14" x14ac:dyDescent="0.25">
      <c r="A659" s="116">
        <v>657</v>
      </c>
      <c r="B659" s="117" t="s">
        <v>5414</v>
      </c>
      <c r="C659" s="117" t="s">
        <v>4642</v>
      </c>
      <c r="D659" s="123" t="s">
        <v>5227</v>
      </c>
      <c r="E659" s="123" t="s">
        <v>1050</v>
      </c>
      <c r="F659" s="123">
        <v>42644</v>
      </c>
      <c r="G659" s="124">
        <v>46296</v>
      </c>
      <c r="H659" s="116">
        <v>1270</v>
      </c>
      <c r="I659" s="116" t="s">
        <v>13</v>
      </c>
      <c r="J659">
        <v>46483.384835999997</v>
      </c>
      <c r="K659" s="116">
        <v>13258756.5</v>
      </c>
      <c r="L659" t="s">
        <v>13</v>
      </c>
      <c r="M659" s="116">
        <v>2026</v>
      </c>
      <c r="N659" t="s">
        <v>13</v>
      </c>
    </row>
    <row r="660" spans="1:14" x14ac:dyDescent="0.25">
      <c r="A660" s="116">
        <v>658</v>
      </c>
      <c r="B660" s="117" t="s">
        <v>5414</v>
      </c>
      <c r="C660" s="117" t="s">
        <v>4641</v>
      </c>
      <c r="D660" s="123" t="s">
        <v>5227</v>
      </c>
      <c r="E660" s="123" t="s">
        <v>1050</v>
      </c>
      <c r="F660" s="123">
        <v>42644</v>
      </c>
      <c r="G660" s="124">
        <v>46296</v>
      </c>
      <c r="H660" s="116">
        <v>1680</v>
      </c>
      <c r="I660" s="116" t="s">
        <v>13</v>
      </c>
      <c r="J660">
        <v>38924.469996</v>
      </c>
      <c r="K660" s="116">
        <v>-8370633</v>
      </c>
      <c r="L660" t="s">
        <v>13</v>
      </c>
      <c r="M660" s="116">
        <v>2026</v>
      </c>
      <c r="N660" t="s">
        <v>13</v>
      </c>
    </row>
    <row r="661" spans="1:14" x14ac:dyDescent="0.25">
      <c r="A661" s="116">
        <v>659</v>
      </c>
      <c r="B661" s="117" t="s">
        <v>5414</v>
      </c>
      <c r="C661" s="117" t="s">
        <v>4639</v>
      </c>
      <c r="D661" s="123" t="s">
        <v>5227</v>
      </c>
      <c r="E661" s="123" t="s">
        <v>1050</v>
      </c>
      <c r="F661" s="123">
        <v>42644</v>
      </c>
      <c r="G661" s="124">
        <v>46296</v>
      </c>
      <c r="H661" s="116">
        <v>79.849999999999994</v>
      </c>
      <c r="I661" s="116" t="s">
        <v>13</v>
      </c>
      <c r="J661">
        <v>4532</v>
      </c>
      <c r="K661" s="116">
        <v>616184</v>
      </c>
      <c r="L661" t="s">
        <v>13</v>
      </c>
      <c r="M661" s="116">
        <v>2026</v>
      </c>
      <c r="N661" t="s">
        <v>13</v>
      </c>
    </row>
    <row r="662" spans="1:14" x14ac:dyDescent="0.25">
      <c r="A662" s="116">
        <v>660</v>
      </c>
      <c r="B662" s="117" t="s">
        <v>5414</v>
      </c>
      <c r="C662" s="117" t="s">
        <v>4637</v>
      </c>
      <c r="D662" s="123" t="s">
        <v>5227</v>
      </c>
      <c r="E662" s="123" t="s">
        <v>1050</v>
      </c>
      <c r="F662" s="123">
        <v>42644</v>
      </c>
      <c r="G662" s="124">
        <v>46296</v>
      </c>
      <c r="H662" s="116">
        <v>1578.34</v>
      </c>
      <c r="I662" s="116" t="s">
        <v>13</v>
      </c>
      <c r="J662">
        <v>24961.969082</v>
      </c>
      <c r="K662" s="116">
        <v>-11516026.5</v>
      </c>
      <c r="L662" t="s">
        <v>13</v>
      </c>
      <c r="M662" s="116">
        <v>2026</v>
      </c>
      <c r="N662" t="s">
        <v>13</v>
      </c>
    </row>
    <row r="663" spans="1:14" x14ac:dyDescent="0.25">
      <c r="A663" s="116">
        <v>661</v>
      </c>
      <c r="B663" s="117" t="s">
        <v>5414</v>
      </c>
      <c r="C663" s="117" t="s">
        <v>4636</v>
      </c>
      <c r="D663" s="123" t="s">
        <v>5227</v>
      </c>
      <c r="E663" s="123" t="s">
        <v>1050</v>
      </c>
      <c r="F663" s="123">
        <v>42644</v>
      </c>
      <c r="G663" s="124">
        <v>46296</v>
      </c>
      <c r="H663" s="116">
        <v>935</v>
      </c>
      <c r="I663" s="116" t="s">
        <v>13</v>
      </c>
      <c r="J663">
        <v>26511.583269999999</v>
      </c>
      <c r="K663" s="116">
        <v>7166592.5</v>
      </c>
      <c r="L663" t="s">
        <v>13</v>
      </c>
      <c r="M663" s="116">
        <v>2026</v>
      </c>
      <c r="N663" t="s">
        <v>13</v>
      </c>
    </row>
    <row r="664" spans="1:14" x14ac:dyDescent="0.25">
      <c r="A664" s="116">
        <v>662</v>
      </c>
      <c r="B664" s="117" t="s">
        <v>5414</v>
      </c>
      <c r="C664" s="117" t="s">
        <v>4635</v>
      </c>
      <c r="D664" s="123" t="s">
        <v>5227</v>
      </c>
      <c r="E664" s="123" t="s">
        <v>1050</v>
      </c>
      <c r="F664" s="123">
        <v>42675</v>
      </c>
      <c r="G664" s="124">
        <v>46327</v>
      </c>
      <c r="H664" s="116">
        <v>106.3</v>
      </c>
      <c r="I664" s="116" t="s">
        <v>13</v>
      </c>
      <c r="J664">
        <v>5005.3391849999998</v>
      </c>
      <c r="K664" s="116">
        <v>769627.5</v>
      </c>
      <c r="L664" t="s">
        <v>13</v>
      </c>
      <c r="M664" s="116">
        <v>2026</v>
      </c>
      <c r="N664" t="s">
        <v>13</v>
      </c>
    </row>
    <row r="665" spans="1:14" x14ac:dyDescent="0.25">
      <c r="A665" s="116">
        <v>663</v>
      </c>
      <c r="B665" s="117" t="s">
        <v>5414</v>
      </c>
      <c r="C665" s="117" t="s">
        <v>4640</v>
      </c>
      <c r="D665" s="123" t="s">
        <v>5227</v>
      </c>
      <c r="E665" s="123" t="s">
        <v>1050</v>
      </c>
      <c r="F665" s="123">
        <v>42644</v>
      </c>
      <c r="G665" s="124">
        <v>46296</v>
      </c>
      <c r="H665" s="116">
        <v>1715.53</v>
      </c>
      <c r="I665" s="116" t="s">
        <v>13</v>
      </c>
      <c r="J665">
        <v>43301.287568</v>
      </c>
      <c r="K665" s="116">
        <v>-13087390</v>
      </c>
      <c r="L665" t="s">
        <v>13</v>
      </c>
      <c r="M665" s="116">
        <v>2026</v>
      </c>
      <c r="N665" t="s">
        <v>13</v>
      </c>
    </row>
    <row r="666" spans="1:14" x14ac:dyDescent="0.25">
      <c r="A666" s="116">
        <v>664</v>
      </c>
      <c r="B666" s="117" t="s">
        <v>5414</v>
      </c>
      <c r="C666" s="117" t="s">
        <v>2817</v>
      </c>
      <c r="D666" s="123" t="s">
        <v>573</v>
      </c>
      <c r="E666" s="123" t="s">
        <v>198</v>
      </c>
      <c r="F666" s="123">
        <v>40330</v>
      </c>
      <c r="G666" s="124">
        <v>43983</v>
      </c>
      <c r="H666" s="116">
        <v>10.728</v>
      </c>
      <c r="I666" s="116" t="s">
        <v>13</v>
      </c>
      <c r="J666">
        <v>1255.5391090000001</v>
      </c>
      <c r="K666" s="116">
        <v>55716.931401000002</v>
      </c>
      <c r="L666" t="s">
        <v>5431</v>
      </c>
      <c r="M666" s="116">
        <v>2020</v>
      </c>
      <c r="N666" t="s">
        <v>13</v>
      </c>
    </row>
    <row r="667" spans="1:14" x14ac:dyDescent="0.25">
      <c r="A667" s="116">
        <v>665</v>
      </c>
      <c r="B667" s="117" t="s">
        <v>5414</v>
      </c>
      <c r="C667" s="117" t="s">
        <v>4757</v>
      </c>
      <c r="D667" s="123" t="s">
        <v>951</v>
      </c>
      <c r="E667" s="123" t="s">
        <v>198</v>
      </c>
      <c r="F667" s="123">
        <v>41791</v>
      </c>
      <c r="G667" s="124">
        <v>45444</v>
      </c>
      <c r="H667" s="116">
        <v>27.66</v>
      </c>
      <c r="I667" s="116" t="s">
        <v>13</v>
      </c>
      <c r="J667">
        <v>1523.849162</v>
      </c>
      <c r="K667" s="116">
        <v>99140.303786999997</v>
      </c>
      <c r="L667" t="s">
        <v>13</v>
      </c>
      <c r="M667" s="116">
        <v>2024</v>
      </c>
      <c r="N667" t="s">
        <v>13</v>
      </c>
    </row>
    <row r="668" spans="1:14" x14ac:dyDescent="0.25">
      <c r="A668" s="116">
        <v>666</v>
      </c>
      <c r="B668" s="117" t="s">
        <v>5414</v>
      </c>
      <c r="C668" s="117" t="s">
        <v>4922</v>
      </c>
      <c r="D668" s="123" t="s">
        <v>1437</v>
      </c>
      <c r="E668" s="123" t="s">
        <v>79</v>
      </c>
      <c r="F668" s="123">
        <v>42278</v>
      </c>
      <c r="G668" s="124">
        <v>45931</v>
      </c>
      <c r="H668" s="116">
        <v>39.979999999999997</v>
      </c>
      <c r="I668" s="116" t="s">
        <v>13</v>
      </c>
      <c r="J668">
        <v>1913.372707</v>
      </c>
      <c r="K668" s="116">
        <v>228804.35933899999</v>
      </c>
      <c r="L668" t="s">
        <v>13</v>
      </c>
      <c r="M668" s="116">
        <v>2025</v>
      </c>
      <c r="N668" t="s">
        <v>13</v>
      </c>
    </row>
    <row r="669" spans="1:14" x14ac:dyDescent="0.25">
      <c r="A669" s="116">
        <v>667</v>
      </c>
      <c r="B669" s="117" t="s">
        <v>5414</v>
      </c>
      <c r="C669" s="117" t="s">
        <v>3193</v>
      </c>
      <c r="D669" s="123" t="s">
        <v>3194</v>
      </c>
      <c r="E669" s="123" t="s">
        <v>79</v>
      </c>
      <c r="F669" s="123">
        <v>40575</v>
      </c>
      <c r="G669" s="124">
        <v>44228</v>
      </c>
      <c r="H669" s="116">
        <v>583.49</v>
      </c>
      <c r="I669" s="116" t="s">
        <v>13</v>
      </c>
      <c r="J669">
        <v>8486.8015379999997</v>
      </c>
      <c r="K669" s="116">
        <v>2654975.5670500002</v>
      </c>
      <c r="L669" t="s">
        <v>13</v>
      </c>
      <c r="M669" s="116">
        <v>2021</v>
      </c>
      <c r="N669" t="s">
        <v>13</v>
      </c>
    </row>
    <row r="670" spans="1:14" x14ac:dyDescent="0.25">
      <c r="A670" s="116">
        <v>668</v>
      </c>
      <c r="B670" s="117" t="s">
        <v>5414</v>
      </c>
      <c r="C670" s="117" t="s">
        <v>2826</v>
      </c>
      <c r="D670" s="123" t="s">
        <v>2827</v>
      </c>
      <c r="E670" s="123" t="s">
        <v>79</v>
      </c>
      <c r="F670" s="123">
        <v>40422</v>
      </c>
      <c r="G670" s="124">
        <v>44075</v>
      </c>
      <c r="H670" s="116">
        <v>40</v>
      </c>
      <c r="I670" s="116" t="s">
        <v>13</v>
      </c>
      <c r="J670">
        <v>1891.134133</v>
      </c>
      <c r="K670" s="116">
        <v>223518.528999</v>
      </c>
      <c r="L670" t="s">
        <v>13</v>
      </c>
      <c r="M670" s="116">
        <v>2020</v>
      </c>
      <c r="N670" t="s">
        <v>13</v>
      </c>
    </row>
    <row r="671" spans="1:14" x14ac:dyDescent="0.25">
      <c r="A671" s="116">
        <v>669</v>
      </c>
      <c r="B671" s="117" t="s">
        <v>5414</v>
      </c>
      <c r="C671" s="117" t="s">
        <v>3365</v>
      </c>
      <c r="D671" s="123" t="s">
        <v>3348</v>
      </c>
      <c r="E671" s="123" t="s">
        <v>79</v>
      </c>
      <c r="F671" s="123">
        <v>40664</v>
      </c>
      <c r="G671" s="124">
        <v>44317</v>
      </c>
      <c r="H671" s="116">
        <v>1071.9100000000001</v>
      </c>
      <c r="I671" s="116" t="s">
        <v>13</v>
      </c>
      <c r="J671">
        <v>21782.177220000001</v>
      </c>
      <c r="K671" s="116">
        <v>6063818.8791399999</v>
      </c>
      <c r="L671" t="s">
        <v>5431</v>
      </c>
      <c r="M671" s="116">
        <v>2021</v>
      </c>
      <c r="N671" t="s">
        <v>13</v>
      </c>
    </row>
    <row r="672" spans="1:14" x14ac:dyDescent="0.25">
      <c r="A672" s="116">
        <v>670</v>
      </c>
      <c r="B672" s="117" t="s">
        <v>5414</v>
      </c>
      <c r="C672" s="117" t="s">
        <v>3122</v>
      </c>
      <c r="D672" s="123" t="s">
        <v>3103</v>
      </c>
      <c r="E672" s="123" t="s">
        <v>79</v>
      </c>
      <c r="F672" s="123">
        <v>40513</v>
      </c>
      <c r="G672" s="124">
        <v>44166</v>
      </c>
      <c r="H672" s="116">
        <v>517.26</v>
      </c>
      <c r="I672" s="116" t="s">
        <v>13</v>
      </c>
      <c r="J672">
        <v>7590.2052210000002</v>
      </c>
      <c r="K672" s="116">
        <v>2925706.8009700002</v>
      </c>
      <c r="L672" t="s">
        <v>13</v>
      </c>
      <c r="M672" s="116">
        <v>2020</v>
      </c>
      <c r="N672" t="s">
        <v>13</v>
      </c>
    </row>
    <row r="673" spans="1:14" x14ac:dyDescent="0.25">
      <c r="A673" s="116">
        <v>671</v>
      </c>
      <c r="B673" s="117" t="s">
        <v>5414</v>
      </c>
      <c r="C673" s="117" t="s">
        <v>4269</v>
      </c>
      <c r="D673" s="123" t="s">
        <v>4141</v>
      </c>
      <c r="E673" s="123" t="s">
        <v>79</v>
      </c>
      <c r="F673" s="123">
        <v>41122</v>
      </c>
      <c r="G673" s="124">
        <v>44774</v>
      </c>
      <c r="H673" s="116">
        <v>2022.78</v>
      </c>
      <c r="I673" s="116" t="s">
        <v>13</v>
      </c>
      <c r="J673">
        <v>15701.250545999999</v>
      </c>
      <c r="K673" s="116">
        <v>11659836.4769</v>
      </c>
      <c r="L673" t="s">
        <v>5431</v>
      </c>
      <c r="M673" s="116">
        <v>2022</v>
      </c>
      <c r="N673" t="s">
        <v>13</v>
      </c>
    </row>
    <row r="674" spans="1:14" x14ac:dyDescent="0.25">
      <c r="A674" s="116">
        <v>672</v>
      </c>
      <c r="B674" s="117" t="s">
        <v>5414</v>
      </c>
      <c r="C674" s="117" t="s">
        <v>4428</v>
      </c>
      <c r="D674" s="123" t="s">
        <v>4141</v>
      </c>
      <c r="E674" s="123" t="s">
        <v>79</v>
      </c>
      <c r="F674" s="123">
        <v>42278</v>
      </c>
      <c r="G674" s="124">
        <v>45931</v>
      </c>
      <c r="H674" s="116">
        <v>397.16</v>
      </c>
      <c r="I674" s="116" t="s">
        <v>13</v>
      </c>
      <c r="J674">
        <v>7619.8625309999998</v>
      </c>
      <c r="K674" s="116">
        <v>3636597.0033</v>
      </c>
      <c r="L674" t="s">
        <v>5431</v>
      </c>
      <c r="M674" s="116">
        <v>2025</v>
      </c>
      <c r="N674" t="s">
        <v>13</v>
      </c>
    </row>
    <row r="675" spans="1:14" x14ac:dyDescent="0.25">
      <c r="A675" s="116">
        <v>673</v>
      </c>
      <c r="B675" s="117" t="s">
        <v>5414</v>
      </c>
      <c r="C675" s="117" t="s">
        <v>2189</v>
      </c>
      <c r="D675" s="123" t="s">
        <v>2190</v>
      </c>
      <c r="E675" s="123" t="s">
        <v>79</v>
      </c>
      <c r="F675" s="123">
        <v>39692</v>
      </c>
      <c r="G675" s="124">
        <v>44075</v>
      </c>
      <c r="H675" s="116">
        <v>480.94</v>
      </c>
      <c r="I675" s="116" t="s">
        <v>13</v>
      </c>
      <c r="J675">
        <v>9123.6190700000006</v>
      </c>
      <c r="K675" s="116">
        <v>2641979.2393700001</v>
      </c>
      <c r="L675" t="s">
        <v>13</v>
      </c>
      <c r="M675" s="116">
        <v>2020</v>
      </c>
      <c r="N675" t="s">
        <v>13</v>
      </c>
    </row>
    <row r="676" spans="1:14" x14ac:dyDescent="0.25">
      <c r="A676" s="116">
        <v>674</v>
      </c>
      <c r="B676" s="117" t="s">
        <v>5414</v>
      </c>
      <c r="C676" s="117" t="s">
        <v>2395</v>
      </c>
      <c r="D676" s="123" t="s">
        <v>2397</v>
      </c>
      <c r="E676" s="123" t="s">
        <v>79</v>
      </c>
      <c r="F676" s="123">
        <v>39783</v>
      </c>
      <c r="G676" s="124">
        <v>43435</v>
      </c>
      <c r="H676" s="116">
        <v>40.090000000000003</v>
      </c>
      <c r="I676" s="116" t="s">
        <v>13</v>
      </c>
      <c r="J676">
        <v>1920.596309</v>
      </c>
      <c r="K676" s="116">
        <v>230525.24459300001</v>
      </c>
      <c r="L676" t="s">
        <v>13</v>
      </c>
      <c r="M676" s="116">
        <v>2018</v>
      </c>
      <c r="N676" t="s">
        <v>13</v>
      </c>
    </row>
    <row r="677" spans="1:14" x14ac:dyDescent="0.25">
      <c r="A677" s="116">
        <v>675</v>
      </c>
      <c r="B677" s="117" t="s">
        <v>5414</v>
      </c>
      <c r="C677" s="117" t="s">
        <v>3211</v>
      </c>
      <c r="D677" s="123" t="s">
        <v>3212</v>
      </c>
      <c r="E677" s="123" t="s">
        <v>79</v>
      </c>
      <c r="F677" s="123">
        <v>40575</v>
      </c>
      <c r="G677" s="124">
        <v>44228</v>
      </c>
      <c r="H677" s="116">
        <v>278.82</v>
      </c>
      <c r="I677" s="116" t="s">
        <v>13</v>
      </c>
      <c r="J677">
        <v>12290.394579</v>
      </c>
      <c r="K677" s="116">
        <v>1495950.18392</v>
      </c>
      <c r="L677" t="s">
        <v>5431</v>
      </c>
      <c r="M677" s="116">
        <v>2021</v>
      </c>
      <c r="N677" t="s">
        <v>13</v>
      </c>
    </row>
    <row r="678" spans="1:14" x14ac:dyDescent="0.25">
      <c r="A678" s="116">
        <v>676</v>
      </c>
      <c r="B678" s="117" t="s">
        <v>5414</v>
      </c>
      <c r="C678" s="117" t="s">
        <v>2830</v>
      </c>
      <c r="D678" s="123" t="s">
        <v>2831</v>
      </c>
      <c r="E678" s="123" t="s">
        <v>13</v>
      </c>
      <c r="F678" s="123">
        <v>40422</v>
      </c>
      <c r="G678" s="124">
        <v>44075</v>
      </c>
      <c r="H678" s="116">
        <v>39.61</v>
      </c>
      <c r="I678" s="116" t="s">
        <v>13</v>
      </c>
      <c r="J678">
        <v>1891.186596</v>
      </c>
      <c r="K678" s="116">
        <v>223516.79881099999</v>
      </c>
      <c r="L678" t="s">
        <v>13</v>
      </c>
      <c r="M678" s="116">
        <v>2020</v>
      </c>
      <c r="N678" t="s">
        <v>13</v>
      </c>
    </row>
    <row r="679" spans="1:14" x14ac:dyDescent="0.25">
      <c r="A679" s="116">
        <v>677</v>
      </c>
      <c r="B679" s="117" t="s">
        <v>5414</v>
      </c>
      <c r="C679" s="117" t="s">
        <v>2837</v>
      </c>
      <c r="D679" s="123" t="s">
        <v>2831</v>
      </c>
      <c r="E679" s="123" t="s">
        <v>79</v>
      </c>
      <c r="F679" s="123">
        <v>40422</v>
      </c>
      <c r="G679" s="124">
        <v>44075</v>
      </c>
      <c r="H679" s="116">
        <v>510.67</v>
      </c>
      <c r="I679" s="116" t="s">
        <v>13</v>
      </c>
      <c r="J679">
        <v>7535.64408</v>
      </c>
      <c r="K679" s="116">
        <v>2882136.9943200001</v>
      </c>
      <c r="L679" t="s">
        <v>13</v>
      </c>
      <c r="M679" s="116">
        <v>2020</v>
      </c>
      <c r="N679" t="s">
        <v>13</v>
      </c>
    </row>
    <row r="680" spans="1:14" x14ac:dyDescent="0.25">
      <c r="A680" s="116">
        <v>678</v>
      </c>
      <c r="B680" s="117" t="s">
        <v>5414</v>
      </c>
      <c r="C680" s="117" t="s">
        <v>4914</v>
      </c>
      <c r="D680" s="123" t="s">
        <v>982</v>
      </c>
      <c r="E680" s="123" t="s">
        <v>198</v>
      </c>
      <c r="F680" s="123">
        <v>42248</v>
      </c>
      <c r="G680" s="124">
        <v>45901</v>
      </c>
      <c r="H680" s="116">
        <v>610</v>
      </c>
      <c r="I680" s="116" t="s">
        <v>13</v>
      </c>
      <c r="J680">
        <v>8516.1311970000006</v>
      </c>
      <c r="K680" s="116">
        <v>3827222.4918900002</v>
      </c>
      <c r="L680" t="s">
        <v>13</v>
      </c>
      <c r="M680" s="116">
        <v>2025</v>
      </c>
      <c r="N680" t="s">
        <v>13</v>
      </c>
    </row>
    <row r="681" spans="1:14" x14ac:dyDescent="0.25">
      <c r="A681" s="116">
        <v>679</v>
      </c>
      <c r="B681" s="117" t="s">
        <v>5414</v>
      </c>
      <c r="C681" s="117" t="s">
        <v>3427</v>
      </c>
      <c r="D681" s="123" t="s">
        <v>3428</v>
      </c>
      <c r="E681" s="123" t="s">
        <v>79</v>
      </c>
      <c r="F681" s="123">
        <v>40664</v>
      </c>
      <c r="G681" s="124">
        <v>44317</v>
      </c>
      <c r="H681" s="116">
        <v>513.38</v>
      </c>
      <c r="I681" s="116" t="s">
        <v>13</v>
      </c>
      <c r="J681">
        <v>12488.157579999999</v>
      </c>
      <c r="K681" s="116">
        <v>3013140.59693</v>
      </c>
      <c r="L681" t="s">
        <v>5431</v>
      </c>
      <c r="M681" s="116">
        <v>2021</v>
      </c>
      <c r="N681" t="s">
        <v>13</v>
      </c>
    </row>
    <row r="682" spans="1:14" x14ac:dyDescent="0.25">
      <c r="A682" s="116">
        <v>680</v>
      </c>
      <c r="B682" s="117" t="s">
        <v>5414</v>
      </c>
      <c r="C682" s="117" t="s">
        <v>4725</v>
      </c>
      <c r="D682" s="123" t="s">
        <v>1469</v>
      </c>
      <c r="E682" s="123" t="s">
        <v>79</v>
      </c>
      <c r="F682" s="123">
        <v>41760</v>
      </c>
      <c r="G682" s="124">
        <v>45413</v>
      </c>
      <c r="H682" s="116">
        <v>2193</v>
      </c>
      <c r="I682" s="116" t="s">
        <v>13</v>
      </c>
      <c r="J682">
        <v>42396.730227</v>
      </c>
      <c r="K682" s="116">
        <v>20725578.858800001</v>
      </c>
      <c r="L682" t="s">
        <v>5431</v>
      </c>
      <c r="M682" s="116">
        <v>2024</v>
      </c>
      <c r="N682" t="s">
        <v>13</v>
      </c>
    </row>
    <row r="683" spans="1:14" hidden="1" x14ac:dyDescent="0.25">
      <c r="A683" s="116">
        <v>681</v>
      </c>
      <c r="B683" s="117" t="s">
        <v>5414</v>
      </c>
      <c r="C683" s="117" t="s">
        <v>2337</v>
      </c>
      <c r="D683" s="123" t="s">
        <v>564</v>
      </c>
      <c r="E683" s="123" t="s">
        <v>512</v>
      </c>
      <c r="F683" s="123">
        <v>39753</v>
      </c>
      <c r="G683" s="124">
        <v>43405</v>
      </c>
      <c r="H683" s="116">
        <v>945.11</v>
      </c>
      <c r="I683" s="116" t="s">
        <v>13</v>
      </c>
      <c r="J683">
        <v>14804.852072</v>
      </c>
      <c r="K683" s="116">
        <v>5852187.2067299997</v>
      </c>
      <c r="L683" t="s">
        <v>13</v>
      </c>
      <c r="M683" s="116">
        <v>2018</v>
      </c>
      <c r="N683" t="s">
        <v>13</v>
      </c>
    </row>
    <row r="684" spans="1:14" x14ac:dyDescent="0.25">
      <c r="A684" s="116">
        <v>682</v>
      </c>
      <c r="B684" s="117" t="s">
        <v>5414</v>
      </c>
      <c r="C684" s="117" t="s">
        <v>2591</v>
      </c>
      <c r="D684" s="123" t="s">
        <v>13</v>
      </c>
      <c r="E684" s="123" t="s">
        <v>13</v>
      </c>
      <c r="F684" s="123">
        <v>39934</v>
      </c>
      <c r="G684" s="124">
        <v>43586</v>
      </c>
      <c r="H684" s="116">
        <v>0</v>
      </c>
      <c r="I684" s="116" t="s">
        <v>13</v>
      </c>
      <c r="J684">
        <v>16388.681241999999</v>
      </c>
      <c r="K684" s="116">
        <v>7896076.5984500004</v>
      </c>
      <c r="L684" t="s">
        <v>13</v>
      </c>
      <c r="M684" s="116">
        <v>2019</v>
      </c>
      <c r="N684" t="s">
        <v>13</v>
      </c>
    </row>
    <row r="685" spans="1:14" x14ac:dyDescent="0.25">
      <c r="A685" s="116">
        <v>683</v>
      </c>
      <c r="B685" s="117" t="s">
        <v>5414</v>
      </c>
      <c r="C685" s="117" t="s">
        <v>2725</v>
      </c>
      <c r="D685" s="123" t="s">
        <v>2726</v>
      </c>
      <c r="E685" s="123" t="s">
        <v>308</v>
      </c>
      <c r="F685" s="123">
        <v>40330</v>
      </c>
      <c r="G685" s="124">
        <v>43983</v>
      </c>
      <c r="H685" s="116">
        <v>600.4</v>
      </c>
      <c r="I685" s="116" t="s">
        <v>13</v>
      </c>
      <c r="J685">
        <v>22195.538569</v>
      </c>
      <c r="K685" s="116">
        <v>3480821.3544700001</v>
      </c>
      <c r="L685" t="s">
        <v>13</v>
      </c>
      <c r="M685" s="116">
        <v>2020</v>
      </c>
      <c r="N685" t="s">
        <v>13</v>
      </c>
    </row>
    <row r="686" spans="1:14" x14ac:dyDescent="0.25">
      <c r="A686" s="116">
        <v>684</v>
      </c>
      <c r="B686" s="117" t="s">
        <v>5414</v>
      </c>
      <c r="C686" s="117" t="s">
        <v>2732</v>
      </c>
      <c r="D686" s="123" t="s">
        <v>2726</v>
      </c>
      <c r="E686" s="123" t="s">
        <v>308</v>
      </c>
      <c r="F686" s="123">
        <v>40330</v>
      </c>
      <c r="G686" s="124">
        <v>43983</v>
      </c>
      <c r="H686" s="116">
        <v>213.01</v>
      </c>
      <c r="I686" s="116" t="s">
        <v>13</v>
      </c>
      <c r="J686">
        <v>19170.482559</v>
      </c>
      <c r="K686" s="116">
        <v>10157308.956</v>
      </c>
      <c r="L686" t="s">
        <v>5431</v>
      </c>
      <c r="M686" s="116">
        <v>2020</v>
      </c>
      <c r="N686" t="s">
        <v>13</v>
      </c>
    </row>
    <row r="687" spans="1:14" x14ac:dyDescent="0.25">
      <c r="A687" s="116">
        <v>685</v>
      </c>
      <c r="B687" s="117" t="s">
        <v>5414</v>
      </c>
      <c r="C687" s="117" t="s">
        <v>2847</v>
      </c>
      <c r="D687" s="123" t="s">
        <v>2831</v>
      </c>
      <c r="E687" s="123" t="s">
        <v>79</v>
      </c>
      <c r="F687" s="123">
        <v>40422</v>
      </c>
      <c r="G687" s="124">
        <v>44075</v>
      </c>
      <c r="H687" s="116">
        <v>99.41</v>
      </c>
      <c r="I687" s="116" t="s">
        <v>13</v>
      </c>
      <c r="J687">
        <v>3336.1318040000001</v>
      </c>
      <c r="K687" s="116">
        <v>565105.80845999997</v>
      </c>
      <c r="L687" t="s">
        <v>13</v>
      </c>
      <c r="M687" s="116">
        <v>2020</v>
      </c>
      <c r="N687" t="s">
        <v>13</v>
      </c>
    </row>
    <row r="688" spans="1:14" x14ac:dyDescent="0.25">
      <c r="A688" s="116">
        <v>686</v>
      </c>
      <c r="B688" s="117" t="s">
        <v>5414</v>
      </c>
      <c r="C688" s="117" t="s">
        <v>2850</v>
      </c>
      <c r="D688" s="123" t="s">
        <v>2831</v>
      </c>
      <c r="E688" s="123" t="s">
        <v>79</v>
      </c>
      <c r="F688" s="123">
        <v>40422</v>
      </c>
      <c r="G688" s="124">
        <v>44075</v>
      </c>
      <c r="H688" s="116">
        <v>19.899999999999999</v>
      </c>
      <c r="I688" s="116" t="s">
        <v>13</v>
      </c>
      <c r="J688">
        <v>1423.246754</v>
      </c>
      <c r="K688" s="116">
        <v>112725.999344</v>
      </c>
      <c r="L688" t="s">
        <v>13</v>
      </c>
      <c r="M688" s="116">
        <v>2020</v>
      </c>
      <c r="N688" t="s">
        <v>13</v>
      </c>
    </row>
    <row r="689" spans="1:14" x14ac:dyDescent="0.25">
      <c r="A689" s="116">
        <v>687</v>
      </c>
      <c r="B689" s="117" t="s">
        <v>5414</v>
      </c>
      <c r="C689" s="117" t="s">
        <v>2888</v>
      </c>
      <c r="D689" s="123" t="s">
        <v>2889</v>
      </c>
      <c r="E689" s="123" t="s">
        <v>86</v>
      </c>
      <c r="F689" s="123">
        <v>40422</v>
      </c>
      <c r="G689" s="124">
        <v>44075</v>
      </c>
      <c r="H689" s="116">
        <v>80</v>
      </c>
      <c r="I689" s="116" t="s">
        <v>13</v>
      </c>
      <c r="J689">
        <v>4255.130948</v>
      </c>
      <c r="K689" s="116">
        <v>465140.44185200002</v>
      </c>
      <c r="L689" t="s">
        <v>5431</v>
      </c>
      <c r="M689" s="116">
        <v>2020</v>
      </c>
      <c r="N689" t="s">
        <v>13</v>
      </c>
    </row>
    <row r="690" spans="1:14" x14ac:dyDescent="0.25">
      <c r="A690" s="116">
        <v>688</v>
      </c>
      <c r="B690" s="117" t="s">
        <v>5414</v>
      </c>
      <c r="C690" s="117" t="s">
        <v>2856</v>
      </c>
      <c r="D690" s="123" t="s">
        <v>2857</v>
      </c>
      <c r="E690" s="123" t="s">
        <v>86</v>
      </c>
      <c r="F690" s="123">
        <v>40422</v>
      </c>
      <c r="G690" s="124">
        <v>44075</v>
      </c>
      <c r="H690" s="116">
        <v>80</v>
      </c>
      <c r="I690" s="116" t="s">
        <v>13</v>
      </c>
      <c r="J690">
        <v>2872.545572</v>
      </c>
      <c r="K690" s="116">
        <v>457234.36595599999</v>
      </c>
      <c r="L690" t="s">
        <v>13</v>
      </c>
      <c r="M690" s="116">
        <v>2020</v>
      </c>
      <c r="N690" t="s">
        <v>13</v>
      </c>
    </row>
    <row r="691" spans="1:14" x14ac:dyDescent="0.25">
      <c r="A691" s="116">
        <v>689</v>
      </c>
      <c r="B691" s="117" t="s">
        <v>5414</v>
      </c>
      <c r="C691" s="117" t="s">
        <v>2860</v>
      </c>
      <c r="D691" s="123" t="s">
        <v>2857</v>
      </c>
      <c r="E691" s="123" t="s">
        <v>86</v>
      </c>
      <c r="F691" s="123">
        <v>40422</v>
      </c>
      <c r="G691" s="124">
        <v>44075</v>
      </c>
      <c r="H691" s="116">
        <v>40</v>
      </c>
      <c r="I691" s="116" t="s">
        <v>13</v>
      </c>
      <c r="J691">
        <v>1913.092997</v>
      </c>
      <c r="K691" s="116">
        <v>228693.06613799999</v>
      </c>
      <c r="L691" t="s">
        <v>13</v>
      </c>
      <c r="M691" s="116">
        <v>2020</v>
      </c>
      <c r="N691" t="s">
        <v>13</v>
      </c>
    </row>
    <row r="692" spans="1:14" x14ac:dyDescent="0.25">
      <c r="A692" s="116">
        <v>690</v>
      </c>
      <c r="B692" s="117" t="s">
        <v>5414</v>
      </c>
      <c r="C692" s="117" t="s">
        <v>2863</v>
      </c>
      <c r="D692" s="123" t="s">
        <v>2857</v>
      </c>
      <c r="E692" s="123" t="s">
        <v>86</v>
      </c>
      <c r="F692" s="123">
        <v>40422</v>
      </c>
      <c r="G692" s="124">
        <v>44075</v>
      </c>
      <c r="H692" s="116">
        <v>160</v>
      </c>
      <c r="I692" s="116" t="s">
        <v>13</v>
      </c>
      <c r="J692">
        <v>4794.0884640000004</v>
      </c>
      <c r="K692" s="116">
        <v>916514.46330900001</v>
      </c>
      <c r="L692" t="s">
        <v>13</v>
      </c>
      <c r="M692" s="116">
        <v>2020</v>
      </c>
      <c r="N692" t="s">
        <v>13</v>
      </c>
    </row>
    <row r="693" spans="1:14" x14ac:dyDescent="0.25">
      <c r="A693" s="116">
        <v>691</v>
      </c>
      <c r="B693" s="117" t="s">
        <v>5414</v>
      </c>
      <c r="C693" s="117" t="s">
        <v>2870</v>
      </c>
      <c r="D693" s="123" t="s">
        <v>2857</v>
      </c>
      <c r="E693" s="123" t="s">
        <v>86</v>
      </c>
      <c r="F693" s="123">
        <v>40422</v>
      </c>
      <c r="G693" s="124">
        <v>44075</v>
      </c>
      <c r="H693" s="116">
        <v>40</v>
      </c>
      <c r="I693" s="116" t="s">
        <v>13</v>
      </c>
      <c r="J693">
        <v>1909.364065</v>
      </c>
      <c r="K693" s="116">
        <v>227607.47903399999</v>
      </c>
      <c r="L693" t="s">
        <v>13</v>
      </c>
      <c r="M693" s="116">
        <v>2020</v>
      </c>
      <c r="N693" t="s">
        <v>13</v>
      </c>
    </row>
    <row r="694" spans="1:14" x14ac:dyDescent="0.25">
      <c r="A694" s="116">
        <v>692</v>
      </c>
      <c r="B694" s="117" t="s">
        <v>5414</v>
      </c>
      <c r="C694" s="117" t="s">
        <v>2873</v>
      </c>
      <c r="D694" s="123" t="s">
        <v>2857</v>
      </c>
      <c r="E694" s="123" t="s">
        <v>86</v>
      </c>
      <c r="F694" s="123">
        <v>40422</v>
      </c>
      <c r="G694" s="124">
        <v>44075</v>
      </c>
      <c r="H694" s="116">
        <v>80</v>
      </c>
      <c r="I694" s="116" t="s">
        <v>13</v>
      </c>
      <c r="J694">
        <v>3782.71558</v>
      </c>
      <c r="K694" s="116">
        <v>447140.95722400001</v>
      </c>
      <c r="L694" t="s">
        <v>13</v>
      </c>
      <c r="M694" s="116">
        <v>2020</v>
      </c>
      <c r="N694" t="s">
        <v>13</v>
      </c>
    </row>
    <row r="695" spans="1:14" x14ac:dyDescent="0.25">
      <c r="A695" s="116">
        <v>693</v>
      </c>
      <c r="B695" s="117" t="s">
        <v>5414</v>
      </c>
      <c r="C695" s="117" t="s">
        <v>2875</v>
      </c>
      <c r="D695" s="123" t="s">
        <v>2857</v>
      </c>
      <c r="E695" s="123" t="s">
        <v>86</v>
      </c>
      <c r="F695" s="123">
        <v>40422</v>
      </c>
      <c r="G695" s="124">
        <v>44075</v>
      </c>
      <c r="H695" s="116">
        <v>60</v>
      </c>
      <c r="I695" s="116" t="s">
        <v>13</v>
      </c>
      <c r="J695">
        <v>7727.380682</v>
      </c>
      <c r="K695" s="116">
        <v>3737845.7363399998</v>
      </c>
      <c r="L695" t="s">
        <v>5431</v>
      </c>
      <c r="M695" s="116">
        <v>2020</v>
      </c>
      <c r="N695" t="s">
        <v>13</v>
      </c>
    </row>
    <row r="696" spans="1:14" x14ac:dyDescent="0.25">
      <c r="A696" s="116">
        <v>694</v>
      </c>
      <c r="B696" s="117" t="s">
        <v>5414</v>
      </c>
      <c r="C696" s="117" t="s">
        <v>2880</v>
      </c>
      <c r="D696" s="123" t="s">
        <v>2857</v>
      </c>
      <c r="E696" s="123" t="s">
        <v>86</v>
      </c>
      <c r="F696" s="123">
        <v>40422</v>
      </c>
      <c r="G696" s="124">
        <v>44075</v>
      </c>
      <c r="H696" s="116">
        <v>40</v>
      </c>
      <c r="I696" s="116" t="s">
        <v>13</v>
      </c>
      <c r="J696">
        <v>1863.195256</v>
      </c>
      <c r="K696" s="116">
        <v>216837.24647899999</v>
      </c>
      <c r="L696" t="s">
        <v>13</v>
      </c>
      <c r="M696" s="116">
        <v>2020</v>
      </c>
      <c r="N696" t="s">
        <v>13</v>
      </c>
    </row>
    <row r="697" spans="1:14" x14ac:dyDescent="0.25">
      <c r="A697" s="116">
        <v>695</v>
      </c>
      <c r="B697" s="117" t="s">
        <v>5414</v>
      </c>
      <c r="C697" s="117" t="s">
        <v>2883</v>
      </c>
      <c r="D697" s="123" t="s">
        <v>2857</v>
      </c>
      <c r="E697" s="123" t="s">
        <v>86</v>
      </c>
      <c r="F697" s="123">
        <v>40422</v>
      </c>
      <c r="G697" s="124">
        <v>44075</v>
      </c>
      <c r="H697" s="116">
        <v>160</v>
      </c>
      <c r="I697" s="116" t="s">
        <v>13</v>
      </c>
      <c r="J697">
        <v>6673.0568030000004</v>
      </c>
      <c r="K697" s="116">
        <v>910013.572315</v>
      </c>
      <c r="L697" t="s">
        <v>13</v>
      </c>
      <c r="M697" s="116">
        <v>2020</v>
      </c>
      <c r="N697" t="s">
        <v>13</v>
      </c>
    </row>
    <row r="698" spans="1:14" x14ac:dyDescent="0.25">
      <c r="A698" s="116">
        <v>696</v>
      </c>
      <c r="B698" s="117" t="s">
        <v>5414</v>
      </c>
      <c r="C698" s="117" t="s">
        <v>2885</v>
      </c>
      <c r="D698" s="123" t="s">
        <v>2857</v>
      </c>
      <c r="E698" s="123" t="s">
        <v>86</v>
      </c>
      <c r="F698" s="123">
        <v>40422</v>
      </c>
      <c r="G698" s="124">
        <v>44075</v>
      </c>
      <c r="H698" s="116">
        <v>40</v>
      </c>
      <c r="I698" s="116" t="s">
        <v>13</v>
      </c>
      <c r="J698">
        <v>1909.792365</v>
      </c>
      <c r="K698" s="116">
        <v>227950.543928</v>
      </c>
      <c r="L698" t="s">
        <v>5431</v>
      </c>
      <c r="M698" s="116">
        <v>2020</v>
      </c>
      <c r="N698" t="s">
        <v>13</v>
      </c>
    </row>
    <row r="699" spans="1:14" x14ac:dyDescent="0.25">
      <c r="A699" s="116">
        <v>697</v>
      </c>
      <c r="B699" s="117" t="s">
        <v>5414</v>
      </c>
      <c r="C699" s="117" t="s">
        <v>2892</v>
      </c>
      <c r="D699" s="123" t="s">
        <v>2857</v>
      </c>
      <c r="E699" s="123" t="s">
        <v>86</v>
      </c>
      <c r="F699" s="123">
        <v>40422</v>
      </c>
      <c r="G699" s="124">
        <v>44075</v>
      </c>
      <c r="H699" s="116">
        <v>80</v>
      </c>
      <c r="I699" s="116" t="s">
        <v>13</v>
      </c>
      <c r="J699">
        <v>2841.6000079999999</v>
      </c>
      <c r="K699" s="116">
        <v>446992.64099599997</v>
      </c>
      <c r="L699" t="s">
        <v>13</v>
      </c>
      <c r="M699" s="116">
        <v>2020</v>
      </c>
      <c r="N699" t="s">
        <v>13</v>
      </c>
    </row>
    <row r="700" spans="1:14" x14ac:dyDescent="0.25">
      <c r="A700" s="116">
        <v>698</v>
      </c>
      <c r="B700" s="117" t="s">
        <v>5414</v>
      </c>
      <c r="C700" s="117" t="s">
        <v>3063</v>
      </c>
      <c r="D700" s="123" t="s">
        <v>564</v>
      </c>
      <c r="E700" s="123" t="s">
        <v>512</v>
      </c>
      <c r="F700" s="123">
        <v>40452</v>
      </c>
      <c r="G700" s="124">
        <v>44105</v>
      </c>
      <c r="H700" s="116">
        <v>251.82</v>
      </c>
      <c r="I700" s="116" t="s">
        <v>13</v>
      </c>
      <c r="J700">
        <v>6221.7340119999999</v>
      </c>
      <c r="K700" s="116">
        <v>1538406.12041</v>
      </c>
      <c r="L700" t="s">
        <v>13</v>
      </c>
      <c r="M700" s="116">
        <v>2020</v>
      </c>
      <c r="N700" t="s">
        <v>13</v>
      </c>
    </row>
    <row r="701" spans="1:14" x14ac:dyDescent="0.25">
      <c r="A701" s="116">
        <v>699</v>
      </c>
      <c r="B701" s="117" t="s">
        <v>5414</v>
      </c>
      <c r="C701" s="117" t="s">
        <v>3093</v>
      </c>
      <c r="D701" s="123" t="s">
        <v>3094</v>
      </c>
      <c r="E701" s="123" t="s">
        <v>79</v>
      </c>
      <c r="F701" s="123">
        <v>40513</v>
      </c>
      <c r="G701" s="124">
        <v>44166</v>
      </c>
      <c r="H701" s="116">
        <v>319.3</v>
      </c>
      <c r="I701" s="116" t="s">
        <v>13</v>
      </c>
      <c r="J701">
        <v>10447.439992</v>
      </c>
      <c r="K701" s="116">
        <v>1806944.0915699999</v>
      </c>
      <c r="L701" t="s">
        <v>13</v>
      </c>
      <c r="M701" s="116">
        <v>2020</v>
      </c>
      <c r="N701" t="s">
        <v>13</v>
      </c>
    </row>
    <row r="702" spans="1:14" x14ac:dyDescent="0.25">
      <c r="A702" s="116">
        <v>700</v>
      </c>
      <c r="B702" s="117" t="s">
        <v>5414</v>
      </c>
      <c r="C702" s="117" t="s">
        <v>3210</v>
      </c>
      <c r="D702" s="123" t="s">
        <v>3194</v>
      </c>
      <c r="E702" s="123" t="s">
        <v>79</v>
      </c>
      <c r="F702" s="123">
        <v>40575</v>
      </c>
      <c r="G702" s="124">
        <v>44228</v>
      </c>
      <c r="H702" s="116">
        <v>169.39</v>
      </c>
      <c r="I702" s="116" t="s">
        <v>13</v>
      </c>
      <c r="J702">
        <v>9380.9504469999993</v>
      </c>
      <c r="K702" s="116">
        <v>4783054.0509700002</v>
      </c>
      <c r="L702" t="s">
        <v>5431</v>
      </c>
      <c r="M702" s="116">
        <v>2021</v>
      </c>
      <c r="N702" t="s">
        <v>13</v>
      </c>
    </row>
    <row r="703" spans="1:14" x14ac:dyDescent="0.25">
      <c r="A703" s="116">
        <v>701</v>
      </c>
      <c r="B703" s="117" t="s">
        <v>5414</v>
      </c>
      <c r="C703" s="117" t="s">
        <v>3208</v>
      </c>
      <c r="D703" s="123" t="s">
        <v>5432</v>
      </c>
      <c r="E703" s="123" t="s">
        <v>79</v>
      </c>
      <c r="F703" s="123">
        <v>40575</v>
      </c>
      <c r="G703" s="124">
        <v>44228</v>
      </c>
      <c r="H703" s="116">
        <v>287.04000000000002</v>
      </c>
      <c r="I703" s="116" t="s">
        <v>13</v>
      </c>
      <c r="J703">
        <v>7621.5950899999998</v>
      </c>
      <c r="K703" s="116">
        <v>3064601.7200600002</v>
      </c>
      <c r="L703" t="s">
        <v>5431</v>
      </c>
      <c r="M703" s="116">
        <v>2021</v>
      </c>
      <c r="N703" t="s">
        <v>13</v>
      </c>
    </row>
    <row r="704" spans="1:14" x14ac:dyDescent="0.25">
      <c r="A704" s="116">
        <v>702</v>
      </c>
      <c r="B704" s="117" t="s">
        <v>5414</v>
      </c>
      <c r="C704" s="117" t="s">
        <v>3198</v>
      </c>
      <c r="D704" s="123" t="s">
        <v>3199</v>
      </c>
      <c r="E704" s="123" t="s">
        <v>79</v>
      </c>
      <c r="F704" s="123">
        <v>40575</v>
      </c>
      <c r="G704" s="124">
        <v>44228</v>
      </c>
      <c r="H704" s="116">
        <v>55.5</v>
      </c>
      <c r="I704" s="116" t="s">
        <v>13</v>
      </c>
      <c r="J704">
        <v>4256.9688939999996</v>
      </c>
      <c r="K704" s="116">
        <v>361381.566422</v>
      </c>
      <c r="L704" t="s">
        <v>5431</v>
      </c>
      <c r="M704" s="116">
        <v>2021</v>
      </c>
      <c r="N704" t="s">
        <v>13</v>
      </c>
    </row>
    <row r="705" spans="1:14" x14ac:dyDescent="0.25">
      <c r="A705" s="116">
        <v>703</v>
      </c>
      <c r="B705" s="117" t="s">
        <v>5414</v>
      </c>
      <c r="C705" s="117" t="s">
        <v>3203</v>
      </c>
      <c r="D705" s="123" t="s">
        <v>3199</v>
      </c>
      <c r="E705" s="123" t="s">
        <v>79</v>
      </c>
      <c r="F705" s="123">
        <v>40575</v>
      </c>
      <c r="G705" s="124">
        <v>44228</v>
      </c>
      <c r="H705" s="116">
        <v>213.97</v>
      </c>
      <c r="I705" s="116" t="s">
        <v>13</v>
      </c>
      <c r="J705">
        <v>9493.4381819999999</v>
      </c>
      <c r="K705" s="116">
        <v>2697936.5219200002</v>
      </c>
      <c r="L705" t="s">
        <v>5431</v>
      </c>
      <c r="M705" s="116">
        <v>2021</v>
      </c>
      <c r="N705" t="s">
        <v>13</v>
      </c>
    </row>
    <row r="706" spans="1:14" x14ac:dyDescent="0.25">
      <c r="A706" s="116">
        <v>704</v>
      </c>
      <c r="B706" s="117" t="s">
        <v>5414</v>
      </c>
      <c r="C706" s="117" t="s">
        <v>3378</v>
      </c>
      <c r="D706" s="123" t="s">
        <v>3379</v>
      </c>
      <c r="E706" s="123" t="s">
        <v>79</v>
      </c>
      <c r="F706" s="123">
        <v>40664</v>
      </c>
      <c r="G706" s="124">
        <v>44317</v>
      </c>
      <c r="H706" s="116">
        <v>976.88</v>
      </c>
      <c r="I706" s="116" t="s">
        <v>13</v>
      </c>
      <c r="J706">
        <v>21325.266787</v>
      </c>
      <c r="K706" s="116">
        <v>5410082.2112100003</v>
      </c>
      <c r="L706" t="s">
        <v>13</v>
      </c>
      <c r="M706" s="116">
        <v>2021</v>
      </c>
      <c r="N706" t="s">
        <v>13</v>
      </c>
    </row>
    <row r="707" spans="1:14" x14ac:dyDescent="0.25">
      <c r="A707" s="116">
        <v>705</v>
      </c>
      <c r="B707" s="117" t="s">
        <v>5414</v>
      </c>
      <c r="C707" s="117" t="s">
        <v>3383</v>
      </c>
      <c r="D707" s="123" t="s">
        <v>3379</v>
      </c>
      <c r="E707" s="123" t="s">
        <v>79</v>
      </c>
      <c r="F707" s="123">
        <v>40664</v>
      </c>
      <c r="G707" s="124">
        <v>44317</v>
      </c>
      <c r="H707" s="116">
        <v>761.76</v>
      </c>
      <c r="I707" s="116" t="s">
        <v>13</v>
      </c>
      <c r="J707">
        <v>17068.296622000002</v>
      </c>
      <c r="K707" s="116">
        <v>4284443.2698600003</v>
      </c>
      <c r="L707" t="s">
        <v>5431</v>
      </c>
      <c r="M707" s="116">
        <v>2021</v>
      </c>
      <c r="N707" t="s">
        <v>13</v>
      </c>
    </row>
    <row r="708" spans="1:14" x14ac:dyDescent="0.25">
      <c r="A708" s="116">
        <v>706</v>
      </c>
      <c r="B708" s="117" t="s">
        <v>5414</v>
      </c>
      <c r="C708" s="117" t="s">
        <v>3386</v>
      </c>
      <c r="D708" s="123" t="s">
        <v>3379</v>
      </c>
      <c r="E708" s="123" t="s">
        <v>79</v>
      </c>
      <c r="F708" s="123">
        <v>40664</v>
      </c>
      <c r="G708" s="124">
        <v>44317</v>
      </c>
      <c r="H708" s="116">
        <v>1079.17</v>
      </c>
      <c r="I708" s="116" t="s">
        <v>13</v>
      </c>
      <c r="J708">
        <v>10432.289334999999</v>
      </c>
      <c r="K708" s="116">
        <v>5852701.5904099997</v>
      </c>
      <c r="L708" t="s">
        <v>5431</v>
      </c>
      <c r="M708" s="116">
        <v>2021</v>
      </c>
      <c r="N708" t="s">
        <v>13</v>
      </c>
    </row>
    <row r="709" spans="1:14" x14ac:dyDescent="0.25">
      <c r="A709" s="116">
        <v>707</v>
      </c>
      <c r="B709" s="117" t="s">
        <v>5414</v>
      </c>
      <c r="C709" s="117" t="s">
        <v>3388</v>
      </c>
      <c r="D709" s="123" t="s">
        <v>3379</v>
      </c>
      <c r="E709" s="123" t="s">
        <v>79</v>
      </c>
      <c r="F709" s="123">
        <v>40664</v>
      </c>
      <c r="G709" s="124">
        <v>44317</v>
      </c>
      <c r="H709" s="116">
        <v>19.829999999999998</v>
      </c>
      <c r="I709" s="116" t="s">
        <v>13</v>
      </c>
      <c r="J709">
        <v>1414.364795</v>
      </c>
      <c r="K709" s="116">
        <v>111322.56363</v>
      </c>
      <c r="L709" t="s">
        <v>13</v>
      </c>
      <c r="M709" s="116">
        <v>2021</v>
      </c>
      <c r="N709" t="s">
        <v>13</v>
      </c>
    </row>
    <row r="710" spans="1:14" x14ac:dyDescent="0.25">
      <c r="A710" s="116">
        <v>708</v>
      </c>
      <c r="B710" s="117" t="s">
        <v>5414</v>
      </c>
      <c r="C710" s="117" t="s">
        <v>3390</v>
      </c>
      <c r="D710" s="123" t="s">
        <v>3379</v>
      </c>
      <c r="E710" s="123" t="s">
        <v>79</v>
      </c>
      <c r="F710" s="123">
        <v>40664</v>
      </c>
      <c r="G710" s="124">
        <v>44317</v>
      </c>
      <c r="H710" s="116">
        <v>1283.5899999999999</v>
      </c>
      <c r="I710" s="116" t="s">
        <v>13</v>
      </c>
      <c r="J710">
        <v>24111.263419999999</v>
      </c>
      <c r="K710" s="116">
        <v>7276180.7974399999</v>
      </c>
      <c r="L710" t="s">
        <v>5431</v>
      </c>
      <c r="M710" s="116">
        <v>2021</v>
      </c>
      <c r="N710" t="s">
        <v>13</v>
      </c>
    </row>
    <row r="711" spans="1:14" x14ac:dyDescent="0.25">
      <c r="A711" s="116">
        <v>709</v>
      </c>
      <c r="B711" s="117" t="s">
        <v>5414</v>
      </c>
      <c r="C711" s="117" t="s">
        <v>3393</v>
      </c>
      <c r="D711" s="123" t="s">
        <v>3379</v>
      </c>
      <c r="E711" s="123" t="s">
        <v>79</v>
      </c>
      <c r="F711" s="123">
        <v>40664</v>
      </c>
      <c r="G711" s="124">
        <v>44317</v>
      </c>
      <c r="H711" s="116">
        <v>848.11</v>
      </c>
      <c r="I711" s="116" t="s">
        <v>13</v>
      </c>
      <c r="J711">
        <v>16111.140992000001</v>
      </c>
      <c r="K711" s="116">
        <v>4934842.6077500004</v>
      </c>
      <c r="L711" t="s">
        <v>5431</v>
      </c>
      <c r="M711" s="116">
        <v>2021</v>
      </c>
      <c r="N711" t="s">
        <v>13</v>
      </c>
    </row>
    <row r="712" spans="1:14" x14ac:dyDescent="0.25">
      <c r="A712" s="116">
        <v>710</v>
      </c>
      <c r="B712" s="117" t="s">
        <v>5414</v>
      </c>
      <c r="C712" s="117" t="s">
        <v>3396</v>
      </c>
      <c r="D712" s="123" t="s">
        <v>3379</v>
      </c>
      <c r="E712" s="123" t="s">
        <v>79</v>
      </c>
      <c r="F712" s="123">
        <v>40664</v>
      </c>
      <c r="G712" s="124">
        <v>44317</v>
      </c>
      <c r="H712" s="116">
        <v>802.2</v>
      </c>
      <c r="I712" s="116" t="s">
        <v>13</v>
      </c>
      <c r="J712">
        <v>13293.025127999999</v>
      </c>
      <c r="K712" s="116">
        <v>4510713.4076800002</v>
      </c>
      <c r="L712" t="s">
        <v>13</v>
      </c>
      <c r="M712" s="116">
        <v>2021</v>
      </c>
      <c r="N712" t="s">
        <v>13</v>
      </c>
    </row>
    <row r="713" spans="1:14" x14ac:dyDescent="0.25">
      <c r="A713" s="116">
        <v>711</v>
      </c>
      <c r="B713" s="117" t="s">
        <v>5414</v>
      </c>
      <c r="C713" s="117" t="s">
        <v>3399</v>
      </c>
      <c r="D713" s="123" t="s">
        <v>3379</v>
      </c>
      <c r="E713" s="123" t="s">
        <v>79</v>
      </c>
      <c r="F713" s="123">
        <v>40664</v>
      </c>
      <c r="G713" s="124">
        <v>44317</v>
      </c>
      <c r="H713" s="116">
        <v>1239.46</v>
      </c>
      <c r="I713" s="116" t="s">
        <v>13</v>
      </c>
      <c r="J713">
        <v>13268.39054</v>
      </c>
      <c r="K713" s="116">
        <v>6969208.02245</v>
      </c>
      <c r="L713" t="s">
        <v>13</v>
      </c>
      <c r="M713" s="116">
        <v>2021</v>
      </c>
      <c r="N713" t="s">
        <v>13</v>
      </c>
    </row>
    <row r="714" spans="1:14" x14ac:dyDescent="0.25">
      <c r="A714" s="116">
        <v>712</v>
      </c>
      <c r="B714" s="117" t="s">
        <v>5414</v>
      </c>
      <c r="C714" s="117" t="s">
        <v>3401</v>
      </c>
      <c r="D714" s="123" t="s">
        <v>3379</v>
      </c>
      <c r="E714" s="123" t="s">
        <v>79</v>
      </c>
      <c r="F714" s="123">
        <v>40664</v>
      </c>
      <c r="G714" s="124">
        <v>44317</v>
      </c>
      <c r="H714" s="116">
        <v>1453.53</v>
      </c>
      <c r="I714" s="116" t="s">
        <v>13</v>
      </c>
      <c r="J714">
        <v>18935.895516</v>
      </c>
      <c r="K714" s="116">
        <v>8160189.5309600001</v>
      </c>
      <c r="L714" t="s">
        <v>13</v>
      </c>
      <c r="M714" s="116">
        <v>2021</v>
      </c>
      <c r="N714" t="s">
        <v>13</v>
      </c>
    </row>
    <row r="715" spans="1:14" x14ac:dyDescent="0.25">
      <c r="A715" s="116">
        <v>713</v>
      </c>
      <c r="B715" s="117" t="s">
        <v>5414</v>
      </c>
      <c r="C715" s="117" t="s">
        <v>3404</v>
      </c>
      <c r="D715" s="123" t="s">
        <v>3379</v>
      </c>
      <c r="E715" s="123" t="s">
        <v>79</v>
      </c>
      <c r="F715" s="123">
        <v>40664</v>
      </c>
      <c r="G715" s="124">
        <v>44317</v>
      </c>
      <c r="H715" s="116">
        <v>1107.43</v>
      </c>
      <c r="I715" s="116" t="s">
        <v>13</v>
      </c>
      <c r="J715">
        <v>12768.318654999999</v>
      </c>
      <c r="K715" s="116">
        <v>4195187.43004</v>
      </c>
      <c r="L715" t="s">
        <v>5431</v>
      </c>
      <c r="M715" s="116">
        <v>2021</v>
      </c>
      <c r="N715" t="s">
        <v>13</v>
      </c>
    </row>
    <row r="716" spans="1:14" x14ac:dyDescent="0.25">
      <c r="A716" s="116">
        <v>714</v>
      </c>
      <c r="B716" s="117" t="s">
        <v>5414</v>
      </c>
      <c r="C716" s="117" t="s">
        <v>3407</v>
      </c>
      <c r="D716" s="123" t="s">
        <v>3379</v>
      </c>
      <c r="E716" s="123" t="s">
        <v>79</v>
      </c>
      <c r="F716" s="123">
        <v>40664</v>
      </c>
      <c r="G716" s="124">
        <v>44317</v>
      </c>
      <c r="H716" s="116">
        <v>323.39</v>
      </c>
      <c r="I716" s="116" t="s">
        <v>13</v>
      </c>
      <c r="J716">
        <v>11598.455979</v>
      </c>
      <c r="K716" s="116">
        <v>1847521.8388100001</v>
      </c>
      <c r="L716" t="s">
        <v>13</v>
      </c>
      <c r="M716" s="116">
        <v>2021</v>
      </c>
      <c r="N716" t="s">
        <v>13</v>
      </c>
    </row>
    <row r="717" spans="1:14" x14ac:dyDescent="0.25">
      <c r="A717" s="116">
        <v>715</v>
      </c>
      <c r="B717" s="117" t="s">
        <v>5414</v>
      </c>
      <c r="C717" s="117" t="s">
        <v>3411</v>
      </c>
      <c r="D717" s="123" t="s">
        <v>3379</v>
      </c>
      <c r="E717" s="123" t="s">
        <v>79</v>
      </c>
      <c r="F717" s="123">
        <v>40664</v>
      </c>
      <c r="G717" s="124">
        <v>44317</v>
      </c>
      <c r="H717" s="116">
        <v>1219.1199999999999</v>
      </c>
      <c r="I717" s="116" t="s">
        <v>13</v>
      </c>
      <c r="J717">
        <v>15172.342601</v>
      </c>
      <c r="K717" s="116">
        <v>6894130.3842599997</v>
      </c>
      <c r="L717" t="s">
        <v>5431</v>
      </c>
      <c r="M717" s="116">
        <v>2021</v>
      </c>
      <c r="N717" t="s">
        <v>13</v>
      </c>
    </row>
    <row r="718" spans="1:14" x14ac:dyDescent="0.25">
      <c r="A718" s="116">
        <v>716</v>
      </c>
      <c r="B718" s="117" t="s">
        <v>5414</v>
      </c>
      <c r="C718" s="117" t="s">
        <v>3414</v>
      </c>
      <c r="D718" s="123" t="s">
        <v>3379</v>
      </c>
      <c r="E718" s="123" t="s">
        <v>79</v>
      </c>
      <c r="F718" s="123">
        <v>40664</v>
      </c>
      <c r="G718" s="124">
        <v>44317</v>
      </c>
      <c r="H718" s="116">
        <v>80</v>
      </c>
      <c r="I718" s="116" t="s">
        <v>13</v>
      </c>
      <c r="J718">
        <v>2837.89131</v>
      </c>
      <c r="K718" s="116">
        <v>445458.20671400003</v>
      </c>
      <c r="L718" t="s">
        <v>13</v>
      </c>
      <c r="M718" s="116">
        <v>2021</v>
      </c>
      <c r="N718" t="s">
        <v>13</v>
      </c>
    </row>
    <row r="719" spans="1:14" x14ac:dyDescent="0.25">
      <c r="A719" s="116">
        <v>717</v>
      </c>
      <c r="B719" s="117" t="s">
        <v>5414</v>
      </c>
      <c r="C719" s="117" t="s">
        <v>3417</v>
      </c>
      <c r="D719" s="123" t="s">
        <v>3379</v>
      </c>
      <c r="E719" s="123" t="s">
        <v>79</v>
      </c>
      <c r="F719" s="123">
        <v>40664</v>
      </c>
      <c r="G719" s="124">
        <v>44317</v>
      </c>
      <c r="H719" s="116">
        <v>299.45</v>
      </c>
      <c r="I719" s="116" t="s">
        <v>13</v>
      </c>
      <c r="J719">
        <v>7118.7421469999999</v>
      </c>
      <c r="K719" s="116">
        <v>1687095.64166</v>
      </c>
      <c r="L719" t="s">
        <v>13</v>
      </c>
      <c r="M719" s="116">
        <v>2021</v>
      </c>
      <c r="N719" t="s">
        <v>13</v>
      </c>
    </row>
    <row r="720" spans="1:14" x14ac:dyDescent="0.25">
      <c r="A720" s="116">
        <v>718</v>
      </c>
      <c r="B720" s="117" t="s">
        <v>5414</v>
      </c>
      <c r="C720" s="117" t="s">
        <v>3420</v>
      </c>
      <c r="D720" s="123" t="s">
        <v>3379</v>
      </c>
      <c r="E720" s="123" t="s">
        <v>79</v>
      </c>
      <c r="F720" s="123">
        <v>40664</v>
      </c>
      <c r="G720" s="124">
        <v>44317</v>
      </c>
      <c r="H720" s="116">
        <v>79.14</v>
      </c>
      <c r="I720" s="116" t="s">
        <v>13</v>
      </c>
      <c r="J720">
        <v>2842.5261519999999</v>
      </c>
      <c r="K720" s="116">
        <v>446877.90854799998</v>
      </c>
      <c r="L720" t="s">
        <v>13</v>
      </c>
      <c r="M720" s="116">
        <v>2021</v>
      </c>
      <c r="N720" t="s">
        <v>13</v>
      </c>
    </row>
    <row r="721" spans="1:14" x14ac:dyDescent="0.25">
      <c r="A721" s="116">
        <v>719</v>
      </c>
      <c r="B721" s="117" t="s">
        <v>5414</v>
      </c>
      <c r="C721" s="117" t="s">
        <v>3423</v>
      </c>
      <c r="D721" s="123" t="s">
        <v>3379</v>
      </c>
      <c r="E721" s="123" t="s">
        <v>79</v>
      </c>
      <c r="F721" s="123">
        <v>40664</v>
      </c>
      <c r="G721" s="124">
        <v>44317</v>
      </c>
      <c r="H721" s="116">
        <v>77.25</v>
      </c>
      <c r="I721" s="116" t="s">
        <v>13</v>
      </c>
      <c r="J721">
        <v>3286.2937980000002</v>
      </c>
      <c r="K721" s="116">
        <v>562449.46318900003</v>
      </c>
      <c r="L721" t="s">
        <v>5431</v>
      </c>
      <c r="M721" s="116">
        <v>2021</v>
      </c>
      <c r="N721" t="s">
        <v>13</v>
      </c>
    </row>
    <row r="722" spans="1:14" x14ac:dyDescent="0.25">
      <c r="A722" s="116">
        <v>720</v>
      </c>
      <c r="B722" s="117" t="s">
        <v>5414</v>
      </c>
      <c r="C722" s="117" t="s">
        <v>3431</v>
      </c>
      <c r="D722" s="123" t="s">
        <v>3379</v>
      </c>
      <c r="E722" s="123" t="s">
        <v>79</v>
      </c>
      <c r="F722" s="123">
        <v>40664</v>
      </c>
      <c r="G722" s="124">
        <v>44317</v>
      </c>
      <c r="H722" s="116">
        <v>301.67</v>
      </c>
      <c r="I722" s="116" t="s">
        <v>13</v>
      </c>
      <c r="J722">
        <v>9479.6799319999991</v>
      </c>
      <c r="K722" s="116">
        <v>1794160.13818</v>
      </c>
      <c r="L722" t="s">
        <v>5431</v>
      </c>
      <c r="M722" s="116">
        <v>2021</v>
      </c>
      <c r="N722" t="s">
        <v>13</v>
      </c>
    </row>
    <row r="723" spans="1:14" x14ac:dyDescent="0.25">
      <c r="A723" s="116">
        <v>721</v>
      </c>
      <c r="B723" s="117" t="s">
        <v>5414</v>
      </c>
      <c r="C723" s="117" t="s">
        <v>3434</v>
      </c>
      <c r="D723" s="123" t="s">
        <v>3379</v>
      </c>
      <c r="E723" s="123" t="s">
        <v>79</v>
      </c>
      <c r="F723" s="123">
        <v>40664</v>
      </c>
      <c r="G723" s="124">
        <v>44317</v>
      </c>
      <c r="H723" s="116">
        <v>37.56</v>
      </c>
      <c r="I723" s="116" t="s">
        <v>13</v>
      </c>
      <c r="J723">
        <v>1883.6706919999999</v>
      </c>
      <c r="K723" s="116">
        <v>221656.23535999999</v>
      </c>
      <c r="L723" t="s">
        <v>5431</v>
      </c>
      <c r="M723" s="116">
        <v>2021</v>
      </c>
      <c r="N723" t="s">
        <v>13</v>
      </c>
    </row>
    <row r="724" spans="1:14" x14ac:dyDescent="0.25">
      <c r="A724" s="116">
        <v>722</v>
      </c>
      <c r="B724" s="117" t="s">
        <v>5414</v>
      </c>
      <c r="C724" s="117" t="s">
        <v>3437</v>
      </c>
      <c r="D724" s="123" t="s">
        <v>3379</v>
      </c>
      <c r="E724" s="123" t="s">
        <v>79</v>
      </c>
      <c r="F724" s="123">
        <v>40664</v>
      </c>
      <c r="G724" s="124">
        <v>44317</v>
      </c>
      <c r="H724" s="116">
        <v>100</v>
      </c>
      <c r="I724" s="116" t="s">
        <v>13</v>
      </c>
      <c r="J724">
        <v>4298.9055939999998</v>
      </c>
      <c r="K724" s="116">
        <v>569985.45419299998</v>
      </c>
      <c r="L724" t="s">
        <v>13</v>
      </c>
      <c r="M724" s="116">
        <v>2021</v>
      </c>
      <c r="N724" t="s">
        <v>13</v>
      </c>
    </row>
    <row r="725" spans="1:14" x14ac:dyDescent="0.25">
      <c r="A725" s="116">
        <v>723</v>
      </c>
      <c r="B725" s="117" t="s">
        <v>5414</v>
      </c>
      <c r="C725" s="117" t="s">
        <v>3440</v>
      </c>
      <c r="D725" s="123" t="s">
        <v>3379</v>
      </c>
      <c r="E725" s="123" t="s">
        <v>79</v>
      </c>
      <c r="F725" s="123">
        <v>40664</v>
      </c>
      <c r="G725" s="124">
        <v>44317</v>
      </c>
      <c r="H725" s="116">
        <v>332.91</v>
      </c>
      <c r="I725" s="116" t="s">
        <v>13</v>
      </c>
      <c r="J725">
        <v>7605.6950180000003</v>
      </c>
      <c r="K725" s="116">
        <v>2485708.5586999999</v>
      </c>
      <c r="L725" t="s">
        <v>5431</v>
      </c>
      <c r="M725" s="116">
        <v>2021</v>
      </c>
      <c r="N725" t="s">
        <v>13</v>
      </c>
    </row>
    <row r="726" spans="1:14" x14ac:dyDescent="0.25">
      <c r="A726" s="116">
        <v>724</v>
      </c>
      <c r="B726" s="117" t="s">
        <v>5414</v>
      </c>
      <c r="C726" s="117" t="s">
        <v>3624</v>
      </c>
      <c r="D726" s="123" t="s">
        <v>2831</v>
      </c>
      <c r="E726" s="123" t="s">
        <v>79</v>
      </c>
      <c r="F726" s="123">
        <v>40756</v>
      </c>
      <c r="G726" s="124">
        <v>44409</v>
      </c>
      <c r="H726" s="116">
        <v>39.549999999999997</v>
      </c>
      <c r="I726" s="116" t="s">
        <v>13</v>
      </c>
      <c r="J726">
        <v>1887.086744</v>
      </c>
      <c r="K726" s="116">
        <v>222487.86841900001</v>
      </c>
      <c r="L726" t="s">
        <v>13</v>
      </c>
      <c r="M726" s="116">
        <v>2021</v>
      </c>
      <c r="N726" t="s">
        <v>13</v>
      </c>
    </row>
    <row r="727" spans="1:14" x14ac:dyDescent="0.25">
      <c r="A727" s="116">
        <v>725</v>
      </c>
      <c r="B727" s="117" t="s">
        <v>5414</v>
      </c>
      <c r="C727" s="117" t="s">
        <v>3628</v>
      </c>
      <c r="D727" s="123" t="s">
        <v>2831</v>
      </c>
      <c r="E727" s="123" t="s">
        <v>79</v>
      </c>
      <c r="F727" s="123">
        <v>40756</v>
      </c>
      <c r="G727" s="124">
        <v>44409</v>
      </c>
      <c r="H727" s="116">
        <v>377.03</v>
      </c>
      <c r="I727" s="116" t="s">
        <v>13</v>
      </c>
      <c r="J727">
        <v>9918.7132320000001</v>
      </c>
      <c r="K727" s="116">
        <v>2120674.2103300001</v>
      </c>
      <c r="L727" t="s">
        <v>13</v>
      </c>
      <c r="M727" s="116">
        <v>2021</v>
      </c>
      <c r="N727" t="s">
        <v>13</v>
      </c>
    </row>
    <row r="728" spans="1:14" x14ac:dyDescent="0.25">
      <c r="A728" s="116">
        <v>726</v>
      </c>
      <c r="B728" s="117" t="s">
        <v>5414</v>
      </c>
      <c r="C728" s="117" t="s">
        <v>3630</v>
      </c>
      <c r="D728" s="123" t="s">
        <v>2831</v>
      </c>
      <c r="E728" s="123" t="s">
        <v>79</v>
      </c>
      <c r="F728" s="123">
        <v>40756</v>
      </c>
      <c r="G728" s="124">
        <v>44409</v>
      </c>
      <c r="H728" s="116">
        <v>757.41</v>
      </c>
      <c r="I728" s="116" t="s">
        <v>13</v>
      </c>
      <c r="J728">
        <v>16065.322184000001</v>
      </c>
      <c r="K728" s="116">
        <v>4708178.5850099996</v>
      </c>
      <c r="L728" t="s">
        <v>13</v>
      </c>
      <c r="M728" s="116">
        <v>2021</v>
      </c>
      <c r="N728" t="s">
        <v>13</v>
      </c>
    </row>
    <row r="729" spans="1:14" x14ac:dyDescent="0.25">
      <c r="A729" s="116">
        <v>727</v>
      </c>
      <c r="B729" s="117" t="s">
        <v>5414</v>
      </c>
      <c r="C729" s="117" t="s">
        <v>3633</v>
      </c>
      <c r="D729" s="123" t="s">
        <v>2831</v>
      </c>
      <c r="E729" s="123" t="s">
        <v>79</v>
      </c>
      <c r="F729" s="123">
        <v>40756</v>
      </c>
      <c r="G729" s="124">
        <v>44409</v>
      </c>
      <c r="H729" s="116">
        <v>715.99</v>
      </c>
      <c r="I729" s="116" t="s">
        <v>13</v>
      </c>
      <c r="J729">
        <v>14199.285448000001</v>
      </c>
      <c r="K729" s="116">
        <v>4029831.4638200002</v>
      </c>
      <c r="L729" t="s">
        <v>5431</v>
      </c>
      <c r="M729" s="116">
        <v>2021</v>
      </c>
      <c r="N729" t="s">
        <v>13</v>
      </c>
    </row>
    <row r="730" spans="1:14" x14ac:dyDescent="0.25">
      <c r="A730" s="116">
        <v>728</v>
      </c>
      <c r="B730" s="117" t="s">
        <v>5414</v>
      </c>
      <c r="C730" s="117" t="s">
        <v>3636</v>
      </c>
      <c r="D730" s="123" t="s">
        <v>2831</v>
      </c>
      <c r="E730" s="123" t="s">
        <v>79</v>
      </c>
      <c r="F730" s="123">
        <v>40756</v>
      </c>
      <c r="G730" s="124">
        <v>44409</v>
      </c>
      <c r="H730" s="116">
        <v>1613.27</v>
      </c>
      <c r="I730" s="116" t="s">
        <v>13</v>
      </c>
      <c r="J730">
        <v>25515.755176999999</v>
      </c>
      <c r="K730" s="116">
        <v>9037502.3075600006</v>
      </c>
      <c r="L730" t="s">
        <v>13</v>
      </c>
      <c r="M730" s="116">
        <v>2021</v>
      </c>
      <c r="N730" t="s">
        <v>13</v>
      </c>
    </row>
    <row r="731" spans="1:14" x14ac:dyDescent="0.25">
      <c r="A731" s="116">
        <v>729</v>
      </c>
      <c r="B731" s="117" t="s">
        <v>5414</v>
      </c>
      <c r="C731" s="117" t="s">
        <v>3639</v>
      </c>
      <c r="D731" s="123" t="s">
        <v>2831</v>
      </c>
      <c r="E731" s="123" t="s">
        <v>79</v>
      </c>
      <c r="F731" s="123">
        <v>40756</v>
      </c>
      <c r="G731" s="124">
        <v>44409</v>
      </c>
      <c r="H731" s="116">
        <v>242.37</v>
      </c>
      <c r="I731" s="116" t="s">
        <v>13</v>
      </c>
      <c r="J731">
        <v>10345.124528</v>
      </c>
      <c r="K731" s="116">
        <v>1444381.7393499999</v>
      </c>
      <c r="L731" t="s">
        <v>5431</v>
      </c>
      <c r="M731" s="116">
        <v>2021</v>
      </c>
      <c r="N731" t="s">
        <v>13</v>
      </c>
    </row>
    <row r="732" spans="1:14" x14ac:dyDescent="0.25">
      <c r="A732" s="116">
        <v>730</v>
      </c>
      <c r="B732" s="117" t="s">
        <v>5414</v>
      </c>
      <c r="C732" s="117" t="s">
        <v>3642</v>
      </c>
      <c r="D732" s="123" t="s">
        <v>2831</v>
      </c>
      <c r="E732" s="123" t="s">
        <v>79</v>
      </c>
      <c r="F732" s="123">
        <v>40756</v>
      </c>
      <c r="G732" s="124">
        <v>44409</v>
      </c>
      <c r="H732" s="116">
        <v>79.64</v>
      </c>
      <c r="I732" s="116" t="s">
        <v>13</v>
      </c>
      <c r="J732">
        <v>2836.4701789999999</v>
      </c>
      <c r="K732" s="116">
        <v>448298.19444200001</v>
      </c>
      <c r="L732" t="s">
        <v>13</v>
      </c>
      <c r="M732" s="116">
        <v>2021</v>
      </c>
      <c r="N732" t="s">
        <v>13</v>
      </c>
    </row>
    <row r="733" spans="1:14" x14ac:dyDescent="0.25">
      <c r="A733" s="116">
        <v>731</v>
      </c>
      <c r="B733" s="117" t="s">
        <v>5414</v>
      </c>
      <c r="C733" s="117" t="s">
        <v>3646</v>
      </c>
      <c r="D733" s="123" t="s">
        <v>2831</v>
      </c>
      <c r="E733" s="123" t="s">
        <v>79</v>
      </c>
      <c r="F733" s="123">
        <v>40756</v>
      </c>
      <c r="G733" s="124">
        <v>44409</v>
      </c>
      <c r="H733" s="116">
        <v>79.66</v>
      </c>
      <c r="I733" s="116" t="s">
        <v>13</v>
      </c>
      <c r="J733">
        <v>2844.2432180000001</v>
      </c>
      <c r="K733" s="116">
        <v>447993.88436199998</v>
      </c>
      <c r="L733" t="s">
        <v>13</v>
      </c>
      <c r="M733" s="116">
        <v>2021</v>
      </c>
      <c r="N733" t="s">
        <v>13</v>
      </c>
    </row>
    <row r="734" spans="1:14" x14ac:dyDescent="0.25">
      <c r="A734" s="116">
        <v>732</v>
      </c>
      <c r="B734" s="117" t="s">
        <v>5414</v>
      </c>
      <c r="C734" s="117" t="s">
        <v>3649</v>
      </c>
      <c r="D734" s="123" t="s">
        <v>2831</v>
      </c>
      <c r="E734" s="123" t="s">
        <v>79</v>
      </c>
      <c r="F734" s="123">
        <v>40756</v>
      </c>
      <c r="G734" s="124">
        <v>44409</v>
      </c>
      <c r="H734" s="116">
        <v>279.77999999999997</v>
      </c>
      <c r="I734" s="116" t="s">
        <v>13</v>
      </c>
      <c r="J734">
        <v>7578.7837149999996</v>
      </c>
      <c r="K734" s="116">
        <v>1572332.07458</v>
      </c>
      <c r="L734" t="s">
        <v>13</v>
      </c>
      <c r="M734" s="116">
        <v>2021</v>
      </c>
      <c r="N734" t="s">
        <v>13</v>
      </c>
    </row>
    <row r="735" spans="1:14" x14ac:dyDescent="0.25">
      <c r="A735" s="116">
        <v>733</v>
      </c>
      <c r="B735" s="117" t="s">
        <v>5414</v>
      </c>
      <c r="C735" s="117" t="s">
        <v>3652</v>
      </c>
      <c r="D735" s="123" t="s">
        <v>2831</v>
      </c>
      <c r="E735" s="123" t="s">
        <v>79</v>
      </c>
      <c r="F735" s="123">
        <v>40756</v>
      </c>
      <c r="G735" s="124">
        <v>44409</v>
      </c>
      <c r="H735" s="116">
        <v>79.69</v>
      </c>
      <c r="I735" s="116" t="s">
        <v>13</v>
      </c>
      <c r="J735">
        <v>2843.176782</v>
      </c>
      <c r="K735" s="116">
        <v>447563.32039399998</v>
      </c>
      <c r="L735" t="s">
        <v>13</v>
      </c>
      <c r="M735" s="116">
        <v>2021</v>
      </c>
      <c r="N735" t="s">
        <v>13</v>
      </c>
    </row>
    <row r="736" spans="1:14" x14ac:dyDescent="0.25">
      <c r="A736" s="116">
        <v>734</v>
      </c>
      <c r="B736" s="117" t="s">
        <v>5414</v>
      </c>
      <c r="C736" s="117" t="s">
        <v>3655</v>
      </c>
      <c r="D736" s="123" t="s">
        <v>2831</v>
      </c>
      <c r="E736" s="123" t="s">
        <v>79</v>
      </c>
      <c r="F736" s="123">
        <v>40756</v>
      </c>
      <c r="G736" s="124">
        <v>44409</v>
      </c>
      <c r="H736" s="116">
        <v>399.6</v>
      </c>
      <c r="I736" s="116" t="s">
        <v>13</v>
      </c>
      <c r="J736">
        <v>6637.4164950000004</v>
      </c>
      <c r="K736" s="116">
        <v>2244797.6929199998</v>
      </c>
      <c r="L736" t="s">
        <v>13</v>
      </c>
      <c r="M736" s="116">
        <v>2021</v>
      </c>
      <c r="N736" t="s">
        <v>13</v>
      </c>
    </row>
    <row r="737" spans="1:14" x14ac:dyDescent="0.25">
      <c r="A737" s="116">
        <v>735</v>
      </c>
      <c r="B737" s="117" t="s">
        <v>5414</v>
      </c>
      <c r="C737" s="117" t="s">
        <v>3819</v>
      </c>
      <c r="D737" s="123" t="s">
        <v>111</v>
      </c>
      <c r="E737" s="123" t="s">
        <v>86</v>
      </c>
      <c r="F737" s="123">
        <v>40756</v>
      </c>
      <c r="G737" s="124">
        <v>44409</v>
      </c>
      <c r="H737" s="116">
        <v>333.38</v>
      </c>
      <c r="I737" s="116" t="s">
        <v>13</v>
      </c>
      <c r="J737">
        <v>8410.0331380000007</v>
      </c>
      <c r="K737" s="116">
        <v>2343503.3405900002</v>
      </c>
      <c r="L737" t="s">
        <v>5431</v>
      </c>
      <c r="M737" s="116">
        <v>2021</v>
      </c>
      <c r="N737" t="s">
        <v>13</v>
      </c>
    </row>
    <row r="738" spans="1:14" x14ac:dyDescent="0.25">
      <c r="A738" s="116">
        <v>736</v>
      </c>
      <c r="B738" s="117" t="s">
        <v>5414</v>
      </c>
      <c r="C738" s="117" t="s">
        <v>3822</v>
      </c>
      <c r="D738" s="123" t="s">
        <v>111</v>
      </c>
      <c r="E738" s="123" t="s">
        <v>86</v>
      </c>
      <c r="F738" s="123">
        <v>40756</v>
      </c>
      <c r="G738" s="124">
        <v>44409</v>
      </c>
      <c r="H738" s="116">
        <v>1879.63</v>
      </c>
      <c r="I738" s="116" t="s">
        <v>13</v>
      </c>
      <c r="J738">
        <v>19498.613215000001</v>
      </c>
      <c r="K738" s="116">
        <v>19617747.037599999</v>
      </c>
      <c r="L738" t="s">
        <v>5431</v>
      </c>
      <c r="M738" s="116">
        <v>2021</v>
      </c>
      <c r="N738" t="s">
        <v>13</v>
      </c>
    </row>
    <row r="739" spans="1:14" x14ac:dyDescent="0.25">
      <c r="A739" s="116">
        <v>737</v>
      </c>
      <c r="B739" s="117" t="s">
        <v>5414</v>
      </c>
      <c r="C739" s="117" t="s">
        <v>3824</v>
      </c>
      <c r="D739" s="123" t="s">
        <v>111</v>
      </c>
      <c r="E739" s="123" t="s">
        <v>86</v>
      </c>
      <c r="F739" s="123">
        <v>40817</v>
      </c>
      <c r="G739" s="124">
        <v>44470</v>
      </c>
      <c r="H739" s="116">
        <v>86.61</v>
      </c>
      <c r="I739" s="116" t="s">
        <v>13</v>
      </c>
      <c r="J739">
        <v>4431.0966790000002</v>
      </c>
      <c r="K739" s="116">
        <v>1248776.9708100001</v>
      </c>
      <c r="L739" t="s">
        <v>5431</v>
      </c>
      <c r="M739" s="116">
        <v>2021</v>
      </c>
      <c r="N739" t="s">
        <v>3825</v>
      </c>
    </row>
    <row r="740" spans="1:14" x14ac:dyDescent="0.25">
      <c r="A740" s="116">
        <v>738</v>
      </c>
      <c r="B740" s="117" t="s">
        <v>5414</v>
      </c>
      <c r="C740" s="117" t="s">
        <v>3827</v>
      </c>
      <c r="D740" s="123" t="s">
        <v>111</v>
      </c>
      <c r="E740" s="123" t="s">
        <v>86</v>
      </c>
      <c r="F740" s="123">
        <v>40756</v>
      </c>
      <c r="G740" s="124">
        <v>44409</v>
      </c>
      <c r="H740" s="116">
        <v>581.67999999999995</v>
      </c>
      <c r="I740" s="116" t="s">
        <v>13</v>
      </c>
      <c r="J740">
        <v>16456.809598</v>
      </c>
      <c r="K740" s="116">
        <v>4919151.71887</v>
      </c>
      <c r="L740" t="s">
        <v>5431</v>
      </c>
      <c r="M740" s="116">
        <v>2021</v>
      </c>
      <c r="N740" t="s">
        <v>13</v>
      </c>
    </row>
    <row r="741" spans="1:14" x14ac:dyDescent="0.25">
      <c r="A741" s="116">
        <v>739</v>
      </c>
      <c r="B741" s="117" t="s">
        <v>5414</v>
      </c>
      <c r="C741" s="117" t="s">
        <v>3740</v>
      </c>
      <c r="D741" s="123" t="s">
        <v>332</v>
      </c>
      <c r="E741" s="123" t="s">
        <v>86</v>
      </c>
      <c r="F741" s="123">
        <v>40756</v>
      </c>
      <c r="G741" s="124">
        <v>44409</v>
      </c>
      <c r="H741" s="116">
        <v>754.27</v>
      </c>
      <c r="I741" s="116" t="s">
        <v>13</v>
      </c>
      <c r="J741">
        <v>12123.942471</v>
      </c>
      <c r="K741" s="116">
        <v>4135600.5722500002</v>
      </c>
      <c r="L741" t="s">
        <v>13</v>
      </c>
      <c r="M741" s="116">
        <v>2021</v>
      </c>
      <c r="N741" t="s">
        <v>13</v>
      </c>
    </row>
    <row r="742" spans="1:14" x14ac:dyDescent="0.25">
      <c r="A742" s="116">
        <v>740</v>
      </c>
      <c r="B742" s="117" t="s">
        <v>5414</v>
      </c>
      <c r="C742" s="117" t="s">
        <v>3743</v>
      </c>
      <c r="D742" s="123" t="s">
        <v>332</v>
      </c>
      <c r="E742" s="123" t="s">
        <v>86</v>
      </c>
      <c r="F742" s="123">
        <v>40756</v>
      </c>
      <c r="G742" s="124">
        <v>44409</v>
      </c>
      <c r="H742" s="116">
        <v>395.33</v>
      </c>
      <c r="I742" s="116" t="s">
        <v>13</v>
      </c>
      <c r="J742">
        <v>11629.641415</v>
      </c>
      <c r="K742" s="116">
        <v>2219073.9955899999</v>
      </c>
      <c r="L742" t="s">
        <v>5431</v>
      </c>
      <c r="M742" s="116">
        <v>2021</v>
      </c>
      <c r="N742" t="s">
        <v>13</v>
      </c>
    </row>
    <row r="743" spans="1:14" x14ac:dyDescent="0.25">
      <c r="A743" s="116">
        <v>741</v>
      </c>
      <c r="B743" s="117" t="s">
        <v>5414</v>
      </c>
      <c r="C743" s="117" t="s">
        <v>3758</v>
      </c>
      <c r="D743" s="123" t="s">
        <v>332</v>
      </c>
      <c r="E743" s="123" t="s">
        <v>86</v>
      </c>
      <c r="F743" s="123">
        <v>40756</v>
      </c>
      <c r="G743" s="124">
        <v>44409</v>
      </c>
      <c r="H743" s="116">
        <v>991.78</v>
      </c>
      <c r="I743" s="116" t="s">
        <v>13</v>
      </c>
      <c r="J743">
        <v>33600.554753999997</v>
      </c>
      <c r="K743" s="116">
        <v>10866508.991800001</v>
      </c>
      <c r="L743" t="s">
        <v>5431</v>
      </c>
      <c r="M743" s="116">
        <v>2021</v>
      </c>
      <c r="N743" t="s">
        <v>1097</v>
      </c>
    </row>
    <row r="744" spans="1:14" x14ac:dyDescent="0.25">
      <c r="A744" s="116">
        <v>742</v>
      </c>
      <c r="B744" s="117" t="s">
        <v>5414</v>
      </c>
      <c r="C744" s="117" t="s">
        <v>3760</v>
      </c>
      <c r="D744" s="123" t="s">
        <v>332</v>
      </c>
      <c r="E744" s="123" t="s">
        <v>86</v>
      </c>
      <c r="F744" s="123">
        <v>40756</v>
      </c>
      <c r="G744" s="124">
        <v>44409</v>
      </c>
      <c r="H744" s="116">
        <v>20.73</v>
      </c>
      <c r="I744" s="116" t="s">
        <v>13</v>
      </c>
      <c r="J744">
        <v>1446.919991</v>
      </c>
      <c r="K744" s="116">
        <v>115497.989607</v>
      </c>
      <c r="L744" t="s">
        <v>13</v>
      </c>
      <c r="M744" s="116">
        <v>2021</v>
      </c>
      <c r="N744" t="s">
        <v>1097</v>
      </c>
    </row>
    <row r="745" spans="1:14" x14ac:dyDescent="0.25">
      <c r="A745" s="116">
        <v>743</v>
      </c>
      <c r="B745" s="117" t="s">
        <v>5414</v>
      </c>
      <c r="C745" s="117" t="s">
        <v>3763</v>
      </c>
      <c r="D745" s="123" t="s">
        <v>332</v>
      </c>
      <c r="E745" s="123" t="s">
        <v>86</v>
      </c>
      <c r="F745" s="123">
        <v>40756</v>
      </c>
      <c r="G745" s="124">
        <v>44409</v>
      </c>
      <c r="H745" s="116">
        <v>39.78</v>
      </c>
      <c r="I745" s="116" t="s">
        <v>13</v>
      </c>
      <c r="J745">
        <v>1899.7804249999999</v>
      </c>
      <c r="K745" s="116">
        <v>225395.656544</v>
      </c>
      <c r="L745" t="s">
        <v>13</v>
      </c>
      <c r="M745" s="116">
        <v>2021</v>
      </c>
      <c r="N745" t="s">
        <v>13</v>
      </c>
    </row>
    <row r="746" spans="1:14" x14ac:dyDescent="0.25">
      <c r="A746" s="116">
        <v>744</v>
      </c>
      <c r="B746" s="117" t="s">
        <v>5414</v>
      </c>
      <c r="C746" s="117" t="s">
        <v>3766</v>
      </c>
      <c r="D746" s="123" t="s">
        <v>332</v>
      </c>
      <c r="E746" s="123" t="s">
        <v>86</v>
      </c>
      <c r="F746" s="123">
        <v>40756</v>
      </c>
      <c r="G746" s="124">
        <v>44409</v>
      </c>
      <c r="H746" s="116">
        <v>1212.3599999999999</v>
      </c>
      <c r="I746" s="116" t="s">
        <v>13</v>
      </c>
      <c r="J746">
        <v>14211.662988</v>
      </c>
      <c r="K746" s="116">
        <v>6600445.9775900003</v>
      </c>
      <c r="L746" t="s">
        <v>13</v>
      </c>
      <c r="M746" s="116">
        <v>2021</v>
      </c>
      <c r="N746" t="s">
        <v>1097</v>
      </c>
    </row>
    <row r="747" spans="1:14" x14ac:dyDescent="0.25">
      <c r="A747" s="116">
        <v>745</v>
      </c>
      <c r="B747" s="117" t="s">
        <v>5414</v>
      </c>
      <c r="C747" s="117" t="s">
        <v>3769</v>
      </c>
      <c r="D747" s="123" t="s">
        <v>332</v>
      </c>
      <c r="E747" s="123" t="s">
        <v>86</v>
      </c>
      <c r="F747" s="123">
        <v>40756</v>
      </c>
      <c r="G747" s="124">
        <v>44409</v>
      </c>
      <c r="H747" s="116">
        <v>1157.5899999999999</v>
      </c>
      <c r="I747" s="116" t="s">
        <v>13</v>
      </c>
      <c r="J747">
        <v>19477.048687999999</v>
      </c>
      <c r="K747" s="116">
        <v>6749632.9587000003</v>
      </c>
      <c r="L747" t="s">
        <v>5431</v>
      </c>
      <c r="M747" s="116">
        <v>2021</v>
      </c>
      <c r="N747" t="s">
        <v>1097</v>
      </c>
    </row>
    <row r="748" spans="1:14" x14ac:dyDescent="0.25">
      <c r="A748" s="116">
        <v>746</v>
      </c>
      <c r="B748" s="117" t="s">
        <v>5414</v>
      </c>
      <c r="C748" s="117" t="s">
        <v>3772</v>
      </c>
      <c r="D748" s="123" t="s">
        <v>332</v>
      </c>
      <c r="E748" s="123" t="s">
        <v>86</v>
      </c>
      <c r="F748" s="123">
        <v>40756</v>
      </c>
      <c r="G748" s="124">
        <v>44409</v>
      </c>
      <c r="H748" s="116">
        <v>1193.71</v>
      </c>
      <c r="I748" s="116" t="s">
        <v>13</v>
      </c>
      <c r="J748">
        <v>11540.506010999999</v>
      </c>
      <c r="K748" s="116">
        <v>6601871.1745800003</v>
      </c>
      <c r="L748" t="s">
        <v>13</v>
      </c>
      <c r="M748" s="116">
        <v>2021</v>
      </c>
      <c r="N748" t="s">
        <v>1097</v>
      </c>
    </row>
    <row r="749" spans="1:14" x14ac:dyDescent="0.25">
      <c r="A749" s="116">
        <v>747</v>
      </c>
      <c r="B749" s="117" t="s">
        <v>5414</v>
      </c>
      <c r="C749" s="117" t="s">
        <v>3775</v>
      </c>
      <c r="D749" s="123" t="s">
        <v>332</v>
      </c>
      <c r="E749" s="123" t="s">
        <v>86</v>
      </c>
      <c r="F749" s="123">
        <v>40756</v>
      </c>
      <c r="G749" s="124">
        <v>44409</v>
      </c>
      <c r="H749" s="116">
        <v>1134.07</v>
      </c>
      <c r="I749" s="116" t="s">
        <v>13</v>
      </c>
      <c r="J749">
        <v>13578.665944</v>
      </c>
      <c r="K749" s="116">
        <v>6216726.4166799998</v>
      </c>
      <c r="L749" t="s">
        <v>13</v>
      </c>
      <c r="M749" s="116">
        <v>2021</v>
      </c>
      <c r="N749" t="s">
        <v>1097</v>
      </c>
    </row>
    <row r="750" spans="1:14" x14ac:dyDescent="0.25">
      <c r="A750" s="116">
        <v>748</v>
      </c>
      <c r="B750" s="117" t="s">
        <v>5414</v>
      </c>
      <c r="C750" s="117" t="s">
        <v>3778</v>
      </c>
      <c r="D750" s="123" t="s">
        <v>332</v>
      </c>
      <c r="E750" s="123" t="s">
        <v>86</v>
      </c>
      <c r="F750" s="123">
        <v>40756</v>
      </c>
      <c r="G750" s="124">
        <v>44409</v>
      </c>
      <c r="H750" s="116">
        <v>1144.33</v>
      </c>
      <c r="I750" s="116" t="s">
        <v>13</v>
      </c>
      <c r="J750">
        <v>15447.981116999999</v>
      </c>
      <c r="K750" s="116">
        <v>6360676.1499100002</v>
      </c>
      <c r="L750" t="s">
        <v>13</v>
      </c>
      <c r="M750" s="116">
        <v>2021</v>
      </c>
      <c r="N750" t="s">
        <v>1097</v>
      </c>
    </row>
    <row r="751" spans="1:14" x14ac:dyDescent="0.25">
      <c r="A751" s="116">
        <v>749</v>
      </c>
      <c r="B751" s="117" t="s">
        <v>5414</v>
      </c>
      <c r="C751" s="117" t="s">
        <v>3781</v>
      </c>
      <c r="D751" s="123" t="s">
        <v>332</v>
      </c>
      <c r="E751" s="123" t="s">
        <v>86</v>
      </c>
      <c r="F751" s="123">
        <v>40756</v>
      </c>
      <c r="G751" s="124">
        <v>44409</v>
      </c>
      <c r="H751" s="116">
        <v>1580.28</v>
      </c>
      <c r="I751" s="116" t="s">
        <v>13</v>
      </c>
      <c r="J751">
        <v>16566.300303</v>
      </c>
      <c r="K751" s="116">
        <v>8707948.5591800008</v>
      </c>
      <c r="L751" t="s">
        <v>13</v>
      </c>
      <c r="M751" s="116">
        <v>2021</v>
      </c>
      <c r="N751" t="s">
        <v>13</v>
      </c>
    </row>
    <row r="752" spans="1:14" x14ac:dyDescent="0.25">
      <c r="A752" s="116">
        <v>750</v>
      </c>
      <c r="B752" s="117" t="s">
        <v>5414</v>
      </c>
      <c r="C752" s="117" t="s">
        <v>3784</v>
      </c>
      <c r="D752" s="123" t="s">
        <v>332</v>
      </c>
      <c r="E752" s="123" t="s">
        <v>86</v>
      </c>
      <c r="F752" s="123">
        <v>40756</v>
      </c>
      <c r="G752" s="124">
        <v>44409</v>
      </c>
      <c r="H752" s="116">
        <v>908.42</v>
      </c>
      <c r="I752" s="116" t="s">
        <v>13</v>
      </c>
      <c r="J752">
        <v>13236.744946000001</v>
      </c>
      <c r="K752" s="116">
        <v>5075275.0659699999</v>
      </c>
      <c r="L752" t="s">
        <v>5431</v>
      </c>
      <c r="M752" s="116">
        <v>2021</v>
      </c>
      <c r="N752" t="s">
        <v>13</v>
      </c>
    </row>
    <row r="753" spans="1:14" x14ac:dyDescent="0.25">
      <c r="A753" s="116">
        <v>751</v>
      </c>
      <c r="B753" s="117" t="s">
        <v>5414</v>
      </c>
      <c r="C753" s="117" t="s">
        <v>3833</v>
      </c>
      <c r="D753" s="123" t="s">
        <v>332</v>
      </c>
      <c r="E753" s="123" t="s">
        <v>86</v>
      </c>
      <c r="F753" s="123">
        <v>40756</v>
      </c>
      <c r="G753" s="124">
        <v>44409</v>
      </c>
      <c r="H753" s="116">
        <v>534.1</v>
      </c>
      <c r="I753" s="116" t="s">
        <v>13</v>
      </c>
      <c r="J753">
        <v>8464.7616620000008</v>
      </c>
      <c r="K753" s="116">
        <v>3324599.4904</v>
      </c>
      <c r="L753" t="s">
        <v>13</v>
      </c>
      <c r="M753" s="116">
        <v>2021</v>
      </c>
      <c r="N753" t="s">
        <v>13</v>
      </c>
    </row>
    <row r="754" spans="1:14" x14ac:dyDescent="0.25">
      <c r="A754" s="116">
        <v>752</v>
      </c>
      <c r="B754" s="117" t="s">
        <v>5414</v>
      </c>
      <c r="C754" s="117" t="s">
        <v>3816</v>
      </c>
      <c r="D754" s="123" t="s">
        <v>453</v>
      </c>
      <c r="E754" s="123" t="s">
        <v>86</v>
      </c>
      <c r="F754" s="123">
        <v>40817</v>
      </c>
      <c r="G754" s="124">
        <v>44470</v>
      </c>
      <c r="H754" s="116">
        <v>817.95</v>
      </c>
      <c r="I754" s="116" t="s">
        <v>13</v>
      </c>
      <c r="J754">
        <v>17590.886944999998</v>
      </c>
      <c r="K754" s="116">
        <v>7585278.8813500004</v>
      </c>
      <c r="L754" t="s">
        <v>5431</v>
      </c>
      <c r="M754" s="116">
        <v>2021</v>
      </c>
      <c r="N754" t="s">
        <v>3817</v>
      </c>
    </row>
    <row r="755" spans="1:14" x14ac:dyDescent="0.25">
      <c r="A755" s="116">
        <v>753</v>
      </c>
      <c r="B755" s="117" t="s">
        <v>5414</v>
      </c>
      <c r="C755" s="117" t="s">
        <v>3883</v>
      </c>
      <c r="D755" s="123" t="s">
        <v>453</v>
      </c>
      <c r="E755" s="123" t="s">
        <v>86</v>
      </c>
      <c r="F755" s="123">
        <v>40848</v>
      </c>
      <c r="G755" s="124">
        <v>44501</v>
      </c>
      <c r="H755" s="116">
        <v>273.8</v>
      </c>
      <c r="I755" s="116" t="s">
        <v>13</v>
      </c>
      <c r="J755">
        <v>9954.4421430000002</v>
      </c>
      <c r="K755" s="116">
        <v>1559840.75361</v>
      </c>
      <c r="L755" t="s">
        <v>13</v>
      </c>
      <c r="M755" s="116">
        <v>2021</v>
      </c>
      <c r="N755" t="s">
        <v>13</v>
      </c>
    </row>
    <row r="756" spans="1:14" x14ac:dyDescent="0.25">
      <c r="A756" s="116">
        <v>754</v>
      </c>
      <c r="B756" s="117" t="s">
        <v>5414</v>
      </c>
      <c r="C756" s="117" t="s">
        <v>3886</v>
      </c>
      <c r="D756" s="123" t="s">
        <v>453</v>
      </c>
      <c r="E756" s="123" t="s">
        <v>86</v>
      </c>
      <c r="F756" s="123">
        <v>40848</v>
      </c>
      <c r="G756" s="124">
        <v>44501</v>
      </c>
      <c r="H756" s="116">
        <v>612.36</v>
      </c>
      <c r="I756" s="116" t="s">
        <v>13</v>
      </c>
      <c r="J756">
        <v>7408.0701349999999</v>
      </c>
      <c r="K756" s="116">
        <v>3427694.65711</v>
      </c>
      <c r="L756" t="s">
        <v>13</v>
      </c>
      <c r="M756" s="116">
        <v>2021</v>
      </c>
      <c r="N756" t="s">
        <v>13</v>
      </c>
    </row>
    <row r="757" spans="1:14" x14ac:dyDescent="0.25">
      <c r="A757" s="116">
        <v>755</v>
      </c>
      <c r="B757" s="117" t="s">
        <v>5414</v>
      </c>
      <c r="C757" s="117" t="s">
        <v>3889</v>
      </c>
      <c r="D757" s="123" t="s">
        <v>453</v>
      </c>
      <c r="E757" s="123" t="s">
        <v>86</v>
      </c>
      <c r="F757" s="123">
        <v>40848</v>
      </c>
      <c r="G757" s="124">
        <v>44501</v>
      </c>
      <c r="H757" s="116">
        <v>283.54000000000002</v>
      </c>
      <c r="I757" s="116" t="s">
        <v>13</v>
      </c>
      <c r="J757">
        <v>6611.0614089999999</v>
      </c>
      <c r="K757" s="116">
        <v>1559656.63962</v>
      </c>
      <c r="L757" t="s">
        <v>13</v>
      </c>
      <c r="M757" s="116">
        <v>2021</v>
      </c>
      <c r="N757" t="s">
        <v>13</v>
      </c>
    </row>
    <row r="758" spans="1:14" x14ac:dyDescent="0.25">
      <c r="A758" s="116">
        <v>756</v>
      </c>
      <c r="B758" s="117" t="s">
        <v>5414</v>
      </c>
      <c r="C758" s="117" t="s">
        <v>3891</v>
      </c>
      <c r="D758" s="123" t="s">
        <v>453</v>
      </c>
      <c r="E758" s="123" t="s">
        <v>86</v>
      </c>
      <c r="F758" s="123">
        <v>40909</v>
      </c>
      <c r="G758" s="124">
        <v>44562</v>
      </c>
      <c r="H758" s="116">
        <v>489.05</v>
      </c>
      <c r="I758" s="116" t="s">
        <v>13</v>
      </c>
      <c r="J758">
        <v>7496.0715559999999</v>
      </c>
      <c r="K758" s="116">
        <v>2878692.8749899999</v>
      </c>
      <c r="L758" t="s">
        <v>13</v>
      </c>
      <c r="M758" s="116">
        <v>2022</v>
      </c>
      <c r="N758" t="s">
        <v>13</v>
      </c>
    </row>
    <row r="759" spans="1:14" x14ac:dyDescent="0.25">
      <c r="A759" s="116">
        <v>757</v>
      </c>
      <c r="B759" s="117" t="s">
        <v>5414</v>
      </c>
      <c r="C759" s="117" t="s">
        <v>3903</v>
      </c>
      <c r="D759" s="123" t="s">
        <v>453</v>
      </c>
      <c r="E759" s="123" t="s">
        <v>86</v>
      </c>
      <c r="F759" s="123">
        <v>40878</v>
      </c>
      <c r="G759" s="124">
        <v>44531</v>
      </c>
      <c r="H759" s="116">
        <v>538.79</v>
      </c>
      <c r="I759" s="116" t="s">
        <v>13</v>
      </c>
      <c r="J759">
        <v>15684.46817</v>
      </c>
      <c r="K759" s="116">
        <v>5583448.4347099997</v>
      </c>
      <c r="L759" t="s">
        <v>5431</v>
      </c>
      <c r="M759" s="116">
        <v>2021</v>
      </c>
      <c r="N759" t="s">
        <v>13</v>
      </c>
    </row>
    <row r="760" spans="1:14" x14ac:dyDescent="0.25">
      <c r="A760" s="116">
        <v>758</v>
      </c>
      <c r="B760" s="117" t="s">
        <v>5414</v>
      </c>
      <c r="C760" s="117" t="s">
        <v>3906</v>
      </c>
      <c r="D760" s="123" t="s">
        <v>453</v>
      </c>
      <c r="E760" s="123" t="s">
        <v>86</v>
      </c>
      <c r="F760" s="123">
        <v>40848</v>
      </c>
      <c r="G760" s="124">
        <v>44501</v>
      </c>
      <c r="H760" s="116">
        <v>633.99</v>
      </c>
      <c r="I760" s="116" t="s">
        <v>13</v>
      </c>
      <c r="J760">
        <v>11334.995988000001</v>
      </c>
      <c r="K760" s="116">
        <v>3503419.1675399998</v>
      </c>
      <c r="L760" t="s">
        <v>5431</v>
      </c>
      <c r="M760" s="116">
        <v>2021</v>
      </c>
      <c r="N760" t="s">
        <v>13</v>
      </c>
    </row>
    <row r="761" spans="1:14" x14ac:dyDescent="0.25">
      <c r="A761" s="116">
        <v>759</v>
      </c>
      <c r="B761" s="117" t="s">
        <v>5414</v>
      </c>
      <c r="C761" s="117" t="s">
        <v>3894</v>
      </c>
      <c r="D761" s="123" t="s">
        <v>453</v>
      </c>
      <c r="E761" s="123" t="s">
        <v>86</v>
      </c>
      <c r="F761" s="123">
        <v>40909</v>
      </c>
      <c r="G761" s="124">
        <v>44562</v>
      </c>
      <c r="H761" s="116">
        <v>20.38</v>
      </c>
      <c r="I761" s="116" t="s">
        <v>13</v>
      </c>
      <c r="J761">
        <v>1426.5448389999999</v>
      </c>
      <c r="K761" s="116">
        <v>112208.020892</v>
      </c>
      <c r="L761" t="s">
        <v>13</v>
      </c>
      <c r="M761" s="116">
        <v>2022</v>
      </c>
      <c r="N761" t="s">
        <v>3895</v>
      </c>
    </row>
    <row r="762" spans="1:14" x14ac:dyDescent="0.25">
      <c r="A762" s="116">
        <v>760</v>
      </c>
      <c r="B762" s="117" t="s">
        <v>5414</v>
      </c>
      <c r="C762" s="117" t="s">
        <v>3925</v>
      </c>
      <c r="D762" s="123" t="s">
        <v>3923</v>
      </c>
      <c r="E762" s="123" t="s">
        <v>79</v>
      </c>
      <c r="F762" s="123">
        <v>40940</v>
      </c>
      <c r="G762" s="124">
        <v>44593</v>
      </c>
      <c r="H762" s="116">
        <v>432.14</v>
      </c>
      <c r="I762" s="116" t="s">
        <v>13</v>
      </c>
      <c r="J762">
        <v>6614.4058990000003</v>
      </c>
      <c r="K762" s="116">
        <v>2464156.0059699998</v>
      </c>
      <c r="L762" t="s">
        <v>5431</v>
      </c>
      <c r="M762" s="116">
        <v>2022</v>
      </c>
      <c r="N762" t="s">
        <v>13</v>
      </c>
    </row>
    <row r="763" spans="1:14" x14ac:dyDescent="0.25">
      <c r="A763" s="116">
        <v>761</v>
      </c>
      <c r="B763" s="117" t="s">
        <v>5414</v>
      </c>
      <c r="C763" s="117" t="s">
        <v>3073</v>
      </c>
      <c r="D763" s="123" t="s">
        <v>3074</v>
      </c>
      <c r="E763" s="123" t="s">
        <v>15</v>
      </c>
      <c r="F763" s="123">
        <v>40452</v>
      </c>
      <c r="G763" s="124">
        <v>44105</v>
      </c>
      <c r="H763" s="116">
        <v>618.58000000000004</v>
      </c>
      <c r="I763" s="116" t="s">
        <v>13</v>
      </c>
      <c r="J763">
        <v>65056.531819999997</v>
      </c>
      <c r="K763" s="116">
        <v>252465004.80700001</v>
      </c>
      <c r="L763" t="s">
        <v>5431</v>
      </c>
      <c r="M763" s="116">
        <v>2020</v>
      </c>
      <c r="N763" t="s">
        <v>13</v>
      </c>
    </row>
    <row r="764" spans="1:14" x14ac:dyDescent="0.25">
      <c r="A764" s="116">
        <v>762</v>
      </c>
      <c r="B764" s="117" t="s">
        <v>5414</v>
      </c>
      <c r="C764" s="117" t="s">
        <v>3078</v>
      </c>
      <c r="D764" s="123" t="s">
        <v>3074</v>
      </c>
      <c r="E764" s="123" t="s">
        <v>15</v>
      </c>
      <c r="F764" s="123">
        <v>40452</v>
      </c>
      <c r="G764" s="124">
        <v>44105</v>
      </c>
      <c r="H764" s="116">
        <v>320</v>
      </c>
      <c r="I764" s="116" t="s">
        <v>13</v>
      </c>
      <c r="J764">
        <v>36259.762477999997</v>
      </c>
      <c r="K764" s="116">
        <v>67471045.852400005</v>
      </c>
      <c r="L764" t="s">
        <v>5431</v>
      </c>
      <c r="M764" s="116">
        <v>2020</v>
      </c>
      <c r="N764" t="s">
        <v>13</v>
      </c>
    </row>
    <row r="765" spans="1:14" x14ac:dyDescent="0.25">
      <c r="A765" s="116">
        <v>763</v>
      </c>
      <c r="B765" s="117" t="s">
        <v>5414</v>
      </c>
      <c r="C765" s="117" t="s">
        <v>3845</v>
      </c>
      <c r="D765" s="123" t="s">
        <v>1359</v>
      </c>
      <c r="E765" s="123" t="s">
        <v>15</v>
      </c>
      <c r="F765" s="123">
        <v>40787</v>
      </c>
      <c r="G765" s="124">
        <v>44440</v>
      </c>
      <c r="H765" s="116">
        <v>71.084999999999994</v>
      </c>
      <c r="I765" s="116" t="s">
        <v>13</v>
      </c>
      <c r="J765">
        <v>6981.2602829999996</v>
      </c>
      <c r="K765" s="116">
        <v>1188908.5413299999</v>
      </c>
      <c r="L765" t="s">
        <v>5431</v>
      </c>
      <c r="M765" s="116">
        <v>2021</v>
      </c>
      <c r="N765" t="s">
        <v>13</v>
      </c>
    </row>
    <row r="766" spans="1:14" x14ac:dyDescent="0.25">
      <c r="A766" s="116">
        <v>764</v>
      </c>
      <c r="B766" s="117" t="s">
        <v>5414</v>
      </c>
      <c r="C766" s="117" t="s">
        <v>2533</v>
      </c>
      <c r="D766" s="123" t="s">
        <v>2535</v>
      </c>
      <c r="E766" s="123" t="s">
        <v>15</v>
      </c>
      <c r="F766" s="123">
        <v>39814</v>
      </c>
      <c r="G766" s="124">
        <v>43466</v>
      </c>
      <c r="H766" s="116">
        <v>435.6</v>
      </c>
      <c r="I766" s="116" t="s">
        <v>13</v>
      </c>
      <c r="J766">
        <v>9143.8474399999996</v>
      </c>
      <c r="K766" s="116">
        <v>2156211.9788799998</v>
      </c>
      <c r="L766" t="s">
        <v>5431</v>
      </c>
      <c r="M766" s="116">
        <v>2019</v>
      </c>
      <c r="N766" t="s">
        <v>4819</v>
      </c>
    </row>
    <row r="767" spans="1:14" x14ac:dyDescent="0.25">
      <c r="A767" s="116">
        <v>765</v>
      </c>
      <c r="B767" s="117" t="s">
        <v>5414</v>
      </c>
      <c r="C767" s="117" t="s">
        <v>2537</v>
      </c>
      <c r="D767" s="123" t="s">
        <v>2535</v>
      </c>
      <c r="E767" s="123" t="s">
        <v>15</v>
      </c>
      <c r="F767" s="123">
        <v>39814</v>
      </c>
      <c r="G767" s="124">
        <v>43466</v>
      </c>
      <c r="H767" s="116">
        <v>491.7</v>
      </c>
      <c r="I767" s="116" t="s">
        <v>13</v>
      </c>
      <c r="J767">
        <v>6920.5649590000003</v>
      </c>
      <c r="K767" s="116">
        <v>2312285.8376600002</v>
      </c>
      <c r="L767" t="s">
        <v>5431</v>
      </c>
      <c r="M767" s="116">
        <v>2019</v>
      </c>
      <c r="N767" t="s">
        <v>4820</v>
      </c>
    </row>
    <row r="768" spans="1:14" x14ac:dyDescent="0.25">
      <c r="A768" s="116">
        <v>766</v>
      </c>
      <c r="B768" s="117" t="s">
        <v>5414</v>
      </c>
      <c r="C768" s="117" t="s">
        <v>2540</v>
      </c>
      <c r="D768" s="123" t="s">
        <v>2535</v>
      </c>
      <c r="E768" s="123" t="s">
        <v>15</v>
      </c>
      <c r="F768" s="123">
        <v>39814</v>
      </c>
      <c r="G768" s="124">
        <v>43466</v>
      </c>
      <c r="H768" s="116">
        <v>1479.5</v>
      </c>
      <c r="I768" s="116" t="s">
        <v>13</v>
      </c>
      <c r="J768">
        <v>13674.300863</v>
      </c>
      <c r="K768" s="116">
        <v>7260913.48477</v>
      </c>
      <c r="L768" t="s">
        <v>5431</v>
      </c>
      <c r="M768" s="116">
        <v>2019</v>
      </c>
      <c r="N768" t="s">
        <v>4819</v>
      </c>
    </row>
    <row r="769" spans="1:14" x14ac:dyDescent="0.25">
      <c r="A769" s="116">
        <v>767</v>
      </c>
      <c r="B769" s="117" t="s">
        <v>5414</v>
      </c>
      <c r="C769" s="117" t="s">
        <v>2546</v>
      </c>
      <c r="D769" s="123" t="s">
        <v>2535</v>
      </c>
      <c r="E769" s="123" t="s">
        <v>15</v>
      </c>
      <c r="F769" s="123">
        <v>39814</v>
      </c>
      <c r="G769" s="124">
        <v>43466</v>
      </c>
      <c r="H769" s="116">
        <v>137.84</v>
      </c>
      <c r="I769" s="116" t="s">
        <v>13</v>
      </c>
      <c r="J769">
        <v>3845.5143010000002</v>
      </c>
      <c r="K769" s="116">
        <v>723058.146909</v>
      </c>
      <c r="L769" t="s">
        <v>5431</v>
      </c>
      <c r="M769" s="116">
        <v>2019</v>
      </c>
      <c r="N769" t="s">
        <v>4819</v>
      </c>
    </row>
    <row r="770" spans="1:14" x14ac:dyDescent="0.25">
      <c r="A770" s="116">
        <v>768</v>
      </c>
      <c r="B770" s="117" t="s">
        <v>5414</v>
      </c>
      <c r="C770" s="117" t="s">
        <v>2549</v>
      </c>
      <c r="D770" s="123" t="s">
        <v>2535</v>
      </c>
      <c r="E770" s="123" t="s">
        <v>13</v>
      </c>
      <c r="F770" s="123">
        <v>39814</v>
      </c>
      <c r="G770" s="124">
        <v>43466</v>
      </c>
      <c r="H770" s="116">
        <v>18.23</v>
      </c>
      <c r="I770" s="116" t="s">
        <v>13</v>
      </c>
      <c r="J770">
        <v>1937.788742</v>
      </c>
      <c r="K770" s="116">
        <v>97380.327191999997</v>
      </c>
      <c r="L770" t="s">
        <v>5431</v>
      </c>
      <c r="M770" s="116">
        <v>2019</v>
      </c>
      <c r="N770" t="s">
        <v>4820</v>
      </c>
    </row>
    <row r="771" spans="1:14" x14ac:dyDescent="0.25">
      <c r="A771" s="116">
        <v>769</v>
      </c>
      <c r="B771" s="117" t="s">
        <v>5414</v>
      </c>
      <c r="C771" s="117" t="s">
        <v>2552</v>
      </c>
      <c r="D771" s="123" t="s">
        <v>2535</v>
      </c>
      <c r="E771" s="123" t="s">
        <v>13</v>
      </c>
      <c r="F771" s="123">
        <v>39814</v>
      </c>
      <c r="G771" s="124">
        <v>43466</v>
      </c>
      <c r="H771" s="116">
        <v>266.2</v>
      </c>
      <c r="I771" s="116" t="s">
        <v>13</v>
      </c>
      <c r="J771">
        <v>5314.6064239999996</v>
      </c>
      <c r="K771" s="116">
        <v>697639.25001299998</v>
      </c>
      <c r="L771" t="s">
        <v>5431</v>
      </c>
      <c r="M771" s="116">
        <v>2019</v>
      </c>
      <c r="N771" t="s">
        <v>4819</v>
      </c>
    </row>
    <row r="772" spans="1:14" x14ac:dyDescent="0.25">
      <c r="A772" s="116">
        <v>770</v>
      </c>
      <c r="B772" s="117" t="s">
        <v>5414</v>
      </c>
      <c r="C772" s="117" t="s">
        <v>2555</v>
      </c>
      <c r="D772" s="123" t="s">
        <v>2535</v>
      </c>
      <c r="E772" s="123" t="s">
        <v>15</v>
      </c>
      <c r="F772" s="123">
        <v>39814</v>
      </c>
      <c r="G772" s="124">
        <v>43466</v>
      </c>
      <c r="H772" s="116">
        <v>50.65</v>
      </c>
      <c r="I772" s="116" t="s">
        <v>13</v>
      </c>
      <c r="J772">
        <v>2423.8657240000002</v>
      </c>
      <c r="K772" s="116">
        <v>137245.21096900001</v>
      </c>
      <c r="L772" t="s">
        <v>5431</v>
      </c>
      <c r="M772" s="116">
        <v>2019</v>
      </c>
      <c r="N772" t="s">
        <v>4820</v>
      </c>
    </row>
    <row r="773" spans="1:14" x14ac:dyDescent="0.25">
      <c r="A773" s="116">
        <v>771</v>
      </c>
      <c r="B773" s="117" t="s">
        <v>5414</v>
      </c>
      <c r="C773" s="117" t="s">
        <v>2543</v>
      </c>
      <c r="D773" s="123" t="s">
        <v>2535</v>
      </c>
      <c r="E773" s="123" t="s">
        <v>15</v>
      </c>
      <c r="F773" s="123">
        <v>39814</v>
      </c>
      <c r="G773" s="124">
        <v>43466</v>
      </c>
      <c r="H773" s="116">
        <v>721.7</v>
      </c>
      <c r="I773" s="116" t="s">
        <v>13</v>
      </c>
      <c r="J773">
        <v>9990.9352679999993</v>
      </c>
      <c r="K773" s="116">
        <v>3831007.8687499999</v>
      </c>
      <c r="L773" t="s">
        <v>5431</v>
      </c>
      <c r="M773" s="116">
        <v>2019</v>
      </c>
      <c r="N773" t="s">
        <v>4820</v>
      </c>
    </row>
    <row r="774" spans="1:14" x14ac:dyDescent="0.25">
      <c r="A774" s="116">
        <v>772</v>
      </c>
      <c r="B774" s="117" t="s">
        <v>5414</v>
      </c>
      <c r="C774" s="117" t="s">
        <v>2558</v>
      </c>
      <c r="D774" s="123" t="s">
        <v>2535</v>
      </c>
      <c r="E774" s="123" t="s">
        <v>15</v>
      </c>
      <c r="F774" s="123">
        <v>39814</v>
      </c>
      <c r="G774" s="124">
        <v>43466</v>
      </c>
      <c r="H774" s="116">
        <v>132.69999999999999</v>
      </c>
      <c r="I774" s="116" t="s">
        <v>13</v>
      </c>
      <c r="J774">
        <v>2729.518493</v>
      </c>
      <c r="K774" s="116">
        <v>191703.1845</v>
      </c>
      <c r="L774" t="s">
        <v>5431</v>
      </c>
      <c r="M774" s="116">
        <v>2019</v>
      </c>
      <c r="N774" t="s">
        <v>4819</v>
      </c>
    </row>
    <row r="775" spans="1:14" x14ac:dyDescent="0.25">
      <c r="A775" s="116">
        <v>773</v>
      </c>
      <c r="B775" s="117" t="s">
        <v>5414</v>
      </c>
      <c r="C775" s="117" t="s">
        <v>2616</v>
      </c>
      <c r="D775" s="123" t="s">
        <v>2611</v>
      </c>
      <c r="E775" s="123" t="s">
        <v>15</v>
      </c>
      <c r="F775" s="123">
        <v>39934</v>
      </c>
      <c r="G775" s="124">
        <v>43586</v>
      </c>
      <c r="H775" s="116">
        <v>916.14</v>
      </c>
      <c r="I775" s="116" t="s">
        <v>13</v>
      </c>
      <c r="J775">
        <v>12093.6548</v>
      </c>
      <c r="K775" s="116">
        <v>7079181.3839999996</v>
      </c>
      <c r="L775" t="s">
        <v>5431</v>
      </c>
      <c r="M775" s="116">
        <v>2019</v>
      </c>
      <c r="N775" t="s">
        <v>13</v>
      </c>
    </row>
    <row r="776" spans="1:14" x14ac:dyDescent="0.25">
      <c r="A776" s="125">
        <v>774</v>
      </c>
      <c r="B776" s="126" t="s">
        <v>5414</v>
      </c>
      <c r="C776" s="126" t="s">
        <v>4538</v>
      </c>
      <c r="D776" s="127" t="s">
        <v>229</v>
      </c>
      <c r="E776" s="127" t="s">
        <v>15</v>
      </c>
      <c r="F776" s="127">
        <v>41365</v>
      </c>
      <c r="G776" s="128">
        <v>45017</v>
      </c>
      <c r="H776" s="125">
        <v>120</v>
      </c>
      <c r="I776" s="125" t="s">
        <v>13</v>
      </c>
      <c r="J776" s="129">
        <v>15660.687977</v>
      </c>
      <c r="K776" s="125">
        <v>12471298.710100001</v>
      </c>
      <c r="L776" s="129" t="s">
        <v>13</v>
      </c>
      <c r="M776" s="125">
        <v>2023</v>
      </c>
      <c r="N776" t="s">
        <v>13</v>
      </c>
    </row>
    <row r="777" spans="1:14" x14ac:dyDescent="0.25">
      <c r="A777" s="116">
        <v>775</v>
      </c>
      <c r="B777" s="117" t="s">
        <v>5414</v>
      </c>
      <c r="C777" s="117" t="s">
        <v>4535</v>
      </c>
      <c r="D777" s="123" t="s">
        <v>229</v>
      </c>
      <c r="E777" s="123" t="s">
        <v>13</v>
      </c>
      <c r="F777" s="123">
        <v>41365</v>
      </c>
      <c r="G777" s="124">
        <v>45017</v>
      </c>
      <c r="H777" s="116">
        <v>310</v>
      </c>
      <c r="I777" s="116" t="s">
        <v>13</v>
      </c>
      <c r="J777">
        <v>20146.751096</v>
      </c>
      <c r="K777" s="116">
        <v>24353933.814800002</v>
      </c>
      <c r="L777" t="s">
        <v>13</v>
      </c>
      <c r="M777" s="116">
        <v>2023</v>
      </c>
      <c r="N777" t="s">
        <v>13</v>
      </c>
    </row>
    <row r="778" spans="1:14" x14ac:dyDescent="0.25">
      <c r="A778" s="116">
        <v>776</v>
      </c>
      <c r="B778" s="117" t="s">
        <v>5414</v>
      </c>
      <c r="C778" s="117" t="s">
        <v>3085</v>
      </c>
      <c r="D778" s="123" t="s">
        <v>3086</v>
      </c>
      <c r="E778" s="123" t="s">
        <v>15</v>
      </c>
      <c r="F778" s="123">
        <v>40452</v>
      </c>
      <c r="G778" s="124">
        <v>44105</v>
      </c>
      <c r="H778" s="116">
        <v>520.20000000000005</v>
      </c>
      <c r="I778" s="116" t="s">
        <v>13</v>
      </c>
      <c r="J778">
        <v>15357.633099000001</v>
      </c>
      <c r="K778" s="116">
        <v>10958114.0415</v>
      </c>
      <c r="L778" t="s">
        <v>13</v>
      </c>
      <c r="M778" s="116">
        <v>2020</v>
      </c>
      <c r="N778" t="s">
        <v>13</v>
      </c>
    </row>
    <row r="779" spans="1:14" x14ac:dyDescent="0.25">
      <c r="A779" s="116">
        <v>777</v>
      </c>
      <c r="B779" s="117" t="s">
        <v>5414</v>
      </c>
      <c r="C779" s="117" t="s">
        <v>3921</v>
      </c>
      <c r="D779" s="123" t="s">
        <v>3923</v>
      </c>
      <c r="E779" s="123" t="s">
        <v>79</v>
      </c>
      <c r="F779" s="123">
        <v>40940</v>
      </c>
      <c r="G779" s="124">
        <v>44593</v>
      </c>
      <c r="H779" s="116">
        <v>444.99</v>
      </c>
      <c r="I779" s="116" t="s">
        <v>13</v>
      </c>
      <c r="J779">
        <v>6903.6296709999997</v>
      </c>
      <c r="K779" s="116">
        <v>2466651.2289200001</v>
      </c>
      <c r="L779" t="s">
        <v>5431</v>
      </c>
      <c r="M779" s="116">
        <v>2022</v>
      </c>
      <c r="N779" t="s">
        <v>13</v>
      </c>
    </row>
    <row r="780" spans="1:14" x14ac:dyDescent="0.25">
      <c r="A780" s="116">
        <v>778</v>
      </c>
      <c r="B780" s="117" t="s">
        <v>5414</v>
      </c>
      <c r="C780" s="117" t="s">
        <v>3928</v>
      </c>
      <c r="D780" s="123" t="s">
        <v>3923</v>
      </c>
      <c r="E780" s="123" t="s">
        <v>79</v>
      </c>
      <c r="F780" s="123">
        <v>40940</v>
      </c>
      <c r="G780" s="124">
        <v>44593</v>
      </c>
      <c r="H780" s="116">
        <v>8.8699999999999992</v>
      </c>
      <c r="I780" s="116" t="s">
        <v>13</v>
      </c>
      <c r="J780">
        <v>1123.1566230000001</v>
      </c>
      <c r="K780" s="116">
        <v>41719.510358</v>
      </c>
      <c r="L780" t="s">
        <v>5431</v>
      </c>
      <c r="M780" s="116">
        <v>2022</v>
      </c>
      <c r="N780" t="s">
        <v>13</v>
      </c>
    </row>
    <row r="781" spans="1:14" x14ac:dyDescent="0.25">
      <c r="A781" s="116">
        <v>779</v>
      </c>
      <c r="B781" s="117" t="s">
        <v>5414</v>
      </c>
      <c r="C781" s="117" t="s">
        <v>4000</v>
      </c>
      <c r="D781" s="123" t="s">
        <v>248</v>
      </c>
      <c r="E781" s="123" t="s">
        <v>86</v>
      </c>
      <c r="F781" s="123">
        <v>40909</v>
      </c>
      <c r="G781" s="124">
        <v>44562</v>
      </c>
      <c r="H781" s="116">
        <v>168.5</v>
      </c>
      <c r="I781" s="116" t="s">
        <v>13</v>
      </c>
      <c r="J781">
        <v>4856.9983099999999</v>
      </c>
      <c r="K781" s="116">
        <v>923539.515518</v>
      </c>
      <c r="L781" t="s">
        <v>5431</v>
      </c>
      <c r="M781" s="116">
        <v>2022</v>
      </c>
      <c r="N781" t="s">
        <v>13</v>
      </c>
    </row>
    <row r="782" spans="1:14" x14ac:dyDescent="0.25">
      <c r="A782" s="116">
        <v>780</v>
      </c>
      <c r="B782" s="117" t="s">
        <v>5414</v>
      </c>
      <c r="C782" s="117" t="s">
        <v>4006</v>
      </c>
      <c r="D782" s="123" t="s">
        <v>248</v>
      </c>
      <c r="E782" s="123" t="s">
        <v>86</v>
      </c>
      <c r="F782" s="123">
        <v>40940</v>
      </c>
      <c r="G782" s="124">
        <v>44593</v>
      </c>
      <c r="H782" s="116">
        <v>36.799999999999997</v>
      </c>
      <c r="I782" s="116" t="s">
        <v>13</v>
      </c>
      <c r="J782">
        <v>1488.2956300000001</v>
      </c>
      <c r="K782" s="116">
        <v>126798.40384100001</v>
      </c>
      <c r="L782" t="s">
        <v>13</v>
      </c>
      <c r="M782" s="116">
        <v>2022</v>
      </c>
      <c r="N782">
        <v>210</v>
      </c>
    </row>
    <row r="783" spans="1:14" x14ac:dyDescent="0.25">
      <c r="A783" s="116">
        <v>781</v>
      </c>
      <c r="B783" s="117" t="s">
        <v>5414</v>
      </c>
      <c r="C783" s="117" t="s">
        <v>4009</v>
      </c>
      <c r="D783" s="123" t="s">
        <v>248</v>
      </c>
      <c r="E783" s="123" t="s">
        <v>86</v>
      </c>
      <c r="F783" s="123">
        <v>40909</v>
      </c>
      <c r="G783" s="124">
        <v>44562</v>
      </c>
      <c r="H783" s="116">
        <v>100</v>
      </c>
      <c r="I783" s="116" t="s">
        <v>13</v>
      </c>
      <c r="J783">
        <v>3341.301391</v>
      </c>
      <c r="K783" s="116">
        <v>568256.60709399998</v>
      </c>
      <c r="L783" t="s">
        <v>13</v>
      </c>
      <c r="M783" s="116">
        <v>2022</v>
      </c>
      <c r="N783" t="s">
        <v>13</v>
      </c>
    </row>
    <row r="784" spans="1:14" x14ac:dyDescent="0.25">
      <c r="A784" s="116">
        <v>782</v>
      </c>
      <c r="B784" s="117" t="s">
        <v>5414</v>
      </c>
      <c r="C784" s="117" t="s">
        <v>4012</v>
      </c>
      <c r="D784" s="123" t="s">
        <v>248</v>
      </c>
      <c r="E784" s="123" t="s">
        <v>86</v>
      </c>
      <c r="F784" s="123">
        <v>40909</v>
      </c>
      <c r="G784" s="124">
        <v>44562</v>
      </c>
      <c r="H784" s="116">
        <v>87</v>
      </c>
      <c r="I784" s="116" t="s">
        <v>13</v>
      </c>
      <c r="J784">
        <v>3217.1132980000002</v>
      </c>
      <c r="K784" s="116">
        <v>467606.60331999999</v>
      </c>
      <c r="L784" t="s">
        <v>13</v>
      </c>
      <c r="M784" s="116">
        <v>2022</v>
      </c>
      <c r="N784" t="s">
        <v>13</v>
      </c>
    </row>
    <row r="785" spans="1:14" x14ac:dyDescent="0.25">
      <c r="A785" s="116">
        <v>783</v>
      </c>
      <c r="B785" s="117" t="s">
        <v>5414</v>
      </c>
      <c r="C785" s="117" t="s">
        <v>4015</v>
      </c>
      <c r="D785" s="123" t="s">
        <v>248</v>
      </c>
      <c r="E785" s="123" t="s">
        <v>86</v>
      </c>
      <c r="F785" s="123">
        <v>40909</v>
      </c>
      <c r="G785" s="124">
        <v>44562</v>
      </c>
      <c r="H785" s="116">
        <v>13.2</v>
      </c>
      <c r="I785" s="116" t="s">
        <v>13</v>
      </c>
      <c r="J785">
        <v>2557.963166</v>
      </c>
      <c r="K785" s="116">
        <v>112980.31213400001</v>
      </c>
      <c r="L785" t="s">
        <v>13</v>
      </c>
      <c r="M785" s="116">
        <v>2022</v>
      </c>
      <c r="N785" t="s">
        <v>13</v>
      </c>
    </row>
    <row r="786" spans="1:14" x14ac:dyDescent="0.25">
      <c r="A786" s="116">
        <v>784</v>
      </c>
      <c r="B786" s="117" t="s">
        <v>5414</v>
      </c>
      <c r="C786" s="117" t="s">
        <v>4003</v>
      </c>
      <c r="D786" s="123" t="s">
        <v>453</v>
      </c>
      <c r="E786" s="123" t="s">
        <v>86</v>
      </c>
      <c r="F786" s="123">
        <v>40940</v>
      </c>
      <c r="G786" s="124">
        <v>44593</v>
      </c>
      <c r="H786" s="116">
        <v>309.27</v>
      </c>
      <c r="I786" s="116" t="s">
        <v>13</v>
      </c>
      <c r="J786">
        <v>7942.9928600000003</v>
      </c>
      <c r="K786" s="116">
        <v>1703158.2239099999</v>
      </c>
      <c r="L786" t="s">
        <v>13</v>
      </c>
      <c r="M786" s="116">
        <v>2022</v>
      </c>
      <c r="N786" t="s">
        <v>13</v>
      </c>
    </row>
    <row r="787" spans="1:14" x14ac:dyDescent="0.25">
      <c r="A787" s="116">
        <v>785</v>
      </c>
      <c r="B787" s="117" t="s">
        <v>5414</v>
      </c>
      <c r="C787" s="117" t="s">
        <v>4146</v>
      </c>
      <c r="D787" s="123" t="s">
        <v>4141</v>
      </c>
      <c r="E787" s="123" t="s">
        <v>79</v>
      </c>
      <c r="F787" s="123">
        <v>41030</v>
      </c>
      <c r="G787" s="124">
        <v>44682</v>
      </c>
      <c r="H787" s="116">
        <v>37.15</v>
      </c>
      <c r="I787" s="116" t="s">
        <v>13</v>
      </c>
      <c r="J787">
        <v>1830.9202</v>
      </c>
      <c r="K787" s="116">
        <v>209341.788264</v>
      </c>
      <c r="L787" t="s">
        <v>5431</v>
      </c>
      <c r="M787" s="116">
        <v>2022</v>
      </c>
      <c r="N787" t="s">
        <v>13</v>
      </c>
    </row>
    <row r="788" spans="1:14" x14ac:dyDescent="0.25">
      <c r="A788" s="116">
        <v>786</v>
      </c>
      <c r="B788" s="117" t="s">
        <v>5414</v>
      </c>
      <c r="C788" s="117" t="s">
        <v>4096</v>
      </c>
      <c r="D788" s="123" t="s">
        <v>453</v>
      </c>
      <c r="E788" s="123" t="s">
        <v>86</v>
      </c>
      <c r="F788" s="123">
        <v>41030</v>
      </c>
      <c r="G788" s="124">
        <v>44682</v>
      </c>
      <c r="H788" s="116">
        <v>1478.63</v>
      </c>
      <c r="I788" s="116" t="s">
        <v>13</v>
      </c>
      <c r="J788">
        <v>27564.807261000002</v>
      </c>
      <c r="K788" s="116">
        <v>7650896.5186999999</v>
      </c>
      <c r="L788" t="s">
        <v>5431</v>
      </c>
      <c r="M788" s="116">
        <v>2022</v>
      </c>
      <c r="N788" t="s">
        <v>1097</v>
      </c>
    </row>
    <row r="789" spans="1:14" x14ac:dyDescent="0.25">
      <c r="A789" s="116">
        <v>787</v>
      </c>
      <c r="B789" s="117" t="s">
        <v>5414</v>
      </c>
      <c r="C789" s="117" t="s">
        <v>4101</v>
      </c>
      <c r="D789" s="123" t="s">
        <v>453</v>
      </c>
      <c r="E789" s="123" t="s">
        <v>86</v>
      </c>
      <c r="F789" s="123">
        <v>41030</v>
      </c>
      <c r="G789" s="124">
        <v>44682</v>
      </c>
      <c r="H789" s="116">
        <v>1884.59</v>
      </c>
      <c r="I789" s="116" t="s">
        <v>13</v>
      </c>
      <c r="J789">
        <v>17864.647260000002</v>
      </c>
      <c r="K789" s="116">
        <v>10849900.823899999</v>
      </c>
      <c r="L789" t="s">
        <v>13</v>
      </c>
      <c r="M789" s="116">
        <v>2022</v>
      </c>
      <c r="N789" t="s">
        <v>1097</v>
      </c>
    </row>
    <row r="790" spans="1:14" x14ac:dyDescent="0.25">
      <c r="A790" s="116">
        <v>788</v>
      </c>
      <c r="B790" s="117" t="s">
        <v>5414</v>
      </c>
      <c r="C790" s="117" t="s">
        <v>4113</v>
      </c>
      <c r="D790" s="123" t="s">
        <v>453</v>
      </c>
      <c r="E790" s="123" t="s">
        <v>86</v>
      </c>
      <c r="F790" s="123">
        <v>41030</v>
      </c>
      <c r="G790" s="124">
        <v>44682</v>
      </c>
      <c r="H790" s="116">
        <v>1829.75</v>
      </c>
      <c r="I790" s="116" t="s">
        <v>13</v>
      </c>
      <c r="J790">
        <v>22122.470168</v>
      </c>
      <c r="K790" s="116">
        <v>10205305.273</v>
      </c>
      <c r="L790" t="s">
        <v>5431</v>
      </c>
      <c r="M790" s="116">
        <v>2022</v>
      </c>
      <c r="N790" t="s">
        <v>1097</v>
      </c>
    </row>
    <row r="791" spans="1:14" x14ac:dyDescent="0.25">
      <c r="A791" s="116">
        <v>789</v>
      </c>
      <c r="B791" s="117" t="s">
        <v>5414</v>
      </c>
      <c r="C791" s="117" t="s">
        <v>4093</v>
      </c>
      <c r="D791" s="123" t="s">
        <v>453</v>
      </c>
      <c r="E791" s="123" t="s">
        <v>86</v>
      </c>
      <c r="F791" s="123">
        <v>41030</v>
      </c>
      <c r="G791" s="124">
        <v>44682</v>
      </c>
      <c r="H791" s="116">
        <v>1084.79</v>
      </c>
      <c r="I791" s="116" t="s">
        <v>13</v>
      </c>
      <c r="J791">
        <v>27322.608574000002</v>
      </c>
      <c r="K791" s="116">
        <v>6168097.1590999998</v>
      </c>
      <c r="L791" t="s">
        <v>13</v>
      </c>
      <c r="M791" s="116">
        <v>2022</v>
      </c>
      <c r="N791" t="s">
        <v>1097</v>
      </c>
    </row>
    <row r="792" spans="1:14" x14ac:dyDescent="0.25">
      <c r="A792" s="116">
        <v>790</v>
      </c>
      <c r="B792" s="117" t="s">
        <v>5414</v>
      </c>
      <c r="C792" s="117" t="s">
        <v>4115</v>
      </c>
      <c r="D792" s="123" t="s">
        <v>453</v>
      </c>
      <c r="E792" s="123" t="s">
        <v>86</v>
      </c>
      <c r="F792" s="123">
        <v>41030</v>
      </c>
      <c r="G792" s="124">
        <v>44682</v>
      </c>
      <c r="H792" s="116">
        <v>80</v>
      </c>
      <c r="I792" s="116" t="s">
        <v>13</v>
      </c>
      <c r="J792">
        <v>2847.66444</v>
      </c>
      <c r="K792" s="116">
        <v>450294.445993</v>
      </c>
      <c r="L792" t="s">
        <v>13</v>
      </c>
      <c r="M792" s="116">
        <v>2022</v>
      </c>
      <c r="N792" t="s">
        <v>13</v>
      </c>
    </row>
    <row r="793" spans="1:14" x14ac:dyDescent="0.25">
      <c r="A793" s="116">
        <v>791</v>
      </c>
      <c r="B793" s="117" t="s">
        <v>5414</v>
      </c>
      <c r="C793" s="117" t="s">
        <v>4085</v>
      </c>
      <c r="D793" s="123" t="s">
        <v>453</v>
      </c>
      <c r="E793" s="123" t="s">
        <v>86</v>
      </c>
      <c r="F793" s="123">
        <v>41030</v>
      </c>
      <c r="G793" s="124">
        <v>44682</v>
      </c>
      <c r="H793" s="116">
        <v>156.52000000000001</v>
      </c>
      <c r="I793" s="116" t="s">
        <v>13</v>
      </c>
      <c r="J793">
        <v>6527.2945849999996</v>
      </c>
      <c r="K793" s="116">
        <v>872090.82472100004</v>
      </c>
      <c r="L793" t="s">
        <v>13</v>
      </c>
      <c r="M793" s="116">
        <v>2022</v>
      </c>
      <c r="N793" t="s">
        <v>13</v>
      </c>
    </row>
    <row r="794" spans="1:14" x14ac:dyDescent="0.25">
      <c r="A794" s="116">
        <v>792</v>
      </c>
      <c r="B794" s="117" t="s">
        <v>5414</v>
      </c>
      <c r="C794" s="117" t="s">
        <v>4090</v>
      </c>
      <c r="D794" s="123" t="s">
        <v>453</v>
      </c>
      <c r="E794" s="123" t="s">
        <v>86</v>
      </c>
      <c r="F794" s="123">
        <v>41030</v>
      </c>
      <c r="G794" s="124">
        <v>44682</v>
      </c>
      <c r="H794" s="116">
        <v>337.31</v>
      </c>
      <c r="I794" s="116" t="s">
        <v>13</v>
      </c>
      <c r="J794">
        <v>8450.8400939999992</v>
      </c>
      <c r="K794" s="116">
        <v>1655236.63246</v>
      </c>
      <c r="L794" t="s">
        <v>13</v>
      </c>
      <c r="M794" s="116">
        <v>2022</v>
      </c>
      <c r="N794" t="s">
        <v>13</v>
      </c>
    </row>
    <row r="795" spans="1:14" x14ac:dyDescent="0.25">
      <c r="A795" s="116">
        <v>793</v>
      </c>
      <c r="B795" s="117" t="s">
        <v>5414</v>
      </c>
      <c r="C795" s="117" t="s">
        <v>4320</v>
      </c>
      <c r="D795" s="123" t="s">
        <v>2831</v>
      </c>
      <c r="E795" s="123" t="s">
        <v>79</v>
      </c>
      <c r="F795" s="123">
        <v>41122</v>
      </c>
      <c r="G795" s="124">
        <v>44774</v>
      </c>
      <c r="H795" s="116">
        <v>236.53</v>
      </c>
      <c r="I795" s="116" t="s">
        <v>13</v>
      </c>
      <c r="J795">
        <v>10385.87766</v>
      </c>
      <c r="K795" s="116">
        <v>1338295.6573600001</v>
      </c>
      <c r="L795" t="s">
        <v>13</v>
      </c>
      <c r="M795" s="116">
        <v>2022</v>
      </c>
      <c r="N795" t="s">
        <v>13</v>
      </c>
    </row>
    <row r="796" spans="1:14" x14ac:dyDescent="0.25">
      <c r="A796" s="116">
        <v>794</v>
      </c>
      <c r="B796" s="117" t="s">
        <v>5414</v>
      </c>
      <c r="C796" s="117" t="s">
        <v>4314</v>
      </c>
      <c r="D796" s="123" t="s">
        <v>2831</v>
      </c>
      <c r="E796" s="123" t="s">
        <v>79</v>
      </c>
      <c r="F796" s="123">
        <v>41122</v>
      </c>
      <c r="G796" s="124">
        <v>44774</v>
      </c>
      <c r="H796" s="116">
        <v>207.09</v>
      </c>
      <c r="I796" s="116" t="s">
        <v>13</v>
      </c>
      <c r="J796">
        <v>6696.7067290000005</v>
      </c>
      <c r="K796" s="116">
        <v>1373174.2675600001</v>
      </c>
      <c r="L796" t="s">
        <v>5431</v>
      </c>
      <c r="M796" s="116">
        <v>2022</v>
      </c>
      <c r="N796" t="s">
        <v>13</v>
      </c>
    </row>
    <row r="797" spans="1:14" x14ac:dyDescent="0.25">
      <c r="A797" s="116">
        <v>795</v>
      </c>
      <c r="B797" s="117" t="s">
        <v>5414</v>
      </c>
      <c r="C797" s="117" t="s">
        <v>4317</v>
      </c>
      <c r="D797" s="123" t="s">
        <v>2831</v>
      </c>
      <c r="E797" s="123" t="s">
        <v>79</v>
      </c>
      <c r="F797" s="123">
        <v>41122</v>
      </c>
      <c r="G797" s="124">
        <v>44774</v>
      </c>
      <c r="H797" s="116">
        <v>742.56</v>
      </c>
      <c r="I797" s="116" t="s">
        <v>13</v>
      </c>
      <c r="J797">
        <v>19607.154477</v>
      </c>
      <c r="K797" s="116">
        <v>4125331.2400400001</v>
      </c>
      <c r="L797" t="s">
        <v>13</v>
      </c>
      <c r="M797" s="116">
        <v>2022</v>
      </c>
      <c r="N797" t="s">
        <v>13</v>
      </c>
    </row>
    <row r="798" spans="1:14" x14ac:dyDescent="0.25">
      <c r="A798" s="116">
        <v>796</v>
      </c>
      <c r="B798" s="117" t="s">
        <v>5414</v>
      </c>
      <c r="C798" s="117" t="s">
        <v>4378</v>
      </c>
      <c r="D798" s="123" t="s">
        <v>453</v>
      </c>
      <c r="E798" s="123" t="s">
        <v>86</v>
      </c>
      <c r="F798" s="123">
        <v>41518</v>
      </c>
      <c r="G798" s="124">
        <v>45170</v>
      </c>
      <c r="H798" s="116">
        <v>112.8</v>
      </c>
      <c r="I798" s="116" t="s">
        <v>13</v>
      </c>
      <c r="J798">
        <v>5140.8884479999997</v>
      </c>
      <c r="K798" s="116">
        <v>708827.29344599997</v>
      </c>
      <c r="L798" t="s">
        <v>13</v>
      </c>
      <c r="M798" s="116">
        <v>2023</v>
      </c>
      <c r="N798" t="s">
        <v>13</v>
      </c>
    </row>
    <row r="799" spans="1:14" x14ac:dyDescent="0.25">
      <c r="A799" s="116">
        <v>797</v>
      </c>
      <c r="B799" s="117" t="s">
        <v>5414</v>
      </c>
      <c r="C799" s="117" t="s">
        <v>4380</v>
      </c>
      <c r="D799" s="123" t="s">
        <v>453</v>
      </c>
      <c r="E799" s="123" t="s">
        <v>86</v>
      </c>
      <c r="F799" s="123">
        <v>41518</v>
      </c>
      <c r="G799" s="124">
        <v>45170</v>
      </c>
      <c r="H799" s="116">
        <v>131.69999999999999</v>
      </c>
      <c r="I799" s="116" t="s">
        <v>13</v>
      </c>
      <c r="J799">
        <v>5056.145829</v>
      </c>
      <c r="K799" s="116">
        <v>733819.63408999995</v>
      </c>
      <c r="L799" t="s">
        <v>13</v>
      </c>
      <c r="M799" s="116">
        <v>2023</v>
      </c>
      <c r="N799" t="s">
        <v>13</v>
      </c>
    </row>
    <row r="800" spans="1:14" x14ac:dyDescent="0.25">
      <c r="A800" s="116">
        <v>798</v>
      </c>
      <c r="B800" s="117" t="s">
        <v>5414</v>
      </c>
      <c r="C800" s="117" t="s">
        <v>4609</v>
      </c>
      <c r="D800" s="123" t="s">
        <v>332</v>
      </c>
      <c r="E800" s="123" t="s">
        <v>86</v>
      </c>
      <c r="F800" s="123">
        <v>41791</v>
      </c>
      <c r="G800" s="124">
        <v>45444</v>
      </c>
      <c r="H800" s="116">
        <v>329.28</v>
      </c>
      <c r="I800" s="116" t="s">
        <v>13</v>
      </c>
      <c r="J800">
        <v>6219.4033939999999</v>
      </c>
      <c r="K800" s="116">
        <v>1852361.6960799999</v>
      </c>
      <c r="L800" t="s">
        <v>13</v>
      </c>
      <c r="M800" s="116">
        <v>2024</v>
      </c>
      <c r="N800" t="s">
        <v>13</v>
      </c>
    </row>
    <row r="801" spans="1:14" x14ac:dyDescent="0.25">
      <c r="A801" s="116">
        <v>799</v>
      </c>
      <c r="B801" s="117" t="s">
        <v>5414</v>
      </c>
      <c r="C801" s="117" t="s">
        <v>4600</v>
      </c>
      <c r="D801" s="123" t="s">
        <v>453</v>
      </c>
      <c r="E801" s="123" t="s">
        <v>86</v>
      </c>
      <c r="F801" s="123">
        <v>41791</v>
      </c>
      <c r="G801" s="124">
        <v>45444</v>
      </c>
      <c r="H801" s="116">
        <v>52.1</v>
      </c>
      <c r="I801" s="116" t="s">
        <v>13</v>
      </c>
      <c r="J801">
        <v>4243.1574000000001</v>
      </c>
      <c r="K801" s="116">
        <v>820521.69243699999</v>
      </c>
      <c r="L801" t="s">
        <v>5431</v>
      </c>
      <c r="M801" s="116">
        <v>2024</v>
      </c>
      <c r="N801" t="s">
        <v>13</v>
      </c>
    </row>
    <row r="802" spans="1:14" x14ac:dyDescent="0.25">
      <c r="A802" s="116">
        <v>800</v>
      </c>
      <c r="B802" s="117" t="s">
        <v>5414</v>
      </c>
      <c r="C802" s="117" t="s">
        <v>4603</v>
      </c>
      <c r="D802" s="123" t="s">
        <v>453</v>
      </c>
      <c r="E802" s="123" t="s">
        <v>86</v>
      </c>
      <c r="F802" s="123">
        <v>41791</v>
      </c>
      <c r="G802" s="124">
        <v>45444</v>
      </c>
      <c r="H802" s="116">
        <v>535.98</v>
      </c>
      <c r="I802" s="116" t="s">
        <v>13</v>
      </c>
      <c r="J802">
        <v>5121.0233129999997</v>
      </c>
      <c r="K802" s="116">
        <v>1288336.15962</v>
      </c>
      <c r="L802" t="s">
        <v>5431</v>
      </c>
      <c r="M802" s="116">
        <v>2024</v>
      </c>
      <c r="N802" t="s">
        <v>13</v>
      </c>
    </row>
    <row r="803" spans="1:14" x14ac:dyDescent="0.25">
      <c r="A803" s="116">
        <v>801</v>
      </c>
      <c r="B803" s="117" t="s">
        <v>5414</v>
      </c>
      <c r="C803" s="117" t="s">
        <v>4606</v>
      </c>
      <c r="D803" s="123" t="s">
        <v>453</v>
      </c>
      <c r="E803" s="123" t="s">
        <v>86</v>
      </c>
      <c r="F803" s="123">
        <v>41791</v>
      </c>
      <c r="G803" s="124">
        <v>45444</v>
      </c>
      <c r="H803" s="116">
        <v>105.84</v>
      </c>
      <c r="I803" s="116" t="s">
        <v>13</v>
      </c>
      <c r="J803">
        <v>3619.8305679999999</v>
      </c>
      <c r="K803" s="116">
        <v>630495.94678999996</v>
      </c>
      <c r="L803" t="s">
        <v>5431</v>
      </c>
      <c r="M803" s="116">
        <v>2024</v>
      </c>
      <c r="N803" t="s">
        <v>13</v>
      </c>
    </row>
    <row r="804" spans="1:14" x14ac:dyDescent="0.25">
      <c r="A804" s="116">
        <v>802</v>
      </c>
      <c r="B804" s="117" t="s">
        <v>5414</v>
      </c>
      <c r="C804" s="117" t="s">
        <v>4624</v>
      </c>
      <c r="D804" s="123" t="s">
        <v>453</v>
      </c>
      <c r="E804" s="123" t="s">
        <v>86</v>
      </c>
      <c r="F804" s="123">
        <v>41791</v>
      </c>
      <c r="G804" s="124">
        <v>45444</v>
      </c>
      <c r="H804" s="116">
        <v>40</v>
      </c>
      <c r="I804" s="116" t="s">
        <v>13</v>
      </c>
      <c r="J804">
        <v>1879.0952709999999</v>
      </c>
      <c r="K804" s="116">
        <v>220652.47563100001</v>
      </c>
      <c r="L804" t="s">
        <v>13</v>
      </c>
      <c r="M804" s="116">
        <v>2024</v>
      </c>
      <c r="N804" t="s">
        <v>13</v>
      </c>
    </row>
    <row r="805" spans="1:14" x14ac:dyDescent="0.25">
      <c r="A805" s="116">
        <v>803</v>
      </c>
      <c r="B805" s="117" t="s">
        <v>5414</v>
      </c>
      <c r="C805" s="117" t="s">
        <v>4626</v>
      </c>
      <c r="D805" s="123" t="s">
        <v>453</v>
      </c>
      <c r="E805" s="123" t="s">
        <v>86</v>
      </c>
      <c r="F805" s="123">
        <v>41791</v>
      </c>
      <c r="G805" s="124">
        <v>45444</v>
      </c>
      <c r="H805" s="116">
        <v>40</v>
      </c>
      <c r="I805" s="116" t="s">
        <v>13</v>
      </c>
      <c r="J805">
        <v>1890.9069039999999</v>
      </c>
      <c r="K805" s="116">
        <v>223454.54195899999</v>
      </c>
      <c r="L805" t="s">
        <v>13</v>
      </c>
      <c r="M805" s="116">
        <v>2024</v>
      </c>
      <c r="N805" t="s">
        <v>13</v>
      </c>
    </row>
    <row r="806" spans="1:14" x14ac:dyDescent="0.25">
      <c r="A806" s="116">
        <v>804</v>
      </c>
      <c r="B806" s="117" t="s">
        <v>5414</v>
      </c>
      <c r="C806" s="117" t="s">
        <v>4574</v>
      </c>
      <c r="D806" s="123" t="s">
        <v>287</v>
      </c>
      <c r="E806" s="123" t="s">
        <v>86</v>
      </c>
      <c r="F806" s="123">
        <v>41791</v>
      </c>
      <c r="G806" s="124">
        <v>45444</v>
      </c>
      <c r="H806" s="116">
        <v>1260.25</v>
      </c>
      <c r="I806" s="116" t="s">
        <v>13</v>
      </c>
      <c r="J806">
        <v>11971.371569999999</v>
      </c>
      <c r="K806" s="116">
        <v>7213763.3981600003</v>
      </c>
      <c r="L806" t="s">
        <v>13</v>
      </c>
      <c r="M806" s="116">
        <v>2024</v>
      </c>
      <c r="N806" t="s">
        <v>13</v>
      </c>
    </row>
    <row r="807" spans="1:14" x14ac:dyDescent="0.25">
      <c r="A807" s="116">
        <v>805</v>
      </c>
      <c r="B807" s="117" t="s">
        <v>5414</v>
      </c>
      <c r="C807" s="117" t="s">
        <v>4577</v>
      </c>
      <c r="D807" s="123" t="s">
        <v>287</v>
      </c>
      <c r="E807" s="123" t="s">
        <v>86</v>
      </c>
      <c r="F807" s="123">
        <v>41791</v>
      </c>
      <c r="G807" s="124">
        <v>45444</v>
      </c>
      <c r="H807" s="116">
        <v>1064.8399999999999</v>
      </c>
      <c r="I807" s="116" t="s">
        <v>13</v>
      </c>
      <c r="J807">
        <v>17067.982737999999</v>
      </c>
      <c r="K807" s="116">
        <v>5440840.6247699996</v>
      </c>
      <c r="L807" t="s">
        <v>5431</v>
      </c>
      <c r="M807" s="116">
        <v>2024</v>
      </c>
      <c r="N807" t="s">
        <v>13</v>
      </c>
    </row>
    <row r="808" spans="1:14" x14ac:dyDescent="0.25">
      <c r="A808" s="116">
        <v>806</v>
      </c>
      <c r="B808" s="117" t="s">
        <v>5414</v>
      </c>
      <c r="C808" s="117" t="s">
        <v>4586</v>
      </c>
      <c r="D808" s="123" t="s">
        <v>287</v>
      </c>
      <c r="E808" s="123" t="s">
        <v>86</v>
      </c>
      <c r="F808" s="123">
        <v>41791</v>
      </c>
      <c r="G808" s="124">
        <v>45444</v>
      </c>
      <c r="H808" s="116">
        <v>641.55999999999995</v>
      </c>
      <c r="I808" s="116" t="s">
        <v>13</v>
      </c>
      <c r="J808">
        <v>7697.2535889999999</v>
      </c>
      <c r="K808" s="116">
        <v>3702819.81275</v>
      </c>
      <c r="L808" t="s">
        <v>13</v>
      </c>
      <c r="M808" s="116">
        <v>2024</v>
      </c>
      <c r="N808" t="s">
        <v>13</v>
      </c>
    </row>
    <row r="809" spans="1:14" x14ac:dyDescent="0.25">
      <c r="A809" s="116">
        <v>807</v>
      </c>
      <c r="B809" s="117" t="s">
        <v>5414</v>
      </c>
      <c r="C809" s="117" t="s">
        <v>4594</v>
      </c>
      <c r="D809" s="123" t="s">
        <v>287</v>
      </c>
      <c r="E809" s="123" t="s">
        <v>86</v>
      </c>
      <c r="F809" s="123">
        <v>41791</v>
      </c>
      <c r="G809" s="124">
        <v>45444</v>
      </c>
      <c r="H809" s="116">
        <v>1680.49</v>
      </c>
      <c r="I809" s="116" t="s">
        <v>13</v>
      </c>
      <c r="J809">
        <v>15273.644033</v>
      </c>
      <c r="K809" s="116">
        <v>9577071.3046400007</v>
      </c>
      <c r="L809" t="s">
        <v>13</v>
      </c>
      <c r="M809" s="116">
        <v>2024</v>
      </c>
      <c r="N809" t="s">
        <v>13</v>
      </c>
    </row>
    <row r="810" spans="1:14" x14ac:dyDescent="0.25">
      <c r="A810" s="116">
        <v>808</v>
      </c>
      <c r="B810" s="117" t="s">
        <v>5414</v>
      </c>
      <c r="C810" s="117" t="s">
        <v>4615</v>
      </c>
      <c r="D810" s="123" t="s">
        <v>3750</v>
      </c>
      <c r="E810" s="123" t="s">
        <v>86</v>
      </c>
      <c r="F810" s="123">
        <v>41791</v>
      </c>
      <c r="G810" s="124">
        <v>45444</v>
      </c>
      <c r="H810" s="116">
        <v>22.78</v>
      </c>
      <c r="I810" s="116" t="s">
        <v>13</v>
      </c>
      <c r="J810">
        <v>1959.451634</v>
      </c>
      <c r="K810" s="116">
        <v>239963.77921800001</v>
      </c>
      <c r="L810" t="s">
        <v>5431</v>
      </c>
      <c r="M810" s="116">
        <v>2024</v>
      </c>
      <c r="N810" t="s">
        <v>13</v>
      </c>
    </row>
    <row r="811" spans="1:14" x14ac:dyDescent="0.25">
      <c r="A811" s="116">
        <v>809</v>
      </c>
      <c r="B811" s="117" t="s">
        <v>5414</v>
      </c>
      <c r="C811" s="117" t="s">
        <v>5041</v>
      </c>
      <c r="D811" s="123" t="s">
        <v>2461</v>
      </c>
      <c r="E811" s="123" t="s">
        <v>1050</v>
      </c>
      <c r="F811" s="123">
        <v>42248</v>
      </c>
      <c r="G811" s="124">
        <v>45901</v>
      </c>
      <c r="H811" s="116">
        <v>160</v>
      </c>
      <c r="I811" s="116" t="s">
        <v>13</v>
      </c>
      <c r="J811">
        <v>8972.6401530000003</v>
      </c>
      <c r="K811" s="116">
        <v>1257822.1296900001</v>
      </c>
      <c r="L811" t="s">
        <v>13</v>
      </c>
      <c r="M811" s="116">
        <v>2025</v>
      </c>
      <c r="N811" t="s">
        <v>5046</v>
      </c>
    </row>
    <row r="812" spans="1:14" x14ac:dyDescent="0.25">
      <c r="A812" s="116">
        <v>810</v>
      </c>
      <c r="B812" s="117" t="s">
        <v>5414</v>
      </c>
      <c r="C812" s="117" t="s">
        <v>5040</v>
      </c>
      <c r="D812" s="123" t="s">
        <v>2461</v>
      </c>
      <c r="E812" s="123" t="s">
        <v>1050</v>
      </c>
      <c r="F812" s="123">
        <v>42248</v>
      </c>
      <c r="G812" s="124">
        <v>45901</v>
      </c>
      <c r="H812" s="116">
        <v>40</v>
      </c>
      <c r="I812" s="116" t="s">
        <v>13</v>
      </c>
      <c r="J812">
        <v>2209.3470569999999</v>
      </c>
      <c r="K812" s="116">
        <v>305058.21550599998</v>
      </c>
      <c r="L812" t="s">
        <v>13</v>
      </c>
      <c r="M812" s="116">
        <v>2025</v>
      </c>
      <c r="N812" t="s">
        <v>5044</v>
      </c>
    </row>
    <row r="813" spans="1:14" x14ac:dyDescent="0.25">
      <c r="A813" s="116">
        <v>811</v>
      </c>
      <c r="B813" s="117" t="s">
        <v>5414</v>
      </c>
      <c r="C813" s="117" t="s">
        <v>5037</v>
      </c>
      <c r="D813" s="123" t="s">
        <v>2461</v>
      </c>
      <c r="E813" s="123" t="s">
        <v>1050</v>
      </c>
      <c r="F813" s="123">
        <v>42248</v>
      </c>
      <c r="G813" s="124">
        <v>45901</v>
      </c>
      <c r="H813" s="116">
        <v>120</v>
      </c>
      <c r="I813" s="116" t="s">
        <v>13</v>
      </c>
      <c r="J813">
        <v>3317.2970660000001</v>
      </c>
      <c r="K813" s="116">
        <v>610111.73235800001</v>
      </c>
      <c r="L813" t="s">
        <v>5431</v>
      </c>
      <c r="M813" s="116">
        <v>2025</v>
      </c>
      <c r="N813" t="s">
        <v>5022</v>
      </c>
    </row>
    <row r="814" spans="1:14" x14ac:dyDescent="0.25">
      <c r="A814" s="116">
        <v>812</v>
      </c>
      <c r="B814" s="117" t="s">
        <v>5414</v>
      </c>
      <c r="C814" s="117" t="s">
        <v>5033</v>
      </c>
      <c r="D814" s="123" t="s">
        <v>2461</v>
      </c>
      <c r="E814" s="123" t="s">
        <v>1050</v>
      </c>
      <c r="F814" s="123">
        <v>42248</v>
      </c>
      <c r="G814" s="124">
        <v>45901</v>
      </c>
      <c r="H814" s="116">
        <v>158.09</v>
      </c>
      <c r="I814" s="116" t="s">
        <v>13</v>
      </c>
      <c r="J814">
        <v>4460.5271190000003</v>
      </c>
      <c r="K814" s="116">
        <v>1242981.1054700001</v>
      </c>
      <c r="L814" t="s">
        <v>13</v>
      </c>
      <c r="M814" s="116">
        <v>2025</v>
      </c>
      <c r="N814" t="s">
        <v>5035</v>
      </c>
    </row>
    <row r="815" spans="1:14" x14ac:dyDescent="0.25">
      <c r="A815" s="116">
        <v>813</v>
      </c>
      <c r="B815" s="117" t="s">
        <v>5414</v>
      </c>
      <c r="C815" s="117" t="s">
        <v>5029</v>
      </c>
      <c r="D815" s="123" t="s">
        <v>2461</v>
      </c>
      <c r="E815" s="123" t="s">
        <v>1050</v>
      </c>
      <c r="F815" s="123">
        <v>42248</v>
      </c>
      <c r="G815" s="124">
        <v>45901</v>
      </c>
      <c r="H815" s="116">
        <v>720</v>
      </c>
      <c r="I815" s="116" t="s">
        <v>13</v>
      </c>
      <c r="J815">
        <v>14510.934232</v>
      </c>
      <c r="K815" s="116">
        <v>5602868.5169299999</v>
      </c>
      <c r="L815" t="s">
        <v>13</v>
      </c>
      <c r="M815" s="116">
        <v>2025</v>
      </c>
      <c r="N815" t="s">
        <v>5026</v>
      </c>
    </row>
    <row r="816" spans="1:14" x14ac:dyDescent="0.25">
      <c r="A816" s="116">
        <v>814</v>
      </c>
      <c r="B816" s="117" t="s">
        <v>5414</v>
      </c>
      <c r="C816" s="117" t="s">
        <v>4629</v>
      </c>
      <c r="D816" s="123" t="s">
        <v>5433</v>
      </c>
      <c r="E816" s="123" t="s">
        <v>86</v>
      </c>
      <c r="F816" s="123">
        <v>41609</v>
      </c>
      <c r="G816" s="124">
        <v>45261</v>
      </c>
      <c r="H816" s="116">
        <v>403.34</v>
      </c>
      <c r="I816" s="116" t="s">
        <v>13</v>
      </c>
      <c r="J816">
        <v>8219.8445210000009</v>
      </c>
      <c r="K816" s="116">
        <v>2242560.0680999998</v>
      </c>
      <c r="L816" t="s">
        <v>13</v>
      </c>
      <c r="M816" s="116">
        <v>2023</v>
      </c>
      <c r="N816" t="s">
        <v>13</v>
      </c>
    </row>
    <row r="817" spans="1:14" x14ac:dyDescent="0.25">
      <c r="A817" s="116">
        <v>815</v>
      </c>
      <c r="B817" s="117" t="s">
        <v>5414</v>
      </c>
      <c r="C817" s="117" t="s">
        <v>4841</v>
      </c>
      <c r="D817" s="123" t="s">
        <v>4846</v>
      </c>
      <c r="E817" s="123" t="s">
        <v>308</v>
      </c>
      <c r="F817" s="123">
        <v>41944</v>
      </c>
      <c r="G817" s="124">
        <v>45597</v>
      </c>
      <c r="H817" s="116">
        <v>40.200000000000003</v>
      </c>
      <c r="I817" s="116" t="s">
        <v>13</v>
      </c>
      <c r="J817">
        <v>1905.5664870000001</v>
      </c>
      <c r="K817" s="116">
        <v>226929.26740899999</v>
      </c>
      <c r="L817" t="s">
        <v>13</v>
      </c>
      <c r="M817" s="116">
        <v>2024</v>
      </c>
      <c r="N817" t="s">
        <v>4862</v>
      </c>
    </row>
    <row r="818" spans="1:14" x14ac:dyDescent="0.25">
      <c r="A818" s="116">
        <v>816</v>
      </c>
      <c r="B818" s="117" t="s">
        <v>5414</v>
      </c>
      <c r="C818" s="117" t="s">
        <v>4869</v>
      </c>
      <c r="D818" s="123" t="s">
        <v>4890</v>
      </c>
      <c r="E818" s="123" t="s">
        <v>72</v>
      </c>
      <c r="F818" s="123">
        <v>42156</v>
      </c>
      <c r="G818" s="124">
        <v>45809</v>
      </c>
      <c r="H818" s="116">
        <v>80</v>
      </c>
      <c r="I818" s="116" t="s">
        <v>13</v>
      </c>
      <c r="J818">
        <v>2940.1397299999999</v>
      </c>
      <c r="K818" s="116">
        <v>481105.54268900002</v>
      </c>
      <c r="L818" t="s">
        <v>13</v>
      </c>
      <c r="M818" s="116">
        <v>2025</v>
      </c>
      <c r="N818" t="s">
        <v>13</v>
      </c>
    </row>
    <row r="819" spans="1:14" x14ac:dyDescent="0.25">
      <c r="A819" s="116">
        <v>817</v>
      </c>
      <c r="B819" s="117" t="s">
        <v>5414</v>
      </c>
      <c r="C819" s="117" t="s">
        <v>4638</v>
      </c>
      <c r="D819" s="123" t="s">
        <v>5227</v>
      </c>
      <c r="E819" s="123" t="s">
        <v>1050</v>
      </c>
      <c r="F819" s="123">
        <v>42644</v>
      </c>
      <c r="G819" s="124">
        <v>46296</v>
      </c>
      <c r="H819" s="116">
        <v>1850</v>
      </c>
      <c r="I819" s="116" t="s">
        <v>13</v>
      </c>
      <c r="J819">
        <v>11154.865194</v>
      </c>
      <c r="K819" s="116">
        <v>1393796.4387699999</v>
      </c>
      <c r="L819" t="s">
        <v>5431</v>
      </c>
      <c r="M819" s="116">
        <v>2026</v>
      </c>
      <c r="N819" t="s">
        <v>13</v>
      </c>
    </row>
    <row r="820" spans="1:14" x14ac:dyDescent="0.25">
      <c r="A820" s="116">
        <v>818</v>
      </c>
      <c r="B820" s="117" t="s">
        <v>5414</v>
      </c>
      <c r="C820" s="117" t="s">
        <v>4936</v>
      </c>
      <c r="D820" s="123" t="s">
        <v>1049</v>
      </c>
      <c r="E820" s="123" t="s">
        <v>1050</v>
      </c>
      <c r="F820" s="123">
        <v>42278</v>
      </c>
      <c r="G820" s="124">
        <v>45931</v>
      </c>
      <c r="H820" s="116">
        <v>480</v>
      </c>
      <c r="I820" s="116" t="s">
        <v>13</v>
      </c>
      <c r="J820">
        <v>16773.262997999998</v>
      </c>
      <c r="K820" s="116">
        <v>3751013.8164499998</v>
      </c>
      <c r="L820" t="s">
        <v>13</v>
      </c>
      <c r="M820" s="116">
        <v>2025</v>
      </c>
      <c r="N820" t="s">
        <v>13</v>
      </c>
    </row>
    <row r="821" spans="1:14" x14ac:dyDescent="0.25">
      <c r="A821" s="116">
        <v>819</v>
      </c>
      <c r="B821" s="117" t="s">
        <v>5414</v>
      </c>
      <c r="C821" s="117" t="s">
        <v>4924</v>
      </c>
      <c r="D821" s="123" t="s">
        <v>2461</v>
      </c>
      <c r="E821" s="123" t="s">
        <v>1050</v>
      </c>
      <c r="F821" s="123">
        <v>42278</v>
      </c>
      <c r="G821" s="124">
        <v>45931</v>
      </c>
      <c r="H821" s="116">
        <v>39.299999999999997</v>
      </c>
      <c r="I821" s="116" t="s">
        <v>13</v>
      </c>
      <c r="J821">
        <v>2212.7689449999998</v>
      </c>
      <c r="K821" s="116">
        <v>305163.27507199999</v>
      </c>
      <c r="L821" t="s">
        <v>13</v>
      </c>
      <c r="M821" s="116">
        <v>2025</v>
      </c>
      <c r="N821" t="s">
        <v>13</v>
      </c>
    </row>
    <row r="822" spans="1:14" x14ac:dyDescent="0.25">
      <c r="A822" s="116">
        <v>820</v>
      </c>
      <c r="B822" s="117" t="s">
        <v>5414</v>
      </c>
      <c r="C822" s="117" t="s">
        <v>4930</v>
      </c>
      <c r="D822" s="123" t="s">
        <v>2461</v>
      </c>
      <c r="E822" s="123" t="s">
        <v>1050</v>
      </c>
      <c r="F822" s="123">
        <v>42278</v>
      </c>
      <c r="G822" s="124">
        <v>45931</v>
      </c>
      <c r="H822" s="116">
        <v>35.31</v>
      </c>
      <c r="I822" s="116" t="s">
        <v>13</v>
      </c>
      <c r="J822">
        <v>2154.553343</v>
      </c>
      <c r="K822" s="116">
        <v>289732.02497999999</v>
      </c>
      <c r="L822" t="s">
        <v>13</v>
      </c>
      <c r="M822" s="116">
        <v>2025</v>
      </c>
      <c r="N822" t="s">
        <v>13</v>
      </c>
    </row>
    <row r="823" spans="1:14" x14ac:dyDescent="0.25">
      <c r="A823" s="116">
        <v>821</v>
      </c>
      <c r="B823" s="117" t="s">
        <v>5414</v>
      </c>
      <c r="C823" s="117" t="s">
        <v>4933</v>
      </c>
      <c r="D823" s="123" t="s">
        <v>2461</v>
      </c>
      <c r="E823" s="123" t="s">
        <v>1050</v>
      </c>
      <c r="F823" s="123">
        <v>42278</v>
      </c>
      <c r="G823" s="124">
        <v>45931</v>
      </c>
      <c r="H823" s="116">
        <v>160</v>
      </c>
      <c r="I823" s="116" t="s">
        <v>13</v>
      </c>
      <c r="J823">
        <v>6658.9926580000001</v>
      </c>
      <c r="K823" s="116">
        <v>1230206.52297</v>
      </c>
      <c r="L823" t="s">
        <v>13</v>
      </c>
      <c r="M823" s="116">
        <v>2025</v>
      </c>
      <c r="N823" t="s">
        <v>13</v>
      </c>
    </row>
    <row r="824" spans="1:14" x14ac:dyDescent="0.25">
      <c r="A824" s="116">
        <v>822</v>
      </c>
      <c r="B824" s="117" t="s">
        <v>5414</v>
      </c>
      <c r="C824" s="117" t="s">
        <v>4939</v>
      </c>
      <c r="D824" s="123" t="s">
        <v>2461</v>
      </c>
      <c r="E824" s="123" t="s">
        <v>1050</v>
      </c>
      <c r="F824" s="123">
        <v>42278</v>
      </c>
      <c r="G824" s="124">
        <v>45931</v>
      </c>
      <c r="H824" s="116">
        <v>760</v>
      </c>
      <c r="I824" s="116" t="s">
        <v>13</v>
      </c>
      <c r="J824">
        <v>12209.131216</v>
      </c>
      <c r="K824" s="116">
        <v>5868610.8038799996</v>
      </c>
      <c r="L824" t="s">
        <v>13</v>
      </c>
      <c r="M824" s="116">
        <v>2025</v>
      </c>
      <c r="N824" t="s">
        <v>13</v>
      </c>
    </row>
    <row r="825" spans="1:14" x14ac:dyDescent="0.25">
      <c r="A825" s="116">
        <v>823</v>
      </c>
      <c r="B825" s="117" t="s">
        <v>5414</v>
      </c>
      <c r="C825" s="117" t="s">
        <v>4942</v>
      </c>
      <c r="D825" s="123" t="s">
        <v>2461</v>
      </c>
      <c r="E825" s="123" t="s">
        <v>1050</v>
      </c>
      <c r="F825" s="123">
        <v>42278</v>
      </c>
      <c r="G825" s="124">
        <v>45931</v>
      </c>
      <c r="H825" s="116">
        <v>710</v>
      </c>
      <c r="I825" s="116" t="s">
        <v>13</v>
      </c>
      <c r="J825">
        <v>16472.286517</v>
      </c>
      <c r="K825" s="116">
        <v>2883644.2325200001</v>
      </c>
      <c r="L825" t="s">
        <v>13</v>
      </c>
      <c r="M825" s="116">
        <v>2025</v>
      </c>
      <c r="N825" t="s">
        <v>13</v>
      </c>
    </row>
    <row r="826" spans="1:14" x14ac:dyDescent="0.25">
      <c r="A826" s="116">
        <v>824</v>
      </c>
      <c r="B826" s="117" t="s">
        <v>5414</v>
      </c>
      <c r="C826" s="117" t="s">
        <v>4946</v>
      </c>
      <c r="D826" s="123" t="s">
        <v>2461</v>
      </c>
      <c r="E826" s="123" t="s">
        <v>1050</v>
      </c>
      <c r="F826" s="123">
        <v>42278</v>
      </c>
      <c r="G826" s="124">
        <v>45931</v>
      </c>
      <c r="H826" s="116">
        <v>490</v>
      </c>
      <c r="I826" s="116" t="s">
        <v>13</v>
      </c>
      <c r="J826">
        <v>14485.59693</v>
      </c>
      <c r="K826" s="116">
        <v>3724701.1471600002</v>
      </c>
      <c r="L826" t="s">
        <v>5431</v>
      </c>
      <c r="M826" s="116">
        <v>2025</v>
      </c>
      <c r="N826" t="s">
        <v>13</v>
      </c>
    </row>
    <row r="827" spans="1:14" x14ac:dyDescent="0.25">
      <c r="A827" s="116">
        <v>825</v>
      </c>
      <c r="B827" s="117" t="s">
        <v>5414</v>
      </c>
      <c r="C827" s="117" t="s">
        <v>4953</v>
      </c>
      <c r="D827" s="123" t="s">
        <v>2461</v>
      </c>
      <c r="E827" s="123" t="s">
        <v>13</v>
      </c>
      <c r="F827" s="123">
        <v>42278</v>
      </c>
      <c r="G827" s="124">
        <v>45931</v>
      </c>
      <c r="H827" s="116">
        <v>80</v>
      </c>
      <c r="I827" s="116" t="s">
        <v>13</v>
      </c>
      <c r="J827">
        <v>4488.5776329999999</v>
      </c>
      <c r="K827" s="116">
        <v>626677.77174</v>
      </c>
      <c r="L827" t="s">
        <v>13</v>
      </c>
      <c r="M827" s="116">
        <v>2025</v>
      </c>
      <c r="N827" t="s">
        <v>13</v>
      </c>
    </row>
    <row r="828" spans="1:14" x14ac:dyDescent="0.25">
      <c r="A828" s="116">
        <v>826</v>
      </c>
      <c r="B828" s="117" t="s">
        <v>5414</v>
      </c>
      <c r="C828" s="117" t="s">
        <v>4956</v>
      </c>
      <c r="D828" s="123" t="s">
        <v>2461</v>
      </c>
      <c r="E828" s="123" t="s">
        <v>1050</v>
      </c>
      <c r="F828" s="123">
        <v>42278</v>
      </c>
      <c r="G828" s="124">
        <v>45931</v>
      </c>
      <c r="H828" s="116">
        <v>249.73</v>
      </c>
      <c r="I828" s="116" t="s">
        <v>13</v>
      </c>
      <c r="J828">
        <v>10284.044583999999</v>
      </c>
      <c r="K828" s="116">
        <v>1702312.7309000001</v>
      </c>
      <c r="L828" t="s">
        <v>13</v>
      </c>
      <c r="M828" s="116">
        <v>2025</v>
      </c>
      <c r="N828" t="s">
        <v>13</v>
      </c>
    </row>
    <row r="829" spans="1:14" x14ac:dyDescent="0.25">
      <c r="A829" s="116">
        <v>827</v>
      </c>
      <c r="B829" s="117" t="s">
        <v>5414</v>
      </c>
      <c r="C829" s="117" t="s">
        <v>4959</v>
      </c>
      <c r="D829" s="123" t="s">
        <v>2461</v>
      </c>
      <c r="E829" s="123" t="s">
        <v>1050</v>
      </c>
      <c r="F829" s="123">
        <v>42278</v>
      </c>
      <c r="G829" s="124">
        <v>45931</v>
      </c>
      <c r="H829" s="116">
        <v>72.28</v>
      </c>
      <c r="I829" s="116" t="s">
        <v>13</v>
      </c>
      <c r="J829">
        <v>3222.1695180000002</v>
      </c>
      <c r="K829" s="116">
        <v>556890.28439599997</v>
      </c>
      <c r="L829" t="s">
        <v>13</v>
      </c>
      <c r="M829" s="116">
        <v>2025</v>
      </c>
      <c r="N829" t="s">
        <v>13</v>
      </c>
    </row>
    <row r="830" spans="1:14" x14ac:dyDescent="0.25">
      <c r="A830" s="116">
        <v>828</v>
      </c>
      <c r="B830" s="117" t="s">
        <v>5414</v>
      </c>
      <c r="C830" s="117" t="s">
        <v>4962</v>
      </c>
      <c r="D830" s="123" t="s">
        <v>2461</v>
      </c>
      <c r="E830" s="123" t="s">
        <v>1050</v>
      </c>
      <c r="F830" s="123">
        <v>42278</v>
      </c>
      <c r="G830" s="124">
        <v>45931</v>
      </c>
      <c r="H830" s="116">
        <v>1059.92</v>
      </c>
      <c r="I830" s="116" t="s">
        <v>13</v>
      </c>
      <c r="J830">
        <v>20469.237013999998</v>
      </c>
      <c r="K830" s="116">
        <v>8251405.2324700002</v>
      </c>
      <c r="L830" t="s">
        <v>13</v>
      </c>
      <c r="M830" s="116">
        <v>2025</v>
      </c>
      <c r="N830" t="s">
        <v>13</v>
      </c>
    </row>
    <row r="831" spans="1:14" x14ac:dyDescent="0.25">
      <c r="A831" s="116">
        <v>829</v>
      </c>
      <c r="B831" s="117" t="s">
        <v>5414</v>
      </c>
      <c r="C831" s="117" t="s">
        <v>5020</v>
      </c>
      <c r="D831" s="123" t="s">
        <v>2461</v>
      </c>
      <c r="E831" s="123" t="s">
        <v>1050</v>
      </c>
      <c r="F831" s="123">
        <v>42248</v>
      </c>
      <c r="G831" s="124">
        <v>45901</v>
      </c>
      <c r="H831" s="116">
        <v>40</v>
      </c>
      <c r="I831" s="116" t="s">
        <v>13</v>
      </c>
      <c r="J831">
        <v>2231.1022309999998</v>
      </c>
      <c r="K831" s="116">
        <v>311097.55208499997</v>
      </c>
      <c r="L831" t="s">
        <v>13</v>
      </c>
      <c r="M831" s="116">
        <v>2025</v>
      </c>
      <c r="N831" t="s">
        <v>5022</v>
      </c>
    </row>
    <row r="832" spans="1:14" x14ac:dyDescent="0.25">
      <c r="A832" s="116">
        <v>830</v>
      </c>
      <c r="B832" s="117" t="s">
        <v>5414</v>
      </c>
      <c r="C832" s="117" t="s">
        <v>4999</v>
      </c>
      <c r="D832" s="123" t="s">
        <v>2461</v>
      </c>
      <c r="E832" s="123" t="s">
        <v>1050</v>
      </c>
      <c r="F832" s="123">
        <v>42248</v>
      </c>
      <c r="G832" s="124">
        <v>45901</v>
      </c>
      <c r="H832" s="116">
        <v>122.81</v>
      </c>
      <c r="I832" s="116" t="s">
        <v>13</v>
      </c>
      <c r="J832">
        <v>4515.0886769999997</v>
      </c>
      <c r="K832" s="116">
        <v>955115.828369</v>
      </c>
      <c r="L832" t="s">
        <v>13</v>
      </c>
      <c r="M832" s="116">
        <v>2025</v>
      </c>
      <c r="N832" t="s">
        <v>13</v>
      </c>
    </row>
    <row r="833" spans="1:14" x14ac:dyDescent="0.25">
      <c r="A833" s="116">
        <v>831</v>
      </c>
      <c r="B833" s="117" t="s">
        <v>5414</v>
      </c>
      <c r="C833" s="117" t="s">
        <v>4949</v>
      </c>
      <c r="D833" s="123" t="s">
        <v>2461</v>
      </c>
      <c r="E833" s="123" t="s">
        <v>1050</v>
      </c>
      <c r="F833" s="123">
        <v>42278</v>
      </c>
      <c r="G833" s="124">
        <v>45931</v>
      </c>
      <c r="H833" s="116">
        <v>1131.8800000000001</v>
      </c>
      <c r="I833" s="116" t="s">
        <v>13</v>
      </c>
      <c r="J833">
        <v>8861.7064699999992</v>
      </c>
      <c r="K833" s="116">
        <v>4905828.4473000001</v>
      </c>
      <c r="L833" t="s">
        <v>5431</v>
      </c>
      <c r="M833" s="116">
        <v>2025</v>
      </c>
      <c r="N833" t="s">
        <v>13</v>
      </c>
    </row>
    <row r="834" spans="1:14" x14ac:dyDescent="0.25">
      <c r="A834" s="116">
        <v>832</v>
      </c>
      <c r="B834" s="117" t="s">
        <v>5414</v>
      </c>
      <c r="C834" s="117" t="s">
        <v>4965</v>
      </c>
      <c r="D834" s="123" t="s">
        <v>2461</v>
      </c>
      <c r="E834" s="123" t="s">
        <v>1050</v>
      </c>
      <c r="F834" s="123">
        <v>42278</v>
      </c>
      <c r="G834" s="124">
        <v>45931</v>
      </c>
      <c r="H834" s="116">
        <v>392.65</v>
      </c>
      <c r="I834" s="116" t="s">
        <v>13</v>
      </c>
      <c r="J834">
        <v>8568.8029559999995</v>
      </c>
      <c r="K834" s="116">
        <v>2195932.9724900001</v>
      </c>
      <c r="L834" t="s">
        <v>5431</v>
      </c>
      <c r="M834" s="116">
        <v>2025</v>
      </c>
      <c r="N834" t="s">
        <v>13</v>
      </c>
    </row>
    <row r="835" spans="1:14" x14ac:dyDescent="0.25">
      <c r="A835" s="116">
        <v>833</v>
      </c>
      <c r="B835" s="117" t="s">
        <v>5414</v>
      </c>
      <c r="C835" s="117" t="s">
        <v>4969</v>
      </c>
      <c r="D835" s="123" t="s">
        <v>2461</v>
      </c>
      <c r="E835" s="123" t="s">
        <v>1050</v>
      </c>
      <c r="F835" s="123">
        <v>42278</v>
      </c>
      <c r="G835" s="124">
        <v>45931</v>
      </c>
      <c r="H835" s="116">
        <v>962.32</v>
      </c>
      <c r="I835" s="116" t="s">
        <v>13</v>
      </c>
      <c r="J835">
        <v>23441.074165000002</v>
      </c>
      <c r="K835" s="116">
        <v>8094029.1131100003</v>
      </c>
      <c r="L835" t="s">
        <v>13</v>
      </c>
      <c r="M835" s="116">
        <v>2025</v>
      </c>
      <c r="N835" t="s">
        <v>13</v>
      </c>
    </row>
    <row r="836" spans="1:14" x14ac:dyDescent="0.25">
      <c r="A836" s="116">
        <v>834</v>
      </c>
      <c r="B836" s="117" t="s">
        <v>5414</v>
      </c>
      <c r="C836" s="117" t="s">
        <v>5024</v>
      </c>
      <c r="D836" s="123" t="s">
        <v>2461</v>
      </c>
      <c r="E836" s="123" t="s">
        <v>1050</v>
      </c>
      <c r="F836" s="123">
        <v>42248</v>
      </c>
      <c r="G836" s="124">
        <v>45901</v>
      </c>
      <c r="H836" s="116">
        <v>1157.3</v>
      </c>
      <c r="I836" s="116" t="s">
        <v>13</v>
      </c>
      <c r="J836">
        <v>21411.046870999999</v>
      </c>
      <c r="K836" s="116">
        <v>9429041.9598399997</v>
      </c>
      <c r="L836" t="s">
        <v>13</v>
      </c>
      <c r="M836" s="116">
        <v>2025</v>
      </c>
      <c r="N836" t="s">
        <v>5026</v>
      </c>
    </row>
    <row r="837" spans="1:14" x14ac:dyDescent="0.25">
      <c r="A837" s="116">
        <v>835</v>
      </c>
      <c r="B837" s="117" t="s">
        <v>5414</v>
      </c>
      <c r="C837" s="117" t="s">
        <v>5012</v>
      </c>
      <c r="D837" s="123" t="s">
        <v>2461</v>
      </c>
      <c r="E837" s="123" t="s">
        <v>1050</v>
      </c>
      <c r="F837" s="123">
        <v>42248</v>
      </c>
      <c r="G837" s="124">
        <v>45901</v>
      </c>
      <c r="H837" s="116">
        <v>239</v>
      </c>
      <c r="I837" s="116" t="s">
        <v>13</v>
      </c>
      <c r="J837">
        <v>5059.4717380000002</v>
      </c>
      <c r="K837" s="116">
        <v>1251668.67667</v>
      </c>
      <c r="L837" t="s">
        <v>5431</v>
      </c>
      <c r="M837" s="116">
        <v>2025</v>
      </c>
      <c r="N837" t="s">
        <v>13</v>
      </c>
    </row>
    <row r="838" spans="1:14" x14ac:dyDescent="0.25">
      <c r="A838" s="116">
        <v>836</v>
      </c>
      <c r="B838" s="117" t="s">
        <v>5414</v>
      </c>
      <c r="C838" s="117" t="s">
        <v>5009</v>
      </c>
      <c r="D838" s="123" t="s">
        <v>2461</v>
      </c>
      <c r="E838" s="123" t="s">
        <v>1050</v>
      </c>
      <c r="F838" s="123">
        <v>42248</v>
      </c>
      <c r="G838" s="124">
        <v>45901</v>
      </c>
      <c r="H838" s="116">
        <v>1080</v>
      </c>
      <c r="I838" s="116" t="s">
        <v>13</v>
      </c>
      <c r="J838">
        <v>17840.528589000001</v>
      </c>
      <c r="K838" s="116">
        <v>8373794.4197699996</v>
      </c>
      <c r="L838" t="s">
        <v>13</v>
      </c>
      <c r="M838" s="116">
        <v>2025</v>
      </c>
      <c r="N838" t="s">
        <v>13</v>
      </c>
    </row>
    <row r="839" spans="1:14" x14ac:dyDescent="0.25">
      <c r="A839" s="116">
        <v>837</v>
      </c>
      <c r="B839" s="117" t="s">
        <v>5414</v>
      </c>
      <c r="C839" s="117" t="s">
        <v>5006</v>
      </c>
      <c r="D839" s="123" t="s">
        <v>2461</v>
      </c>
      <c r="E839" s="123" t="s">
        <v>1050</v>
      </c>
      <c r="F839" s="123">
        <v>42248</v>
      </c>
      <c r="G839" s="124">
        <v>45901</v>
      </c>
      <c r="H839" s="116">
        <v>880</v>
      </c>
      <c r="I839" s="116" t="s">
        <v>13</v>
      </c>
      <c r="J839">
        <v>18952.686944000001</v>
      </c>
      <c r="K839" s="116">
        <v>6834853.8639000002</v>
      </c>
      <c r="L839" t="s">
        <v>13</v>
      </c>
      <c r="M839" s="116">
        <v>2025</v>
      </c>
      <c r="N839" t="s">
        <v>13</v>
      </c>
    </row>
    <row r="840" spans="1:14" x14ac:dyDescent="0.25">
      <c r="A840" s="116">
        <v>838</v>
      </c>
      <c r="B840" s="117" t="s">
        <v>5414</v>
      </c>
      <c r="C840" s="117" t="s">
        <v>5002</v>
      </c>
      <c r="D840" s="123" t="s">
        <v>2461</v>
      </c>
      <c r="E840" s="123" t="s">
        <v>1050</v>
      </c>
      <c r="F840" s="123">
        <v>42248</v>
      </c>
      <c r="G840" s="124">
        <v>45901</v>
      </c>
      <c r="H840" s="116">
        <v>560</v>
      </c>
      <c r="I840" s="116" t="s">
        <v>13</v>
      </c>
      <c r="J840">
        <v>15696.500786000001</v>
      </c>
      <c r="K840" s="116">
        <v>4395943.6191100003</v>
      </c>
      <c r="L840" t="s">
        <v>13</v>
      </c>
      <c r="M840" s="116">
        <v>2025</v>
      </c>
      <c r="N840" t="s">
        <v>13</v>
      </c>
    </row>
    <row r="841" spans="1:14" x14ac:dyDescent="0.25">
      <c r="A841" s="116">
        <v>839</v>
      </c>
      <c r="B841" s="117" t="s">
        <v>5414</v>
      </c>
      <c r="C841" s="117" t="s">
        <v>4995</v>
      </c>
      <c r="D841" s="123" t="s">
        <v>2461</v>
      </c>
      <c r="E841" s="123" t="s">
        <v>1050</v>
      </c>
      <c r="F841" s="123">
        <v>42248</v>
      </c>
      <c r="G841" s="124">
        <v>45901</v>
      </c>
      <c r="H841" s="116">
        <v>1129.9100000000001</v>
      </c>
      <c r="I841" s="116" t="s">
        <v>13</v>
      </c>
      <c r="J841">
        <v>28507.318303</v>
      </c>
      <c r="K841" s="116">
        <v>8323678.3001399999</v>
      </c>
      <c r="L841" t="s">
        <v>13</v>
      </c>
      <c r="M841" s="116">
        <v>2025</v>
      </c>
      <c r="N841" t="s">
        <v>13</v>
      </c>
    </row>
    <row r="842" spans="1:14" x14ac:dyDescent="0.25">
      <c r="A842" s="116">
        <v>840</v>
      </c>
      <c r="B842" s="117" t="s">
        <v>5414</v>
      </c>
      <c r="C842" s="117" t="s">
        <v>4991</v>
      </c>
      <c r="D842" s="123" t="s">
        <v>2461</v>
      </c>
      <c r="E842" s="123" t="s">
        <v>1050</v>
      </c>
      <c r="F842" s="123">
        <v>42248</v>
      </c>
      <c r="G842" s="124">
        <v>45901</v>
      </c>
      <c r="H842" s="116">
        <v>484.85</v>
      </c>
      <c r="I842" s="116" t="s">
        <v>13</v>
      </c>
      <c r="J842">
        <v>15627.031650000001</v>
      </c>
      <c r="K842" s="116">
        <v>3705185.4321300001</v>
      </c>
      <c r="L842" t="s">
        <v>13</v>
      </c>
      <c r="M842" s="116">
        <v>2025</v>
      </c>
      <c r="N842" t="s">
        <v>13</v>
      </c>
    </row>
    <row r="843" spans="1:14" x14ac:dyDescent="0.25">
      <c r="A843" s="116">
        <v>841</v>
      </c>
      <c r="B843" s="117" t="s">
        <v>5414</v>
      </c>
      <c r="C843" s="117" t="s">
        <v>4988</v>
      </c>
      <c r="D843" s="123" t="s">
        <v>2461</v>
      </c>
      <c r="E843" s="123" t="s">
        <v>1050</v>
      </c>
      <c r="F843" s="123">
        <v>42248</v>
      </c>
      <c r="G843" s="124">
        <v>45901</v>
      </c>
      <c r="H843" s="116">
        <v>320</v>
      </c>
      <c r="I843" s="116" t="s">
        <v>13</v>
      </c>
      <c r="J843">
        <v>14971.770232000001</v>
      </c>
      <c r="K843" s="116">
        <v>2459061.39959</v>
      </c>
      <c r="L843" t="s">
        <v>13</v>
      </c>
      <c r="M843" s="116">
        <v>2025</v>
      </c>
      <c r="N843" t="s">
        <v>13</v>
      </c>
    </row>
    <row r="844" spans="1:14" x14ac:dyDescent="0.25">
      <c r="A844" s="116">
        <v>842</v>
      </c>
      <c r="B844" s="117" t="s">
        <v>5414</v>
      </c>
      <c r="C844" s="117" t="s">
        <v>5016</v>
      </c>
      <c r="D844" s="123" t="s">
        <v>2461</v>
      </c>
      <c r="E844" s="123" t="s">
        <v>1050</v>
      </c>
      <c r="F844" s="123">
        <v>42248</v>
      </c>
      <c r="G844" s="124">
        <v>45901</v>
      </c>
      <c r="H844" s="116">
        <v>45</v>
      </c>
      <c r="I844" s="116" t="s">
        <v>13</v>
      </c>
      <c r="J844">
        <v>3341.143051</v>
      </c>
      <c r="K844" s="116">
        <v>620405.71059699997</v>
      </c>
      <c r="L844" t="s">
        <v>5431</v>
      </c>
      <c r="M844" s="116">
        <v>2025</v>
      </c>
      <c r="N844" t="s">
        <v>5434</v>
      </c>
    </row>
    <row r="845" spans="1:14" x14ac:dyDescent="0.25">
      <c r="A845" s="116">
        <v>843</v>
      </c>
      <c r="B845" s="117" t="s">
        <v>5414</v>
      </c>
      <c r="C845" s="117" t="s">
        <v>4984</v>
      </c>
      <c r="D845" s="123" t="s">
        <v>2461</v>
      </c>
      <c r="E845" s="123" t="s">
        <v>1050</v>
      </c>
      <c r="F845" s="123">
        <v>42248</v>
      </c>
      <c r="G845" s="124">
        <v>45901</v>
      </c>
      <c r="H845" s="116">
        <v>737.11</v>
      </c>
      <c r="I845" s="116" t="s">
        <v>13</v>
      </c>
      <c r="J845">
        <v>19473.239006</v>
      </c>
      <c r="K845" s="116">
        <v>5701972.8598300004</v>
      </c>
      <c r="L845" t="s">
        <v>13</v>
      </c>
      <c r="M845" s="116">
        <v>2025</v>
      </c>
      <c r="N845" t="s">
        <v>13</v>
      </c>
    </row>
    <row r="846" spans="1:14" x14ac:dyDescent="0.25">
      <c r="A846" s="116">
        <v>844</v>
      </c>
      <c r="B846" s="117" t="s">
        <v>5414</v>
      </c>
      <c r="C846" s="117" t="s">
        <v>4980</v>
      </c>
      <c r="D846" s="123" t="s">
        <v>2461</v>
      </c>
      <c r="E846" s="123" t="s">
        <v>1050</v>
      </c>
      <c r="F846" s="123">
        <v>42248</v>
      </c>
      <c r="G846" s="124">
        <v>45901</v>
      </c>
      <c r="H846" s="116">
        <v>936.81</v>
      </c>
      <c r="I846" s="116" t="s">
        <v>13</v>
      </c>
      <c r="J846">
        <v>20390.666277</v>
      </c>
      <c r="K846" s="116">
        <v>7080066.9944399996</v>
      </c>
      <c r="L846" t="s">
        <v>5431</v>
      </c>
      <c r="M846" s="116">
        <v>2025</v>
      </c>
      <c r="N846" t="s">
        <v>13</v>
      </c>
    </row>
    <row r="847" spans="1:14" x14ac:dyDescent="0.25">
      <c r="A847" s="116">
        <v>845</v>
      </c>
      <c r="B847" s="117" t="s">
        <v>5414</v>
      </c>
      <c r="C847" s="117" t="s">
        <v>4977</v>
      </c>
      <c r="D847" s="123" t="s">
        <v>2461</v>
      </c>
      <c r="E847" s="123" t="s">
        <v>1050</v>
      </c>
      <c r="F847" s="123">
        <v>42248</v>
      </c>
      <c r="G847" s="124">
        <v>45901</v>
      </c>
      <c r="H847" s="116">
        <v>110.64</v>
      </c>
      <c r="I847" s="116" t="s">
        <v>13</v>
      </c>
      <c r="J847">
        <v>3607.7092560000001</v>
      </c>
      <c r="K847" s="116">
        <v>261211.53881599999</v>
      </c>
      <c r="L847" t="s">
        <v>5431</v>
      </c>
      <c r="M847" s="116">
        <v>2025</v>
      </c>
      <c r="N847" t="s">
        <v>13</v>
      </c>
    </row>
    <row r="848" spans="1:14" x14ac:dyDescent="0.25">
      <c r="A848" s="116">
        <v>846</v>
      </c>
      <c r="B848" s="117" t="s">
        <v>5414</v>
      </c>
      <c r="C848" s="117" t="s">
        <v>4973</v>
      </c>
      <c r="D848" s="123" t="s">
        <v>2461</v>
      </c>
      <c r="E848" s="123" t="s">
        <v>1050</v>
      </c>
      <c r="F848" s="123">
        <v>42278</v>
      </c>
      <c r="G848" s="124">
        <v>45931</v>
      </c>
      <c r="H848" s="116">
        <v>884.68</v>
      </c>
      <c r="I848" s="116" t="s">
        <v>13</v>
      </c>
      <c r="J848">
        <v>20995.797113000001</v>
      </c>
      <c r="K848" s="116">
        <v>4597786.2905299999</v>
      </c>
      <c r="L848" t="s">
        <v>5431</v>
      </c>
      <c r="M848" s="116">
        <v>2025</v>
      </c>
      <c r="N848" t="s">
        <v>13</v>
      </c>
    </row>
    <row r="849" spans="1:14" x14ac:dyDescent="0.25">
      <c r="A849" s="116">
        <v>847</v>
      </c>
      <c r="B849" s="117" t="s">
        <v>5414</v>
      </c>
      <c r="C849" s="117" t="s">
        <v>4151</v>
      </c>
      <c r="D849" s="123" t="s">
        <v>1512</v>
      </c>
      <c r="E849" s="123" t="s">
        <v>79</v>
      </c>
      <c r="F849" s="123">
        <v>41030</v>
      </c>
      <c r="G849" s="124">
        <v>44682</v>
      </c>
      <c r="H849" s="116">
        <v>859.16</v>
      </c>
      <c r="I849" s="116" t="s">
        <v>13</v>
      </c>
      <c r="J849">
        <v>16151.267545000001</v>
      </c>
      <c r="K849" s="116">
        <v>3598277.1831999999</v>
      </c>
      <c r="L849" t="s">
        <v>5431</v>
      </c>
      <c r="M849" s="116">
        <v>2022</v>
      </c>
      <c r="N849" t="s">
        <v>13</v>
      </c>
    </row>
    <row r="850" spans="1:14" x14ac:dyDescent="0.25">
      <c r="A850" s="116">
        <v>848</v>
      </c>
      <c r="B850" s="117" t="s">
        <v>5414</v>
      </c>
      <c r="C850" s="117" t="s">
        <v>4088</v>
      </c>
      <c r="D850" s="123" t="s">
        <v>453</v>
      </c>
      <c r="E850" s="123" t="s">
        <v>86</v>
      </c>
      <c r="F850" s="123">
        <v>41030</v>
      </c>
      <c r="G850" s="124">
        <v>44682</v>
      </c>
      <c r="H850" s="116">
        <v>1479.5</v>
      </c>
      <c r="I850" s="116" t="s">
        <v>13</v>
      </c>
      <c r="J850">
        <v>24295.084479000001</v>
      </c>
      <c r="K850" s="116">
        <v>8194934.8377099996</v>
      </c>
      <c r="L850" t="s">
        <v>5431</v>
      </c>
      <c r="M850" s="116">
        <v>2022</v>
      </c>
      <c r="N850" t="s">
        <v>1097</v>
      </c>
    </row>
    <row r="851" spans="1:14" x14ac:dyDescent="0.25">
      <c r="A851" s="116">
        <v>849</v>
      </c>
      <c r="B851" s="117" t="s">
        <v>5414</v>
      </c>
      <c r="C851" s="117" t="s">
        <v>4383</v>
      </c>
      <c r="D851" s="123" t="s">
        <v>453</v>
      </c>
      <c r="E851" s="123" t="s">
        <v>86</v>
      </c>
      <c r="F851" s="123">
        <v>41518</v>
      </c>
      <c r="G851" s="124">
        <v>45170</v>
      </c>
      <c r="H851" s="116">
        <v>250.11</v>
      </c>
      <c r="I851" s="116" t="s">
        <v>13</v>
      </c>
      <c r="J851">
        <v>8451.6573040000003</v>
      </c>
      <c r="K851" s="116">
        <v>1323470.8309200001</v>
      </c>
      <c r="L851" t="s">
        <v>5431</v>
      </c>
      <c r="M851" s="116">
        <v>2023</v>
      </c>
      <c r="N851" t="s">
        <v>13</v>
      </c>
    </row>
    <row r="852" spans="1:14" x14ac:dyDescent="0.25">
      <c r="A852" s="116">
        <v>850</v>
      </c>
      <c r="B852" s="117" t="s">
        <v>5414</v>
      </c>
      <c r="C852" s="117" t="s">
        <v>4385</v>
      </c>
      <c r="D852" s="123" t="s">
        <v>453</v>
      </c>
      <c r="E852" s="123" t="s">
        <v>86</v>
      </c>
      <c r="F852" s="123">
        <v>41518</v>
      </c>
      <c r="G852" s="124">
        <v>45170</v>
      </c>
      <c r="H852" s="116">
        <v>300.08</v>
      </c>
      <c r="I852" s="116" t="s">
        <v>13</v>
      </c>
      <c r="J852">
        <v>8480.4836030000006</v>
      </c>
      <c r="K852" s="116">
        <v>3688919.7979600001</v>
      </c>
      <c r="L852" t="s">
        <v>5431</v>
      </c>
      <c r="M852" s="116">
        <v>2023</v>
      </c>
      <c r="N852" t="s">
        <v>13</v>
      </c>
    </row>
    <row r="853" spans="1:14" x14ac:dyDescent="0.25">
      <c r="A853" s="116">
        <v>851</v>
      </c>
      <c r="B853" s="117" t="s">
        <v>5414</v>
      </c>
      <c r="C853" s="117" t="s">
        <v>4387</v>
      </c>
      <c r="D853" s="123" t="s">
        <v>453</v>
      </c>
      <c r="E853" s="123" t="s">
        <v>86</v>
      </c>
      <c r="F853" s="123">
        <v>41518</v>
      </c>
      <c r="G853" s="124">
        <v>45170</v>
      </c>
      <c r="H853" s="116">
        <v>3.32</v>
      </c>
      <c r="I853" s="116" t="s">
        <v>13</v>
      </c>
      <c r="J853">
        <v>709.401252</v>
      </c>
      <c r="K853" s="116">
        <v>27918.121339000001</v>
      </c>
      <c r="L853" t="s">
        <v>13</v>
      </c>
      <c r="M853" s="116">
        <v>2023</v>
      </c>
      <c r="N853" t="s">
        <v>13</v>
      </c>
    </row>
    <row r="854" spans="1:14" x14ac:dyDescent="0.25">
      <c r="A854" s="116">
        <v>852</v>
      </c>
      <c r="B854" s="117" t="s">
        <v>5414</v>
      </c>
      <c r="C854" s="117" t="s">
        <v>4923</v>
      </c>
      <c r="D854" s="123" t="s">
        <v>5048</v>
      </c>
      <c r="E854" s="123" t="s">
        <v>79</v>
      </c>
      <c r="F854" s="123">
        <v>42309</v>
      </c>
      <c r="G854" s="124">
        <v>45962</v>
      </c>
      <c r="H854" s="116">
        <v>19.88</v>
      </c>
      <c r="I854" s="116" t="s">
        <v>13</v>
      </c>
      <c r="J854">
        <v>6558.6720640000003</v>
      </c>
      <c r="K854" s="116">
        <v>1490069.99728</v>
      </c>
      <c r="L854" t="s">
        <v>5431</v>
      </c>
      <c r="M854" s="116">
        <v>2025</v>
      </c>
      <c r="N854" t="s">
        <v>13</v>
      </c>
    </row>
    <row r="855" spans="1:14" x14ac:dyDescent="0.25">
      <c r="A855" s="116">
        <v>853</v>
      </c>
      <c r="B855" s="117" t="s">
        <v>5414</v>
      </c>
      <c r="C855" s="117" t="s">
        <v>4913</v>
      </c>
      <c r="D855" s="123" t="s">
        <v>899</v>
      </c>
      <c r="E855" s="123" t="s">
        <v>512</v>
      </c>
      <c r="F855" s="123">
        <v>42278</v>
      </c>
      <c r="G855" s="124">
        <v>45931</v>
      </c>
      <c r="H855" s="116">
        <v>159.86000000000001</v>
      </c>
      <c r="I855" s="116" t="s">
        <v>13</v>
      </c>
      <c r="J855">
        <v>3801.9674960000002</v>
      </c>
      <c r="K855" s="116">
        <v>903430.95851499995</v>
      </c>
      <c r="L855" t="s">
        <v>13</v>
      </c>
      <c r="M855" s="116">
        <v>2025</v>
      </c>
      <c r="N855" t="s">
        <v>13</v>
      </c>
    </row>
    <row r="856" spans="1:14" x14ac:dyDescent="0.25">
      <c r="A856" s="116">
        <v>854</v>
      </c>
      <c r="B856" s="117" t="s">
        <v>5414</v>
      </c>
      <c r="C856" s="117" t="s">
        <v>4912</v>
      </c>
      <c r="D856" s="123" t="s">
        <v>899</v>
      </c>
      <c r="E856" s="123" t="s">
        <v>512</v>
      </c>
      <c r="F856" s="123">
        <v>42278</v>
      </c>
      <c r="G856" s="124">
        <v>45931</v>
      </c>
      <c r="H856" s="116">
        <v>320</v>
      </c>
      <c r="I856" s="116" t="s">
        <v>13</v>
      </c>
      <c r="J856">
        <v>5732.4050800000005</v>
      </c>
      <c r="K856" s="116">
        <v>1828603.02284</v>
      </c>
      <c r="L856" t="s">
        <v>13</v>
      </c>
      <c r="M856" s="116">
        <v>2025</v>
      </c>
      <c r="N856" t="s">
        <v>13</v>
      </c>
    </row>
    <row r="857" spans="1:14" x14ac:dyDescent="0.25">
      <c r="A857" s="116">
        <v>855</v>
      </c>
      <c r="B857" s="117" t="s">
        <v>5414</v>
      </c>
      <c r="C857" s="117" t="s">
        <v>4873</v>
      </c>
      <c r="D857" s="123" t="s">
        <v>4892</v>
      </c>
      <c r="E857" s="123" t="s">
        <v>79</v>
      </c>
      <c r="F857" s="123">
        <v>42156</v>
      </c>
      <c r="G857" s="124">
        <v>45809</v>
      </c>
      <c r="H857" s="116">
        <v>50.44</v>
      </c>
      <c r="I857" s="116" t="s">
        <v>13</v>
      </c>
      <c r="J857">
        <v>45956.425864999997</v>
      </c>
      <c r="K857" s="116">
        <v>99004779.794300005</v>
      </c>
      <c r="L857" t="s">
        <v>5431</v>
      </c>
      <c r="M857" s="116">
        <v>2025</v>
      </c>
      <c r="N857" t="s">
        <v>13</v>
      </c>
    </row>
    <row r="858" spans="1:14" x14ac:dyDescent="0.25">
      <c r="A858" s="116">
        <v>856</v>
      </c>
      <c r="B858" s="117" t="s">
        <v>5414</v>
      </c>
      <c r="C858" s="117" t="s">
        <v>4871</v>
      </c>
      <c r="D858" s="123" t="s">
        <v>1437</v>
      </c>
      <c r="E858" s="123" t="s">
        <v>79</v>
      </c>
      <c r="F858" s="123">
        <v>42156</v>
      </c>
      <c r="G858" s="124">
        <v>45809</v>
      </c>
      <c r="H858" s="116">
        <v>28.38</v>
      </c>
      <c r="I858" s="116" t="s">
        <v>13</v>
      </c>
      <c r="J858">
        <v>7682.1120890000002</v>
      </c>
      <c r="K858" s="116">
        <v>3688398.8335199999</v>
      </c>
      <c r="L858" t="s">
        <v>5431</v>
      </c>
      <c r="M858" s="116">
        <v>2025</v>
      </c>
      <c r="N858" t="s">
        <v>13</v>
      </c>
    </row>
    <row r="859" spans="1:14" x14ac:dyDescent="0.25">
      <c r="A859" s="116">
        <v>857</v>
      </c>
      <c r="B859" s="117" t="s">
        <v>5414</v>
      </c>
      <c r="C859" s="117" t="s">
        <v>4872</v>
      </c>
      <c r="D859" s="123" t="s">
        <v>1437</v>
      </c>
      <c r="E859" s="123" t="s">
        <v>79</v>
      </c>
      <c r="F859" s="123">
        <v>42156</v>
      </c>
      <c r="G859" s="124">
        <v>45809</v>
      </c>
      <c r="H859" s="116">
        <v>171.41</v>
      </c>
      <c r="I859" s="116" t="s">
        <v>13</v>
      </c>
      <c r="J859">
        <v>7539.337485</v>
      </c>
      <c r="K859" s="116">
        <v>990513.60949099995</v>
      </c>
      <c r="L859" t="s">
        <v>13</v>
      </c>
      <c r="M859" s="116">
        <v>2025</v>
      </c>
      <c r="N859" t="s">
        <v>13</v>
      </c>
    </row>
    <row r="860" spans="1:14" x14ac:dyDescent="0.25">
      <c r="A860" s="116">
        <v>858</v>
      </c>
      <c r="B860" s="117" t="s">
        <v>5414</v>
      </c>
      <c r="C860" s="117" t="s">
        <v>4715</v>
      </c>
      <c r="D860" s="123" t="s">
        <v>4717</v>
      </c>
      <c r="E860" s="123" t="s">
        <v>79</v>
      </c>
      <c r="F860" s="123">
        <v>41760</v>
      </c>
      <c r="G860" s="124">
        <v>45413</v>
      </c>
      <c r="H860" s="116">
        <v>2.86</v>
      </c>
      <c r="I860" s="116" t="s">
        <v>13</v>
      </c>
      <c r="J860">
        <v>4066.1690010000002</v>
      </c>
      <c r="K860" s="116">
        <v>478056.66658600001</v>
      </c>
      <c r="L860" t="s">
        <v>5431</v>
      </c>
      <c r="M860" s="116">
        <v>2024</v>
      </c>
      <c r="N860" t="s">
        <v>13</v>
      </c>
    </row>
    <row r="861" spans="1:14" x14ac:dyDescent="0.25">
      <c r="A861" s="116">
        <v>859</v>
      </c>
      <c r="B861" s="117" t="s">
        <v>5414</v>
      </c>
      <c r="C861" s="117" t="s">
        <v>4552</v>
      </c>
      <c r="D861" s="123" t="s">
        <v>4554</v>
      </c>
      <c r="E861" s="123" t="s">
        <v>79</v>
      </c>
      <c r="F861" s="123">
        <v>41426</v>
      </c>
      <c r="G861" s="124">
        <v>45078</v>
      </c>
      <c r="H861" s="116">
        <v>1321.39</v>
      </c>
      <c r="I861" s="116" t="s">
        <v>13</v>
      </c>
      <c r="J861">
        <v>19636.217089999998</v>
      </c>
      <c r="K861" s="116">
        <v>14149099.1841</v>
      </c>
      <c r="L861" t="s">
        <v>5431</v>
      </c>
      <c r="M861" s="116">
        <v>2023</v>
      </c>
      <c r="N861" t="s">
        <v>13</v>
      </c>
    </row>
    <row r="862" spans="1:14" x14ac:dyDescent="0.25">
      <c r="A862" s="116">
        <v>860</v>
      </c>
      <c r="B862" s="117" t="s">
        <v>5414</v>
      </c>
      <c r="C862" s="117" t="s">
        <v>4572</v>
      </c>
      <c r="D862" s="123" t="s">
        <v>5199</v>
      </c>
      <c r="E862" s="123" t="s">
        <v>79</v>
      </c>
      <c r="F862" s="123">
        <v>42644</v>
      </c>
      <c r="G862" s="124">
        <v>46296</v>
      </c>
      <c r="H862" s="116">
        <v>1336.8</v>
      </c>
      <c r="I862" s="116" t="s">
        <v>13</v>
      </c>
      <c r="J862">
        <v>20754.907351999998</v>
      </c>
      <c r="K862" s="116">
        <v>8199748.9195600003</v>
      </c>
      <c r="L862" t="s">
        <v>5431</v>
      </c>
      <c r="M862" s="116">
        <v>2026</v>
      </c>
      <c r="N862" t="s">
        <v>13</v>
      </c>
    </row>
    <row r="863" spans="1:14" x14ac:dyDescent="0.25">
      <c r="A863" s="116">
        <v>861</v>
      </c>
      <c r="B863" s="117" t="s">
        <v>5414</v>
      </c>
      <c r="C863" s="117" t="s">
        <v>4580</v>
      </c>
      <c r="D863" s="123" t="s">
        <v>287</v>
      </c>
      <c r="E863" s="123" t="s">
        <v>86</v>
      </c>
      <c r="F863" s="123">
        <v>41791</v>
      </c>
      <c r="G863" s="124">
        <v>45444</v>
      </c>
      <c r="H863" s="116">
        <v>1230.8499999999999</v>
      </c>
      <c r="I863" s="116" t="s">
        <v>13</v>
      </c>
      <c r="J863">
        <v>18965.56956</v>
      </c>
      <c r="K863" s="116">
        <v>7145479.5643499997</v>
      </c>
      <c r="L863" t="s">
        <v>5431</v>
      </c>
      <c r="M863" s="116">
        <v>2024</v>
      </c>
      <c r="N863" t="s">
        <v>13</v>
      </c>
    </row>
    <row r="864" spans="1:14" x14ac:dyDescent="0.25">
      <c r="A864" s="116">
        <v>862</v>
      </c>
      <c r="B864" s="117" t="s">
        <v>5414</v>
      </c>
      <c r="C864" s="117" t="s">
        <v>4583</v>
      </c>
      <c r="D864" s="123" t="s">
        <v>287</v>
      </c>
      <c r="E864" s="123" t="s">
        <v>86</v>
      </c>
      <c r="F864" s="123">
        <v>41791</v>
      </c>
      <c r="G864" s="124">
        <v>45444</v>
      </c>
      <c r="H864" s="116">
        <v>1627.29</v>
      </c>
      <c r="I864" s="116" t="s">
        <v>13</v>
      </c>
      <c r="J864">
        <v>26351.160433000001</v>
      </c>
      <c r="K864" s="116">
        <v>9521964.5905300006</v>
      </c>
      <c r="L864" t="s">
        <v>5431</v>
      </c>
      <c r="M864" s="116">
        <v>2024</v>
      </c>
      <c r="N864" t="s">
        <v>13</v>
      </c>
    </row>
    <row r="865" spans="1:14" x14ac:dyDescent="0.25">
      <c r="A865" s="116">
        <v>863</v>
      </c>
      <c r="B865" s="117" t="s">
        <v>5414</v>
      </c>
      <c r="C865" s="117" t="s">
        <v>4588</v>
      </c>
      <c r="D865" s="123" t="s">
        <v>287</v>
      </c>
      <c r="E865" s="123" t="s">
        <v>86</v>
      </c>
      <c r="F865" s="123">
        <v>41791</v>
      </c>
      <c r="G865" s="124">
        <v>45444</v>
      </c>
      <c r="H865" s="116">
        <v>610.91</v>
      </c>
      <c r="I865" s="116" t="s">
        <v>13</v>
      </c>
      <c r="J865">
        <v>11936.644802000001</v>
      </c>
      <c r="K865" s="116">
        <v>3646777.30217</v>
      </c>
      <c r="L865" t="s">
        <v>5431</v>
      </c>
      <c r="M865" s="116">
        <v>2024</v>
      </c>
      <c r="N865" t="s">
        <v>13</v>
      </c>
    </row>
    <row r="866" spans="1:14" x14ac:dyDescent="0.25">
      <c r="A866" s="116">
        <v>864</v>
      </c>
      <c r="B866" s="117" t="s">
        <v>5414</v>
      </c>
      <c r="C866" s="117" t="s">
        <v>4591</v>
      </c>
      <c r="D866" s="123" t="s">
        <v>287</v>
      </c>
      <c r="E866" s="123" t="s">
        <v>86</v>
      </c>
      <c r="F866" s="123">
        <v>41791</v>
      </c>
      <c r="G866" s="124">
        <v>45444</v>
      </c>
      <c r="H866" s="116">
        <v>1465.81</v>
      </c>
      <c r="I866" s="116" t="s">
        <v>13</v>
      </c>
      <c r="J866">
        <v>15233.790772</v>
      </c>
      <c r="K866" s="116">
        <v>8444812.7598999999</v>
      </c>
      <c r="L866" t="s">
        <v>5431</v>
      </c>
      <c r="M866" s="116">
        <v>2024</v>
      </c>
      <c r="N866" t="s">
        <v>13</v>
      </c>
    </row>
    <row r="867" spans="1:14" x14ac:dyDescent="0.25">
      <c r="A867" s="116">
        <v>865</v>
      </c>
      <c r="B867" s="117" t="s">
        <v>5414</v>
      </c>
      <c r="C867" s="117" t="s">
        <v>4597</v>
      </c>
      <c r="D867" s="123" t="s">
        <v>287</v>
      </c>
      <c r="E867" s="123" t="s">
        <v>86</v>
      </c>
      <c r="F867" s="123">
        <v>41791</v>
      </c>
      <c r="G867" s="124">
        <v>45444</v>
      </c>
      <c r="H867" s="116">
        <v>718.26</v>
      </c>
      <c r="I867" s="116" t="s">
        <v>13</v>
      </c>
      <c r="J867">
        <v>18159.723127000001</v>
      </c>
      <c r="K867" s="116">
        <v>4109537.8475100002</v>
      </c>
      <c r="L867" t="s">
        <v>13</v>
      </c>
      <c r="M867" s="116">
        <v>2024</v>
      </c>
      <c r="N867" t="s">
        <v>13</v>
      </c>
    </row>
    <row r="868" spans="1:14" x14ac:dyDescent="0.25">
      <c r="A868" s="116">
        <v>866</v>
      </c>
      <c r="B868" s="117" t="s">
        <v>5414</v>
      </c>
      <c r="C868" s="117" t="s">
        <v>4612</v>
      </c>
      <c r="D868" s="123" t="s">
        <v>3750</v>
      </c>
      <c r="E868" s="123" t="s">
        <v>86</v>
      </c>
      <c r="F868" s="123">
        <v>41791</v>
      </c>
      <c r="G868" s="124">
        <v>45444</v>
      </c>
      <c r="H868" s="116">
        <v>454</v>
      </c>
      <c r="I868" s="116" t="s">
        <v>13</v>
      </c>
      <c r="J868">
        <v>14063.112777</v>
      </c>
      <c r="K868" s="116">
        <v>2734100.2670999998</v>
      </c>
      <c r="L868" t="s">
        <v>13</v>
      </c>
      <c r="M868" s="116">
        <v>2024</v>
      </c>
      <c r="N868" t="s">
        <v>13</v>
      </c>
    </row>
    <row r="869" spans="1:14" x14ac:dyDescent="0.25">
      <c r="A869" s="116">
        <v>867</v>
      </c>
      <c r="B869" s="117" t="s">
        <v>5414</v>
      </c>
      <c r="C869" s="117" t="s">
        <v>4618</v>
      </c>
      <c r="D869" s="123" t="s">
        <v>3750</v>
      </c>
      <c r="E869" s="123" t="s">
        <v>86</v>
      </c>
      <c r="F869" s="123">
        <v>41791</v>
      </c>
      <c r="G869" s="124">
        <v>45444</v>
      </c>
      <c r="H869" s="116">
        <v>17.22</v>
      </c>
      <c r="I869" s="116" t="s">
        <v>13</v>
      </c>
      <c r="J869">
        <v>1959.1526019999999</v>
      </c>
      <c r="K869" s="116">
        <v>239880.358083</v>
      </c>
      <c r="L869" t="s">
        <v>5431</v>
      </c>
      <c r="M869" s="116">
        <v>2024</v>
      </c>
      <c r="N869" t="s">
        <v>13</v>
      </c>
    </row>
    <row r="870" spans="1:14" x14ac:dyDescent="0.25">
      <c r="A870" s="116">
        <v>868</v>
      </c>
      <c r="B870" s="117" t="s">
        <v>5414</v>
      </c>
      <c r="C870" s="117" t="s">
        <v>4621</v>
      </c>
      <c r="D870" s="123" t="s">
        <v>3750</v>
      </c>
      <c r="E870" s="123" t="s">
        <v>86</v>
      </c>
      <c r="F870" s="123">
        <v>41791</v>
      </c>
      <c r="G870" s="124">
        <v>45444</v>
      </c>
      <c r="H870" s="116">
        <v>228.51</v>
      </c>
      <c r="I870" s="116" t="s">
        <v>13</v>
      </c>
      <c r="J870">
        <v>7265.5521500000004</v>
      </c>
      <c r="K870" s="116">
        <v>1231552.47826</v>
      </c>
      <c r="L870" t="s">
        <v>5431</v>
      </c>
      <c r="M870" s="116">
        <v>2024</v>
      </c>
      <c r="N870" t="s">
        <v>13</v>
      </c>
    </row>
    <row r="871" spans="1:14" x14ac:dyDescent="0.25">
      <c r="A871" s="116">
        <v>869</v>
      </c>
      <c r="B871" s="117" t="s">
        <v>5414</v>
      </c>
      <c r="C871" s="117" t="s">
        <v>4836</v>
      </c>
      <c r="D871" s="123" t="s">
        <v>1625</v>
      </c>
      <c r="E871" s="123" t="s">
        <v>308</v>
      </c>
      <c r="F871" s="123">
        <v>41730</v>
      </c>
      <c r="G871" s="124">
        <v>45383</v>
      </c>
      <c r="H871" s="116">
        <v>150</v>
      </c>
      <c r="I871" s="116" t="s">
        <v>13</v>
      </c>
      <c r="J871">
        <v>7644.003291</v>
      </c>
      <c r="K871" s="116">
        <v>3648790.3292299998</v>
      </c>
      <c r="L871" t="s">
        <v>5431</v>
      </c>
      <c r="M871" s="116">
        <v>2024</v>
      </c>
      <c r="N871" t="s">
        <v>4839</v>
      </c>
    </row>
    <row r="872" spans="1:14" x14ac:dyDescent="0.25">
      <c r="A872" s="116">
        <v>870</v>
      </c>
      <c r="B872" s="117" t="s">
        <v>5414</v>
      </c>
      <c r="C872" s="117" t="s">
        <v>4657</v>
      </c>
      <c r="D872" s="123" t="s">
        <v>4659</v>
      </c>
      <c r="E872" s="123" t="s">
        <v>79</v>
      </c>
      <c r="F872" s="123">
        <v>41699</v>
      </c>
      <c r="G872" s="124">
        <v>45352</v>
      </c>
      <c r="H872" s="116">
        <v>1.84</v>
      </c>
      <c r="I872" s="116" t="s">
        <v>13</v>
      </c>
      <c r="J872">
        <v>11438.122685</v>
      </c>
      <c r="K872" s="116">
        <v>2983761.9440700002</v>
      </c>
      <c r="L872" t="s">
        <v>5431</v>
      </c>
      <c r="M872" s="116">
        <v>2024</v>
      </c>
      <c r="N872" t="s">
        <v>13</v>
      </c>
    </row>
    <row r="873" spans="1:14" x14ac:dyDescent="0.25">
      <c r="A873" s="116">
        <v>871</v>
      </c>
      <c r="B873" s="117" t="s">
        <v>5414</v>
      </c>
      <c r="C873" s="117" t="s">
        <v>4661</v>
      </c>
      <c r="D873" s="123" t="s">
        <v>4659</v>
      </c>
      <c r="E873" s="123" t="s">
        <v>79</v>
      </c>
      <c r="F873" s="123">
        <v>41699</v>
      </c>
      <c r="G873" s="124">
        <v>45352</v>
      </c>
      <c r="H873" s="116">
        <v>7.08</v>
      </c>
      <c r="I873" s="116" t="s">
        <v>13</v>
      </c>
      <c r="J873">
        <v>5333.6398589999999</v>
      </c>
      <c r="K873" s="116">
        <v>1848237.9395099999</v>
      </c>
      <c r="L873" t="s">
        <v>5431</v>
      </c>
      <c r="M873" s="116">
        <v>2024</v>
      </c>
      <c r="N873" t="s">
        <v>13</v>
      </c>
    </row>
    <row r="874" spans="1:14" x14ac:dyDescent="0.25">
      <c r="A874" s="116">
        <v>872</v>
      </c>
      <c r="B874" s="117" t="s">
        <v>5414</v>
      </c>
      <c r="C874" s="117" t="s">
        <v>4664</v>
      </c>
      <c r="D874" s="123" t="s">
        <v>4659</v>
      </c>
      <c r="E874" s="123" t="s">
        <v>79</v>
      </c>
      <c r="F874" s="123">
        <v>41699</v>
      </c>
      <c r="G874" s="124">
        <v>45352</v>
      </c>
      <c r="H874" s="116">
        <v>40</v>
      </c>
      <c r="I874" s="116" t="s">
        <v>13</v>
      </c>
      <c r="J874">
        <v>7541.11348</v>
      </c>
      <c r="K874" s="116">
        <v>3516206.79947</v>
      </c>
      <c r="L874" t="s">
        <v>5431</v>
      </c>
      <c r="M874" s="116">
        <v>2024</v>
      </c>
      <c r="N874" t="s">
        <v>13</v>
      </c>
    </row>
    <row r="875" spans="1:14" x14ac:dyDescent="0.25">
      <c r="A875" s="116">
        <v>873</v>
      </c>
      <c r="B875" s="117" t="s">
        <v>5414</v>
      </c>
      <c r="C875" s="117" t="s">
        <v>4667</v>
      </c>
      <c r="D875" s="123" t="s">
        <v>4659</v>
      </c>
      <c r="E875" s="123" t="s">
        <v>79</v>
      </c>
      <c r="F875" s="123">
        <v>41699</v>
      </c>
      <c r="G875" s="124">
        <v>45352</v>
      </c>
      <c r="H875" s="116">
        <v>79.84</v>
      </c>
      <c r="I875" s="116" t="s">
        <v>13</v>
      </c>
      <c r="J875">
        <v>2818.7707650000002</v>
      </c>
      <c r="K875" s="116">
        <v>444950.65967999998</v>
      </c>
      <c r="L875" t="s">
        <v>13</v>
      </c>
      <c r="M875" s="116">
        <v>2024</v>
      </c>
      <c r="N875" t="s">
        <v>13</v>
      </c>
    </row>
    <row r="876" spans="1:14" x14ac:dyDescent="0.25">
      <c r="A876" s="116">
        <v>874</v>
      </c>
      <c r="B876" s="117" t="s">
        <v>5414</v>
      </c>
      <c r="C876" s="117" t="s">
        <v>4670</v>
      </c>
      <c r="D876" s="123" t="s">
        <v>4659</v>
      </c>
      <c r="E876" s="123" t="s">
        <v>79</v>
      </c>
      <c r="F876" s="123">
        <v>41699</v>
      </c>
      <c r="G876" s="124">
        <v>45352</v>
      </c>
      <c r="H876" s="116">
        <v>3.8</v>
      </c>
      <c r="I876" s="116" t="s">
        <v>13</v>
      </c>
      <c r="J876">
        <v>5219.0053580000003</v>
      </c>
      <c r="K876" s="116">
        <v>1090761.0071700001</v>
      </c>
      <c r="L876" t="s">
        <v>5431</v>
      </c>
      <c r="M876" s="116">
        <v>2024</v>
      </c>
      <c r="N876" t="s">
        <v>13</v>
      </c>
    </row>
    <row r="877" spans="1:14" x14ac:dyDescent="0.25">
      <c r="A877" s="116">
        <v>875</v>
      </c>
      <c r="B877" s="117" t="s">
        <v>5414</v>
      </c>
      <c r="C877" s="117" t="s">
        <v>4722</v>
      </c>
      <c r="D877" s="123" t="s">
        <v>1437</v>
      </c>
      <c r="E877" s="123" t="s">
        <v>79</v>
      </c>
      <c r="F877" s="123">
        <v>41760</v>
      </c>
      <c r="G877" s="124">
        <v>45413</v>
      </c>
      <c r="H877" s="116">
        <v>409.22</v>
      </c>
      <c r="I877" s="116" t="s">
        <v>13</v>
      </c>
      <c r="J877">
        <v>31162.665499999999</v>
      </c>
      <c r="K877" s="116">
        <v>12741707.782600001</v>
      </c>
      <c r="L877" t="s">
        <v>5431</v>
      </c>
      <c r="M877" s="116">
        <v>2024</v>
      </c>
      <c r="N877" t="s">
        <v>13</v>
      </c>
    </row>
    <row r="878" spans="1:14" x14ac:dyDescent="0.25">
      <c r="A878" s="116">
        <v>876</v>
      </c>
      <c r="B878" s="117" t="s">
        <v>5414</v>
      </c>
      <c r="C878" s="117" t="s">
        <v>4746</v>
      </c>
      <c r="D878" s="123" t="s">
        <v>4748</v>
      </c>
      <c r="E878" s="123" t="s">
        <v>79</v>
      </c>
      <c r="F878" s="123">
        <v>41760</v>
      </c>
      <c r="G878" s="124">
        <v>45413</v>
      </c>
      <c r="H878" s="116">
        <v>1740</v>
      </c>
      <c r="I878" s="116" t="s">
        <v>13</v>
      </c>
      <c r="J878">
        <v>28160.821470999999</v>
      </c>
      <c r="K878" s="116">
        <v>9801674.0733000003</v>
      </c>
      <c r="L878" t="s">
        <v>5431</v>
      </c>
      <c r="M878" s="116">
        <v>2024</v>
      </c>
      <c r="N878" t="s">
        <v>13</v>
      </c>
    </row>
    <row r="879" spans="1:14" x14ac:dyDescent="0.25">
      <c r="A879" s="116">
        <v>877</v>
      </c>
      <c r="B879" s="117" t="s">
        <v>5414</v>
      </c>
      <c r="C879" s="117" t="s">
        <v>4409</v>
      </c>
      <c r="D879" s="123" t="s">
        <v>2827</v>
      </c>
      <c r="E879" s="123" t="s">
        <v>79</v>
      </c>
      <c r="F879" s="123">
        <v>42278</v>
      </c>
      <c r="G879" s="124">
        <v>45931</v>
      </c>
      <c r="H879" s="116">
        <v>159</v>
      </c>
      <c r="I879" s="116" t="s">
        <v>13</v>
      </c>
      <c r="J879">
        <v>5205.5309209999996</v>
      </c>
      <c r="K879" s="116">
        <v>1287731.58977</v>
      </c>
      <c r="L879" t="s">
        <v>5431</v>
      </c>
      <c r="M879" s="116">
        <v>2025</v>
      </c>
      <c r="N879" t="s">
        <v>13</v>
      </c>
    </row>
    <row r="880" spans="1:14" x14ac:dyDescent="0.25">
      <c r="A880" s="116">
        <v>878</v>
      </c>
      <c r="B880" s="117" t="s">
        <v>5414</v>
      </c>
      <c r="C880" s="117" t="s">
        <v>4876</v>
      </c>
      <c r="D880" s="123" t="s">
        <v>4893</v>
      </c>
      <c r="E880" s="123" t="s">
        <v>4879</v>
      </c>
      <c r="F880" s="123">
        <v>42156</v>
      </c>
      <c r="G880" s="124">
        <v>45809</v>
      </c>
      <c r="H880" s="116">
        <v>931.76</v>
      </c>
      <c r="I880" s="116" t="s">
        <v>13</v>
      </c>
      <c r="J880">
        <v>63481.704601999998</v>
      </c>
      <c r="K880" s="116">
        <v>38096738.353799999</v>
      </c>
      <c r="L880" t="s">
        <v>5431</v>
      </c>
      <c r="M880" s="116">
        <v>2025</v>
      </c>
      <c r="N880" t="s">
        <v>13</v>
      </c>
    </row>
    <row r="881" spans="1:14" x14ac:dyDescent="0.25">
      <c r="A881" s="116">
        <v>879</v>
      </c>
      <c r="B881" s="117" t="s">
        <v>5414</v>
      </c>
      <c r="C881" s="117" t="s">
        <v>4875</v>
      </c>
      <c r="D881" s="123" t="s">
        <v>4893</v>
      </c>
      <c r="E881" s="123" t="s">
        <v>4879</v>
      </c>
      <c r="F881" s="123">
        <v>42156</v>
      </c>
      <c r="G881" s="124">
        <v>45809</v>
      </c>
      <c r="H881" s="116">
        <v>1112.06</v>
      </c>
      <c r="I881" s="116" t="s">
        <v>13</v>
      </c>
      <c r="J881">
        <v>63481.704601999998</v>
      </c>
      <c r="K881" s="116">
        <v>38096738.353799999</v>
      </c>
      <c r="L881" t="s">
        <v>5431</v>
      </c>
      <c r="M881" s="116">
        <v>2025</v>
      </c>
      <c r="N881" t="s">
        <v>13</v>
      </c>
    </row>
    <row r="882" spans="1:14" x14ac:dyDescent="0.25">
      <c r="A882" s="116">
        <v>880</v>
      </c>
      <c r="B882" s="117" t="s">
        <v>5414</v>
      </c>
      <c r="C882" s="117" t="s">
        <v>4877</v>
      </c>
      <c r="D882" s="123" t="s">
        <v>4893</v>
      </c>
      <c r="E882" s="123" t="s">
        <v>4879</v>
      </c>
      <c r="F882" s="123">
        <v>42156</v>
      </c>
      <c r="G882" s="124">
        <v>45809</v>
      </c>
      <c r="H882" s="116">
        <v>617.19000000000005</v>
      </c>
      <c r="I882" s="116" t="s">
        <v>13</v>
      </c>
      <c r="J882">
        <v>63481.704601999998</v>
      </c>
      <c r="K882" s="116">
        <v>38096738.353799999</v>
      </c>
      <c r="L882" t="s">
        <v>5431</v>
      </c>
      <c r="M882" s="116">
        <v>2025</v>
      </c>
      <c r="N882" t="s">
        <v>13</v>
      </c>
    </row>
    <row r="883" spans="1:14" x14ac:dyDescent="0.25">
      <c r="A883" s="116">
        <v>881</v>
      </c>
      <c r="B883" s="117" t="s">
        <v>5414</v>
      </c>
      <c r="C883" s="117" t="s">
        <v>4874</v>
      </c>
      <c r="D883" s="123" t="s">
        <v>4893</v>
      </c>
      <c r="E883" s="123" t="s">
        <v>4879</v>
      </c>
      <c r="F883" s="123">
        <v>42156</v>
      </c>
      <c r="G883" s="124">
        <v>45809</v>
      </c>
      <c r="H883" s="116">
        <v>1134.8499999999999</v>
      </c>
      <c r="I883" s="116" t="s">
        <v>13</v>
      </c>
      <c r="J883">
        <v>63481.704601999998</v>
      </c>
      <c r="K883" s="116">
        <v>38096738.353799999</v>
      </c>
      <c r="L883" t="s">
        <v>5431</v>
      </c>
      <c r="M883" s="116">
        <v>2025</v>
      </c>
      <c r="N883" t="s">
        <v>13</v>
      </c>
    </row>
    <row r="884" spans="1:14" x14ac:dyDescent="0.25">
      <c r="A884" s="116">
        <v>882</v>
      </c>
      <c r="B884" s="117" t="s">
        <v>5414</v>
      </c>
      <c r="C884" s="117" t="s">
        <v>4878</v>
      </c>
      <c r="D884" s="123" t="s">
        <v>4893</v>
      </c>
      <c r="E884" s="123" t="s">
        <v>4879</v>
      </c>
      <c r="F884" s="123">
        <v>42156</v>
      </c>
      <c r="G884" s="124">
        <v>45809</v>
      </c>
      <c r="H884" s="116">
        <v>691.27</v>
      </c>
      <c r="I884" s="116" t="s">
        <v>13</v>
      </c>
      <c r="J884">
        <v>63481.704601999998</v>
      </c>
      <c r="K884" s="116">
        <v>38096738.353799999</v>
      </c>
      <c r="L884" t="s">
        <v>5431</v>
      </c>
      <c r="M884" s="116">
        <v>2025</v>
      </c>
      <c r="N884" t="s">
        <v>13</v>
      </c>
    </row>
    <row r="885" spans="1:14" x14ac:dyDescent="0.25">
      <c r="A885" s="116">
        <v>883</v>
      </c>
      <c r="B885" s="117" t="s">
        <v>5414</v>
      </c>
      <c r="C885" s="117" t="s">
        <v>4654</v>
      </c>
      <c r="D885" s="123" t="s">
        <v>248</v>
      </c>
      <c r="E885" s="123" t="s">
        <v>308</v>
      </c>
      <c r="F885" s="123">
        <v>41699</v>
      </c>
      <c r="G885" s="124">
        <v>45352</v>
      </c>
      <c r="H885" s="116">
        <v>161.41999999999999</v>
      </c>
      <c r="I885" s="116" t="s">
        <v>13</v>
      </c>
      <c r="J885">
        <v>4773.8115850000004</v>
      </c>
      <c r="K885" s="116">
        <v>899544.43400699995</v>
      </c>
      <c r="L885" t="s">
        <v>13</v>
      </c>
      <c r="M885" s="116">
        <v>2024</v>
      </c>
      <c r="N885" t="s">
        <v>13</v>
      </c>
    </row>
    <row r="886" spans="1:14" x14ac:dyDescent="0.25">
      <c r="A886" s="116">
        <v>884</v>
      </c>
      <c r="B886" s="117" t="s">
        <v>5414</v>
      </c>
      <c r="C886" s="117" t="s">
        <v>4840</v>
      </c>
      <c r="D886" s="123" t="s">
        <v>248</v>
      </c>
      <c r="E886" s="123" t="s">
        <v>308</v>
      </c>
      <c r="F886" s="123">
        <v>41944</v>
      </c>
      <c r="G886" s="124">
        <v>45597</v>
      </c>
      <c r="H886" s="116">
        <v>40.049999999999997</v>
      </c>
      <c r="I886" s="116" t="s">
        <v>13</v>
      </c>
      <c r="J886">
        <v>1886.164585</v>
      </c>
      <c r="K886" s="116">
        <v>222264.539468</v>
      </c>
      <c r="L886" t="s">
        <v>13</v>
      </c>
      <c r="M886" s="116">
        <v>2024</v>
      </c>
      <c r="N886" t="s">
        <v>4862</v>
      </c>
    </row>
    <row r="887" spans="1:14" x14ac:dyDescent="0.25">
      <c r="A887" s="116">
        <v>885</v>
      </c>
      <c r="B887" s="117" t="s">
        <v>5414</v>
      </c>
      <c r="C887" s="117" t="s">
        <v>5435</v>
      </c>
      <c r="D887" s="123" t="s">
        <v>5436</v>
      </c>
      <c r="E887" s="123" t="s">
        <v>5437</v>
      </c>
      <c r="F887" s="123">
        <v>43070</v>
      </c>
      <c r="G887" s="124">
        <v>46722</v>
      </c>
      <c r="H887" s="116">
        <v>81.31</v>
      </c>
      <c r="I887" s="116" t="s">
        <v>13</v>
      </c>
      <c r="J887">
        <v>3397.7393229999998</v>
      </c>
      <c r="K887" s="116">
        <v>641722.25370400003</v>
      </c>
      <c r="L887" t="s">
        <v>13</v>
      </c>
      <c r="M887" s="116">
        <v>2027</v>
      </c>
      <c r="N887" t="s">
        <v>13</v>
      </c>
    </row>
    <row r="888" spans="1:14" x14ac:dyDescent="0.25">
      <c r="A888" s="130">
        <v>886</v>
      </c>
      <c r="B888" s="117" t="s">
        <v>5414</v>
      </c>
      <c r="C888" s="117" t="s">
        <v>5438</v>
      </c>
      <c r="D888" s="117" t="s">
        <v>5436</v>
      </c>
      <c r="E888" s="117" t="s">
        <v>5437</v>
      </c>
      <c r="F888" s="123">
        <v>43070</v>
      </c>
      <c r="G888" s="131">
        <v>46722</v>
      </c>
      <c r="H888" s="116">
        <v>1217</v>
      </c>
      <c r="I888" t="s">
        <v>13</v>
      </c>
      <c r="J888" s="116">
        <v>30473.624201999999</v>
      </c>
      <c r="K888" s="116">
        <v>9539832.8184399996</v>
      </c>
      <c r="L888" t="s">
        <v>13</v>
      </c>
      <c r="M888" s="116">
        <v>2027</v>
      </c>
      <c r="N888" t="s">
        <v>13</v>
      </c>
    </row>
    <row r="889" spans="1:14" x14ac:dyDescent="0.25">
      <c r="A889" s="116">
        <v>887</v>
      </c>
      <c r="B889" s="117" t="s">
        <v>5414</v>
      </c>
      <c r="C889" s="117" t="s">
        <v>5439</v>
      </c>
      <c r="D889" s="123" t="s">
        <v>2366</v>
      </c>
      <c r="E889" s="123" t="s">
        <v>15</v>
      </c>
      <c r="F889" s="123">
        <v>43132</v>
      </c>
      <c r="G889" s="124">
        <v>46784</v>
      </c>
      <c r="H889" s="116">
        <v>173.93</v>
      </c>
      <c r="I889" s="116" t="s">
        <v>13</v>
      </c>
      <c r="J889">
        <v>8600.4767420000007</v>
      </c>
      <c r="K889" s="116">
        <v>936012.25925100001</v>
      </c>
      <c r="L889" t="s">
        <v>13</v>
      </c>
      <c r="M889" s="116">
        <v>2028</v>
      </c>
      <c r="N889" t="s">
        <v>13</v>
      </c>
    </row>
    <row r="890" spans="1:14" x14ac:dyDescent="0.25">
      <c r="A890" s="116">
        <v>888</v>
      </c>
      <c r="B890" s="117" t="s">
        <v>5414</v>
      </c>
      <c r="C890" s="117" t="s">
        <v>5440</v>
      </c>
      <c r="D890" s="123" t="s">
        <v>2366</v>
      </c>
      <c r="E890" s="123" t="s">
        <v>15</v>
      </c>
      <c r="F890" s="123">
        <v>43132</v>
      </c>
      <c r="G890" s="124">
        <v>46784</v>
      </c>
      <c r="H890" s="116">
        <v>167.77</v>
      </c>
      <c r="I890" s="116" t="s">
        <v>13</v>
      </c>
      <c r="J890">
        <v>7320.5835669999997</v>
      </c>
      <c r="K890" s="116">
        <v>-850672.45985700004</v>
      </c>
      <c r="L890" t="s">
        <v>13</v>
      </c>
      <c r="M890" s="116">
        <v>2028</v>
      </c>
      <c r="N890" t="s">
        <v>13</v>
      </c>
    </row>
    <row r="891" spans="1:14" x14ac:dyDescent="0.25">
      <c r="A891" s="116">
        <v>889</v>
      </c>
      <c r="B891" s="117" t="s">
        <v>5414</v>
      </c>
      <c r="C891" s="117" t="s">
        <v>5441</v>
      </c>
      <c r="D891" s="123" t="s">
        <v>202</v>
      </c>
      <c r="E891" s="123" t="s">
        <v>15</v>
      </c>
      <c r="F891" s="123">
        <v>43132</v>
      </c>
      <c r="G891" s="124">
        <v>46784</v>
      </c>
      <c r="H891" s="116">
        <v>153</v>
      </c>
      <c r="I891" s="116" t="s">
        <v>13</v>
      </c>
      <c r="J891">
        <v>5699.7025919999996</v>
      </c>
      <c r="K891" s="116">
        <v>950572.56120800006</v>
      </c>
      <c r="L891" t="s">
        <v>13</v>
      </c>
      <c r="M891" s="116">
        <v>2028</v>
      </c>
      <c r="N891" t="s">
        <v>13</v>
      </c>
    </row>
    <row r="892" spans="1:14" x14ac:dyDescent="0.25">
      <c r="A892" s="116">
        <v>890</v>
      </c>
      <c r="B892" s="117" t="s">
        <v>5414</v>
      </c>
      <c r="C892" s="117" t="s">
        <v>5442</v>
      </c>
      <c r="D892" s="123" t="s">
        <v>528</v>
      </c>
      <c r="E892" s="123" t="s">
        <v>198</v>
      </c>
      <c r="F892" s="123">
        <v>43132</v>
      </c>
      <c r="G892" s="124">
        <v>46784</v>
      </c>
      <c r="H892" s="116">
        <v>40</v>
      </c>
      <c r="I892" s="116" t="s">
        <v>13</v>
      </c>
      <c r="J892">
        <v>1980.882893</v>
      </c>
      <c r="K892" s="116">
        <v>245237.772302</v>
      </c>
      <c r="L892" t="s">
        <v>13</v>
      </c>
      <c r="M892" s="116">
        <v>2028</v>
      </c>
      <c r="N892" t="s">
        <v>13</v>
      </c>
    </row>
    <row r="893" spans="1:14" x14ac:dyDescent="0.25">
      <c r="A893" s="116">
        <v>891</v>
      </c>
      <c r="B893" s="117" t="s">
        <v>5414</v>
      </c>
      <c r="C893" s="117" t="s">
        <v>5443</v>
      </c>
      <c r="D893" s="123" t="s">
        <v>5444</v>
      </c>
      <c r="E893" s="123" t="s">
        <v>512</v>
      </c>
      <c r="F893" s="123">
        <v>43191</v>
      </c>
      <c r="G893" s="124">
        <v>46844</v>
      </c>
      <c r="H893" s="116">
        <v>320</v>
      </c>
      <c r="I893" s="116" t="s">
        <v>13</v>
      </c>
      <c r="J893">
        <v>5888.8377229999996</v>
      </c>
      <c r="K893" s="116">
        <v>1935275.69294</v>
      </c>
      <c r="L893" t="s">
        <v>13</v>
      </c>
      <c r="M893" s="116">
        <v>2028</v>
      </c>
      <c r="N893" t="s">
        <v>13</v>
      </c>
    </row>
    <row r="894" spans="1:14" x14ac:dyDescent="0.25">
      <c r="A894" s="116">
        <v>892</v>
      </c>
      <c r="B894" s="117" t="s">
        <v>5414</v>
      </c>
      <c r="C894" s="117" t="s">
        <v>5445</v>
      </c>
      <c r="D894" s="123" t="s">
        <v>5444</v>
      </c>
      <c r="E894" s="123" t="s">
        <v>512</v>
      </c>
      <c r="F894" s="123">
        <v>43191</v>
      </c>
      <c r="G894" s="124">
        <v>46844</v>
      </c>
      <c r="H894" s="116">
        <v>120</v>
      </c>
      <c r="I894" s="116" t="s">
        <v>13</v>
      </c>
      <c r="J894">
        <v>3877.956674</v>
      </c>
      <c r="K894" s="116">
        <v>704900.24430999998</v>
      </c>
      <c r="L894" t="s">
        <v>13</v>
      </c>
      <c r="M894" s="116">
        <v>2028</v>
      </c>
      <c r="N894" t="s">
        <v>13</v>
      </c>
    </row>
    <row r="895" spans="1:14" x14ac:dyDescent="0.25">
      <c r="A895" s="116">
        <v>893</v>
      </c>
      <c r="B895" s="117" t="s">
        <v>5414</v>
      </c>
      <c r="C895" s="117" t="s">
        <v>5446</v>
      </c>
      <c r="D895" s="123" t="s">
        <v>5444</v>
      </c>
      <c r="E895" s="123" t="s">
        <v>512</v>
      </c>
      <c r="F895" s="123">
        <v>43191</v>
      </c>
      <c r="G895" s="124">
        <v>46844</v>
      </c>
      <c r="H895" s="116">
        <v>40</v>
      </c>
      <c r="I895" s="116" t="s">
        <v>13</v>
      </c>
      <c r="J895">
        <v>1938.451869</v>
      </c>
      <c r="K895" s="116">
        <v>234849.14898999999</v>
      </c>
      <c r="L895" t="s">
        <v>13</v>
      </c>
      <c r="M895" s="116">
        <v>2028</v>
      </c>
      <c r="N895" t="s">
        <v>13</v>
      </c>
    </row>
    <row r="896" spans="1:14" x14ac:dyDescent="0.25">
      <c r="A896" s="116">
        <v>894</v>
      </c>
      <c r="B896" s="117" t="s">
        <v>5414</v>
      </c>
      <c r="C896" s="117" t="s">
        <v>5447</v>
      </c>
      <c r="D896" s="123" t="s">
        <v>5444</v>
      </c>
      <c r="E896" s="123" t="s">
        <v>512</v>
      </c>
      <c r="F896" s="123">
        <v>43191</v>
      </c>
      <c r="G896" s="124">
        <v>46844</v>
      </c>
      <c r="H896" s="116">
        <v>320.05</v>
      </c>
      <c r="I896" s="116" t="s">
        <v>13</v>
      </c>
      <c r="J896">
        <v>5819.3081789999997</v>
      </c>
      <c r="K896" s="116">
        <v>1881802.60723</v>
      </c>
      <c r="L896" t="s">
        <v>13</v>
      </c>
      <c r="M896" s="116">
        <v>2028</v>
      </c>
      <c r="N896" t="s">
        <v>13</v>
      </c>
    </row>
    <row r="897" spans="1:14" x14ac:dyDescent="0.25">
      <c r="A897" s="116">
        <v>895</v>
      </c>
      <c r="B897" s="117" t="s">
        <v>5414</v>
      </c>
      <c r="C897" s="117" t="s">
        <v>5448</v>
      </c>
      <c r="D897" s="123" t="s">
        <v>899</v>
      </c>
      <c r="E897" s="123" t="s">
        <v>512</v>
      </c>
      <c r="F897" s="123">
        <v>43191</v>
      </c>
      <c r="G897" s="124">
        <v>46844</v>
      </c>
      <c r="H897" s="116">
        <v>80</v>
      </c>
      <c r="I897" s="116" t="s">
        <v>13</v>
      </c>
      <c r="J897">
        <v>2894.249816</v>
      </c>
      <c r="K897" s="116">
        <v>465815.42412500002</v>
      </c>
      <c r="L897" t="s">
        <v>13</v>
      </c>
      <c r="M897" s="116">
        <v>2028</v>
      </c>
      <c r="N897" t="s">
        <v>13</v>
      </c>
    </row>
    <row r="898" spans="1:14" x14ac:dyDescent="0.25">
      <c r="A898" s="116">
        <v>896</v>
      </c>
      <c r="B898" s="117" t="s">
        <v>5414</v>
      </c>
      <c r="C898" s="117" t="s">
        <v>5449</v>
      </c>
      <c r="D898" s="123" t="s">
        <v>899</v>
      </c>
      <c r="E898" s="123" t="s">
        <v>512</v>
      </c>
      <c r="F898" s="123">
        <v>43191</v>
      </c>
      <c r="G898" s="124">
        <v>46844</v>
      </c>
      <c r="H898" s="116">
        <v>160</v>
      </c>
      <c r="I898" s="116" t="s">
        <v>13</v>
      </c>
      <c r="J898">
        <v>3832.5299420000001</v>
      </c>
      <c r="K898" s="116">
        <v>918014.05943699996</v>
      </c>
      <c r="L898" t="s">
        <v>13</v>
      </c>
      <c r="M898" s="116">
        <v>2028</v>
      </c>
      <c r="N898" t="s">
        <v>13</v>
      </c>
    </row>
    <row r="899" spans="1:14" x14ac:dyDescent="0.25">
      <c r="A899" s="116">
        <v>897</v>
      </c>
      <c r="B899" s="117" t="s">
        <v>5414</v>
      </c>
      <c r="C899" s="117" t="s">
        <v>5450</v>
      </c>
      <c r="D899" s="123" t="s">
        <v>899</v>
      </c>
      <c r="E899" s="123" t="s">
        <v>512</v>
      </c>
      <c r="F899" s="123">
        <v>43191</v>
      </c>
      <c r="G899" s="124">
        <v>46844</v>
      </c>
      <c r="H899" s="116">
        <v>240</v>
      </c>
      <c r="I899" s="116" t="s">
        <v>13</v>
      </c>
      <c r="J899">
        <v>4792.2339899999997</v>
      </c>
      <c r="K899" s="116">
        <v>1376679.5280800001</v>
      </c>
      <c r="L899" t="s">
        <v>13</v>
      </c>
      <c r="M899" s="116">
        <v>2028</v>
      </c>
      <c r="N899" t="s">
        <v>13</v>
      </c>
    </row>
    <row r="900" spans="1:14" x14ac:dyDescent="0.25">
      <c r="A900" s="116">
        <v>898</v>
      </c>
      <c r="B900" s="117" t="s">
        <v>5414</v>
      </c>
      <c r="C900" s="117" t="s">
        <v>5451</v>
      </c>
      <c r="D900" s="123" t="s">
        <v>899</v>
      </c>
      <c r="E900" s="123" t="s">
        <v>512</v>
      </c>
      <c r="F900" s="123">
        <v>43191</v>
      </c>
      <c r="G900" s="124">
        <v>46844</v>
      </c>
      <c r="H900" s="116">
        <v>200</v>
      </c>
      <c r="I900" s="116" t="s">
        <v>5452</v>
      </c>
      <c r="J900">
        <v>5715.9401509999998</v>
      </c>
      <c r="K900" s="116">
        <v>1128861.4443099999</v>
      </c>
      <c r="L900" t="s">
        <v>13</v>
      </c>
      <c r="M900" s="116">
        <v>2028</v>
      </c>
      <c r="N900" t="s">
        <v>13</v>
      </c>
    </row>
    <row r="901" spans="1:14" x14ac:dyDescent="0.25">
      <c r="A901" s="116">
        <v>899</v>
      </c>
      <c r="B901" s="117" t="s">
        <v>5414</v>
      </c>
      <c r="C901" s="117" t="s">
        <v>5453</v>
      </c>
      <c r="D901" s="123" t="s">
        <v>899</v>
      </c>
      <c r="E901" s="123" t="s">
        <v>512</v>
      </c>
      <c r="F901" s="123">
        <v>43191</v>
      </c>
      <c r="G901" s="124">
        <v>46844</v>
      </c>
      <c r="H901" s="116">
        <v>320</v>
      </c>
      <c r="I901" s="116" t="s">
        <v>13</v>
      </c>
      <c r="J901">
        <v>5697.7664089999998</v>
      </c>
      <c r="K901" s="116">
        <v>1807412.0695499999</v>
      </c>
      <c r="L901" t="s">
        <v>13</v>
      </c>
      <c r="M901" s="116">
        <v>2028</v>
      </c>
      <c r="N901" t="s">
        <v>13</v>
      </c>
    </row>
    <row r="902" spans="1:14" x14ac:dyDescent="0.25">
      <c r="A902" s="116">
        <v>900</v>
      </c>
      <c r="B902" s="117" t="s">
        <v>5414</v>
      </c>
      <c r="C902" s="117" t="s">
        <v>5454</v>
      </c>
      <c r="D902" s="123" t="s">
        <v>899</v>
      </c>
      <c r="E902" s="123" t="s">
        <v>512</v>
      </c>
      <c r="F902" s="123">
        <v>43191</v>
      </c>
      <c r="G902" s="124">
        <v>46844</v>
      </c>
      <c r="H902" s="116">
        <v>376.15</v>
      </c>
      <c r="I902" s="116" t="s">
        <v>13</v>
      </c>
      <c r="J902">
        <v>6467.0753919999997</v>
      </c>
      <c r="K902" s="116">
        <v>2123653.15754</v>
      </c>
      <c r="L902" t="s">
        <v>13</v>
      </c>
      <c r="M902" s="116">
        <v>2028</v>
      </c>
      <c r="N902" t="s">
        <v>13</v>
      </c>
    </row>
    <row r="903" spans="1:14" x14ac:dyDescent="0.25">
      <c r="A903" s="116">
        <v>901</v>
      </c>
      <c r="B903" s="117" t="s">
        <v>5414</v>
      </c>
      <c r="C903" s="117" t="s">
        <v>5455</v>
      </c>
      <c r="D903" s="123" t="s">
        <v>899</v>
      </c>
      <c r="E903" s="123" t="s">
        <v>512</v>
      </c>
      <c r="F903" s="123">
        <v>43191</v>
      </c>
      <c r="G903" s="124">
        <v>46844</v>
      </c>
      <c r="H903" s="116">
        <v>275.8</v>
      </c>
      <c r="I903" s="116" t="s">
        <v>13</v>
      </c>
      <c r="J903">
        <v>7816.9861229999997</v>
      </c>
      <c r="K903" s="116">
        <v>1557691.71857</v>
      </c>
      <c r="L903" t="s">
        <v>13</v>
      </c>
      <c r="M903" s="116">
        <v>2028</v>
      </c>
      <c r="N903" t="s">
        <v>13</v>
      </c>
    </row>
    <row r="904" spans="1:14" x14ac:dyDescent="0.25">
      <c r="A904" s="116">
        <v>902</v>
      </c>
      <c r="B904" s="117" t="s">
        <v>5414</v>
      </c>
      <c r="C904" s="117" t="s">
        <v>5456</v>
      </c>
      <c r="D904" s="123" t="s">
        <v>528</v>
      </c>
      <c r="E904" s="123" t="s">
        <v>198</v>
      </c>
      <c r="F904" s="123">
        <v>43132</v>
      </c>
      <c r="G904" s="124">
        <v>46784</v>
      </c>
      <c r="H904" s="116">
        <v>8.76</v>
      </c>
      <c r="I904" s="116" t="s">
        <v>13</v>
      </c>
      <c r="J904">
        <v>2756.8814229999998</v>
      </c>
      <c r="K904" s="116">
        <v>97862.583713</v>
      </c>
      <c r="L904" t="s">
        <v>13</v>
      </c>
      <c r="M904" s="116">
        <v>2028</v>
      </c>
      <c r="N904" t="s">
        <v>13</v>
      </c>
    </row>
    <row r="905" spans="1:14" x14ac:dyDescent="0.25">
      <c r="A905" s="116">
        <v>903</v>
      </c>
      <c r="B905" s="117" t="s">
        <v>5414</v>
      </c>
      <c r="C905" s="117" t="s">
        <v>5293</v>
      </c>
      <c r="D905" s="123" t="s">
        <v>5284</v>
      </c>
      <c r="E905" s="123" t="s">
        <v>5285</v>
      </c>
      <c r="F905" s="123">
        <v>43405</v>
      </c>
      <c r="G905" s="124">
        <v>47058</v>
      </c>
      <c r="H905" s="116">
        <v>40.1</v>
      </c>
      <c r="I905" s="116" t="s">
        <v>13</v>
      </c>
      <c r="J905">
        <v>5309.59</v>
      </c>
      <c r="K905" s="116">
        <v>1760272.75</v>
      </c>
      <c r="L905" t="s">
        <v>13</v>
      </c>
      <c r="M905" s="116">
        <v>2028</v>
      </c>
      <c r="N905" t="s">
        <v>13</v>
      </c>
    </row>
    <row r="906" spans="1:14" x14ac:dyDescent="0.25">
      <c r="A906" s="116">
        <v>904</v>
      </c>
      <c r="B906" s="117" t="s">
        <v>5414</v>
      </c>
      <c r="C906" s="117" t="s">
        <v>5294</v>
      </c>
      <c r="D906" s="123" t="s">
        <v>5284</v>
      </c>
      <c r="E906" s="123" t="s">
        <v>5285</v>
      </c>
      <c r="F906" s="123">
        <v>43405</v>
      </c>
      <c r="G906" s="124">
        <v>47058</v>
      </c>
      <c r="H906" s="116">
        <v>960.32</v>
      </c>
      <c r="I906" s="116" t="s">
        <v>13</v>
      </c>
      <c r="J906">
        <v>79874.289999999994</v>
      </c>
      <c r="K906" s="116">
        <v>41831539.267999999</v>
      </c>
      <c r="L906" t="s">
        <v>13</v>
      </c>
      <c r="M906" s="116">
        <v>2028</v>
      </c>
      <c r="N906" t="s">
        <v>13</v>
      </c>
    </row>
    <row r="907" spans="1:14" x14ac:dyDescent="0.25">
      <c r="A907" s="116">
        <v>905</v>
      </c>
      <c r="B907" s="117" t="s">
        <v>5414</v>
      </c>
      <c r="C907" s="117" t="s">
        <v>5295</v>
      </c>
      <c r="D907" s="123" t="s">
        <v>5284</v>
      </c>
      <c r="E907" s="123" t="s">
        <v>5285</v>
      </c>
      <c r="F907" s="123">
        <v>43405</v>
      </c>
      <c r="G907" s="124">
        <v>47058</v>
      </c>
      <c r="H907" s="116">
        <v>800</v>
      </c>
      <c r="I907" s="116" t="s">
        <v>13</v>
      </c>
      <c r="J907">
        <v>68309.279999999999</v>
      </c>
      <c r="K907" s="116">
        <v>34847936.283600003</v>
      </c>
      <c r="L907" t="s">
        <v>13</v>
      </c>
      <c r="M907" s="116">
        <v>2028</v>
      </c>
      <c r="N907" t="s">
        <v>13</v>
      </c>
    </row>
    <row r="908" spans="1:14" x14ac:dyDescent="0.25">
      <c r="A908" s="116">
        <v>906</v>
      </c>
      <c r="B908" s="117" t="s">
        <v>5414</v>
      </c>
      <c r="C908" s="117" t="s">
        <v>5280</v>
      </c>
      <c r="D908" s="123" t="s">
        <v>5284</v>
      </c>
      <c r="E908" s="123" t="s">
        <v>5285</v>
      </c>
      <c r="F908" s="123">
        <v>43405</v>
      </c>
      <c r="G908" s="124">
        <v>47058</v>
      </c>
      <c r="H908" s="116">
        <v>638.49</v>
      </c>
      <c r="I908" s="116" t="s">
        <v>13</v>
      </c>
      <c r="J908">
        <v>58163.17</v>
      </c>
      <c r="K908" s="116">
        <v>27812597.289999999</v>
      </c>
      <c r="L908" t="s">
        <v>13</v>
      </c>
      <c r="M908" s="116">
        <v>2028</v>
      </c>
      <c r="N908" t="s">
        <v>13</v>
      </c>
    </row>
    <row r="909" spans="1:14" x14ac:dyDescent="0.25">
      <c r="A909" s="116">
        <v>907</v>
      </c>
      <c r="B909" s="117" t="s">
        <v>5414</v>
      </c>
      <c r="C909" s="117" t="s">
        <v>5281</v>
      </c>
      <c r="D909" s="123" t="s">
        <v>5284</v>
      </c>
      <c r="E909" s="123" t="s">
        <v>5285</v>
      </c>
      <c r="F909" s="123">
        <v>43405</v>
      </c>
      <c r="G909" s="124">
        <v>47058</v>
      </c>
      <c r="H909" s="116">
        <v>560</v>
      </c>
      <c r="I909" s="116" t="s">
        <v>13</v>
      </c>
      <c r="J909">
        <v>23749.86</v>
      </c>
      <c r="K909" s="116">
        <v>24392596.368900001</v>
      </c>
      <c r="L909" t="s">
        <v>13</v>
      </c>
      <c r="M909" s="116">
        <v>2028</v>
      </c>
      <c r="N909" t="s">
        <v>13</v>
      </c>
    </row>
    <row r="910" spans="1:14" x14ac:dyDescent="0.25">
      <c r="A910" s="116">
        <v>908</v>
      </c>
      <c r="B910" s="117" t="s">
        <v>5414</v>
      </c>
      <c r="C910" s="117" t="s">
        <v>5282</v>
      </c>
      <c r="D910" s="123" t="s">
        <v>5284</v>
      </c>
      <c r="E910" s="123" t="s">
        <v>5285</v>
      </c>
      <c r="F910" s="123">
        <v>43405</v>
      </c>
      <c r="G910" s="124">
        <v>47058</v>
      </c>
      <c r="H910" s="116">
        <v>40</v>
      </c>
      <c r="I910" s="116" t="s">
        <v>13</v>
      </c>
      <c r="J910">
        <v>5292.03</v>
      </c>
      <c r="K910" s="116">
        <v>1742400</v>
      </c>
      <c r="L910" t="s">
        <v>13</v>
      </c>
      <c r="M910" s="116">
        <v>2028</v>
      </c>
      <c r="N910" t="s">
        <v>13</v>
      </c>
    </row>
    <row r="911" spans="1:14" x14ac:dyDescent="0.25">
      <c r="A911" s="116">
        <v>909</v>
      </c>
      <c r="B911" s="117" t="s">
        <v>5414</v>
      </c>
      <c r="C911" s="117" t="s">
        <v>5283</v>
      </c>
      <c r="D911" s="123" t="s">
        <v>5284</v>
      </c>
      <c r="E911" s="123" t="s">
        <v>5285</v>
      </c>
      <c r="F911" s="123">
        <v>43405</v>
      </c>
      <c r="G911" s="124">
        <v>47058</v>
      </c>
      <c r="H911" s="116">
        <v>440</v>
      </c>
      <c r="I911" s="116" t="s">
        <v>13</v>
      </c>
      <c r="J911">
        <v>29065.48</v>
      </c>
      <c r="K911" s="116">
        <v>19166402.890000001</v>
      </c>
      <c r="L911" t="s">
        <v>13</v>
      </c>
      <c r="M911" s="116">
        <v>2028</v>
      </c>
      <c r="N911" t="s">
        <v>13</v>
      </c>
    </row>
    <row r="912" spans="1:14" x14ac:dyDescent="0.25">
      <c r="A912" s="116">
        <v>910</v>
      </c>
      <c r="B912" s="117" t="s">
        <v>5414</v>
      </c>
      <c r="C912" s="117" t="s">
        <v>5278</v>
      </c>
      <c r="D912" s="123" t="s">
        <v>5284</v>
      </c>
      <c r="E912" s="123" t="s">
        <v>5285</v>
      </c>
      <c r="F912" s="123">
        <v>43405</v>
      </c>
      <c r="G912" s="124">
        <v>47058</v>
      </c>
      <c r="H912" s="116">
        <v>834.84</v>
      </c>
      <c r="I912" s="116" t="s">
        <v>13</v>
      </c>
      <c r="J912">
        <v>42084.66</v>
      </c>
      <c r="K912" s="116">
        <v>36365638.25</v>
      </c>
      <c r="L912" t="s">
        <v>13</v>
      </c>
      <c r="M912" s="116">
        <v>2028</v>
      </c>
      <c r="N912" t="s">
        <v>13</v>
      </c>
    </row>
    <row r="913" spans="1:14" x14ac:dyDescent="0.25">
      <c r="A913" s="116">
        <v>911</v>
      </c>
      <c r="B913" s="117" t="s">
        <v>5414</v>
      </c>
      <c r="C913" s="117" t="s">
        <v>5296</v>
      </c>
      <c r="D913" s="123" t="s">
        <v>5284</v>
      </c>
      <c r="E913" s="123" t="s">
        <v>5285</v>
      </c>
      <c r="F913" s="123">
        <v>43405</v>
      </c>
      <c r="G913" s="124">
        <v>47058</v>
      </c>
      <c r="H913" s="116">
        <v>1076.32</v>
      </c>
      <c r="I913" s="116" t="s">
        <v>13</v>
      </c>
      <c r="J913">
        <v>42155.74</v>
      </c>
      <c r="K913" s="116">
        <v>46884498.299599998</v>
      </c>
      <c r="L913" t="s">
        <v>13</v>
      </c>
      <c r="M913" s="116">
        <v>2028</v>
      </c>
      <c r="N913" t="s">
        <v>13</v>
      </c>
    </row>
    <row r="914" spans="1:14" x14ac:dyDescent="0.25">
      <c r="A914" s="116">
        <v>912</v>
      </c>
      <c r="B914" s="117" t="s">
        <v>5414</v>
      </c>
      <c r="C914" s="117" t="s">
        <v>5297</v>
      </c>
      <c r="D914" s="123" t="s">
        <v>5284</v>
      </c>
      <c r="E914" s="123" t="s">
        <v>5285</v>
      </c>
      <c r="F914" s="123">
        <v>43405</v>
      </c>
      <c r="G914" s="124">
        <v>47058</v>
      </c>
      <c r="H914" s="116">
        <v>520</v>
      </c>
      <c r="I914" s="116" t="s">
        <v>13</v>
      </c>
      <c r="J914">
        <v>42279.76</v>
      </c>
      <c r="K914" s="116">
        <v>22651194.640000001</v>
      </c>
      <c r="L914" t="s">
        <v>13</v>
      </c>
      <c r="M914" s="116">
        <v>2028</v>
      </c>
      <c r="N914" t="s">
        <v>13</v>
      </c>
    </row>
    <row r="915" spans="1:14" x14ac:dyDescent="0.25">
      <c r="A915" s="116">
        <v>913</v>
      </c>
      <c r="B915" s="117" t="s">
        <v>5414</v>
      </c>
      <c r="C915" s="117" t="s">
        <v>5298</v>
      </c>
      <c r="D915" s="123" t="s">
        <v>5284</v>
      </c>
      <c r="E915" s="123" t="s">
        <v>5285</v>
      </c>
      <c r="F915" s="123">
        <v>43405</v>
      </c>
      <c r="G915" s="124">
        <v>47058</v>
      </c>
      <c r="H915" s="116">
        <v>880.16</v>
      </c>
      <c r="I915" s="116" t="s">
        <v>13</v>
      </c>
      <c r="J915">
        <v>48239.8</v>
      </c>
      <c r="K915" s="116">
        <v>38339686.509999998</v>
      </c>
      <c r="L915" t="s">
        <v>13</v>
      </c>
      <c r="M915" s="116">
        <v>2028</v>
      </c>
      <c r="N915" t="s">
        <v>13</v>
      </c>
    </row>
    <row r="916" spans="1:14" x14ac:dyDescent="0.25">
      <c r="A916" s="116">
        <v>914</v>
      </c>
      <c r="B916" s="117" t="s">
        <v>5414</v>
      </c>
      <c r="C916" s="117" t="s">
        <v>5299</v>
      </c>
      <c r="D916" s="123" t="s">
        <v>5284</v>
      </c>
      <c r="E916" s="123" t="s">
        <v>5285</v>
      </c>
      <c r="F916" s="123">
        <v>43405</v>
      </c>
      <c r="G916" s="124">
        <v>47058</v>
      </c>
      <c r="H916" s="116">
        <v>440</v>
      </c>
      <c r="I916" s="116" t="s">
        <v>13</v>
      </c>
      <c r="J916">
        <v>23792.799999999999</v>
      </c>
      <c r="K916" s="116">
        <v>19166359.260000002</v>
      </c>
      <c r="L916" t="s">
        <v>13</v>
      </c>
      <c r="M916" s="116">
        <v>2028</v>
      </c>
      <c r="N916" t="s">
        <v>13</v>
      </c>
    </row>
    <row r="917" spans="1:14" x14ac:dyDescent="0.25">
      <c r="A917" s="116">
        <v>915</v>
      </c>
      <c r="B917" s="117" t="s">
        <v>5414</v>
      </c>
      <c r="C917" s="117" t="s">
        <v>5300</v>
      </c>
      <c r="D917" s="123" t="s">
        <v>5284</v>
      </c>
      <c r="E917" s="123" t="s">
        <v>5285</v>
      </c>
      <c r="F917" s="123">
        <v>43405</v>
      </c>
      <c r="G917" s="124">
        <v>47058</v>
      </c>
      <c r="H917" s="116">
        <v>720</v>
      </c>
      <c r="I917" s="116" t="s">
        <v>13</v>
      </c>
      <c r="J917">
        <v>29146.54</v>
      </c>
      <c r="K917" s="116">
        <v>31363198.273600001</v>
      </c>
      <c r="L917" t="s">
        <v>13</v>
      </c>
      <c r="M917" s="116">
        <v>2028</v>
      </c>
      <c r="N917" t="s">
        <v>13</v>
      </c>
    </row>
    <row r="918" spans="1:14" x14ac:dyDescent="0.25">
      <c r="A918" s="116">
        <v>916</v>
      </c>
      <c r="B918" s="117" t="s">
        <v>5414</v>
      </c>
      <c r="C918" s="117" t="s">
        <v>5301</v>
      </c>
      <c r="D918" s="123" t="s">
        <v>5284</v>
      </c>
      <c r="E918" s="123" t="s">
        <v>5285</v>
      </c>
      <c r="F918" s="123">
        <v>43405</v>
      </c>
      <c r="G918" s="124">
        <v>47058</v>
      </c>
      <c r="H918" s="116">
        <v>160</v>
      </c>
      <c r="I918" s="116" t="s">
        <v>13</v>
      </c>
      <c r="J918">
        <v>13299.08</v>
      </c>
      <c r="K918" s="116">
        <v>6969600</v>
      </c>
      <c r="L918" t="s">
        <v>13</v>
      </c>
      <c r="M918" s="116">
        <v>2028</v>
      </c>
      <c r="N918" t="s">
        <v>13</v>
      </c>
    </row>
    <row r="919" spans="1:14" x14ac:dyDescent="0.25">
      <c r="A919" s="116">
        <v>917</v>
      </c>
      <c r="B919" s="117" t="s">
        <v>5414</v>
      </c>
      <c r="C919" s="117" t="s">
        <v>5302</v>
      </c>
      <c r="D919" s="123" t="s">
        <v>5284</v>
      </c>
      <c r="E919" s="123" t="s">
        <v>5285</v>
      </c>
      <c r="F919" s="123">
        <v>43405</v>
      </c>
      <c r="G919" s="124">
        <v>47058</v>
      </c>
      <c r="H919" s="116">
        <v>320</v>
      </c>
      <c r="I919" s="116" t="s">
        <v>13</v>
      </c>
      <c r="J919">
        <v>15780.53</v>
      </c>
      <c r="K919" s="116">
        <v>13939202.378</v>
      </c>
      <c r="L919" t="s">
        <v>13</v>
      </c>
      <c r="M919" s="116">
        <v>2028</v>
      </c>
      <c r="N919" t="s">
        <v>13</v>
      </c>
    </row>
    <row r="920" spans="1:14" x14ac:dyDescent="0.25">
      <c r="A920" s="116">
        <v>918</v>
      </c>
      <c r="B920" s="117" t="s">
        <v>5414</v>
      </c>
      <c r="C920" s="117" t="s">
        <v>5303</v>
      </c>
      <c r="D920" s="123" t="s">
        <v>5334</v>
      </c>
      <c r="E920" s="123" t="s">
        <v>5306</v>
      </c>
      <c r="F920" s="123">
        <v>43405</v>
      </c>
      <c r="G920" s="124">
        <v>47058</v>
      </c>
      <c r="H920" s="116">
        <v>880</v>
      </c>
      <c r="I920" s="116" t="s">
        <v>13</v>
      </c>
      <c r="J920">
        <v>26416.11</v>
      </c>
      <c r="K920" s="116">
        <v>38332796.560500003</v>
      </c>
      <c r="L920" t="s">
        <v>13</v>
      </c>
      <c r="M920" s="116">
        <v>2028</v>
      </c>
      <c r="N920" t="s">
        <v>13</v>
      </c>
    </row>
    <row r="921" spans="1:14" x14ac:dyDescent="0.25">
      <c r="A921" s="116">
        <v>919</v>
      </c>
      <c r="B921" s="117" t="s">
        <v>5414</v>
      </c>
      <c r="C921" s="117" t="s">
        <v>5304</v>
      </c>
      <c r="D921" s="123" t="s">
        <v>5334</v>
      </c>
      <c r="E921" s="123" t="s">
        <v>5306</v>
      </c>
      <c r="F921" s="123">
        <v>43405</v>
      </c>
      <c r="G921" s="124">
        <v>47058</v>
      </c>
      <c r="H921" s="116">
        <v>720</v>
      </c>
      <c r="I921" s="116" t="s">
        <v>13</v>
      </c>
      <c r="J921">
        <v>42361.68</v>
      </c>
      <c r="K921" s="116">
        <v>31363203.951299999</v>
      </c>
      <c r="L921" t="s">
        <v>13</v>
      </c>
      <c r="M921" s="116">
        <v>2028</v>
      </c>
      <c r="N921" t="s">
        <v>13</v>
      </c>
    </row>
    <row r="922" spans="1:14" x14ac:dyDescent="0.25">
      <c r="A922" s="116">
        <v>920</v>
      </c>
      <c r="B922" s="117" t="s">
        <v>5414</v>
      </c>
      <c r="C922" s="117" t="s">
        <v>5305</v>
      </c>
      <c r="D922" s="123" t="s">
        <v>5334</v>
      </c>
      <c r="E922" s="123" t="s">
        <v>5306</v>
      </c>
      <c r="F922" s="123">
        <v>43405</v>
      </c>
      <c r="G922" s="124">
        <v>47058</v>
      </c>
      <c r="H922" s="116">
        <v>200</v>
      </c>
      <c r="I922" s="116" t="s">
        <v>13</v>
      </c>
      <c r="J922">
        <v>15910</v>
      </c>
      <c r="K922" s="116">
        <v>8712002.9399999995</v>
      </c>
      <c r="L922" t="s">
        <v>13</v>
      </c>
      <c r="M922" s="116">
        <v>2028</v>
      </c>
      <c r="N922" t="s">
        <v>13</v>
      </c>
    </row>
    <row r="923" spans="1:14" x14ac:dyDescent="0.25">
      <c r="A923" s="116">
        <v>921</v>
      </c>
      <c r="B923" s="117" t="s">
        <v>5414</v>
      </c>
      <c r="C923" s="117" t="s">
        <v>5338</v>
      </c>
      <c r="D923" s="123" t="s">
        <v>376</v>
      </c>
      <c r="E923" s="123" t="s">
        <v>72</v>
      </c>
      <c r="F923" s="123">
        <v>43374</v>
      </c>
      <c r="G923" s="124">
        <v>47027</v>
      </c>
      <c r="H923" s="116">
        <v>80</v>
      </c>
      <c r="I923" s="116" t="s">
        <v>13</v>
      </c>
      <c r="J923">
        <v>7895.91</v>
      </c>
      <c r="K923" s="116">
        <v>3484800.18108</v>
      </c>
      <c r="L923" t="s">
        <v>13</v>
      </c>
      <c r="M923" s="116">
        <v>2028</v>
      </c>
      <c r="N923" t="s">
        <v>13</v>
      </c>
    </row>
    <row r="924" spans="1:14" x14ac:dyDescent="0.25">
      <c r="A924" s="116">
        <v>922</v>
      </c>
      <c r="B924" s="117" t="s">
        <v>5414</v>
      </c>
      <c r="C924" s="117" t="s">
        <v>5339</v>
      </c>
      <c r="D924" s="123" t="s">
        <v>5366</v>
      </c>
      <c r="E924" s="123" t="s">
        <v>72</v>
      </c>
      <c r="F924" s="123">
        <v>43374</v>
      </c>
      <c r="G924" s="124">
        <v>47027</v>
      </c>
      <c r="H924" s="116">
        <v>40</v>
      </c>
      <c r="I924" s="116" t="s">
        <v>13</v>
      </c>
      <c r="J924">
        <v>5216.57</v>
      </c>
      <c r="K924" s="116">
        <v>1742400</v>
      </c>
      <c r="L924" t="s">
        <v>13</v>
      </c>
      <c r="M924" s="116">
        <v>2028</v>
      </c>
      <c r="N924" t="s">
        <v>13</v>
      </c>
    </row>
    <row r="925" spans="1:14" x14ac:dyDescent="0.25">
      <c r="A925" s="116">
        <v>923</v>
      </c>
      <c r="B925" s="117" t="s">
        <v>5414</v>
      </c>
      <c r="C925" s="117" t="s">
        <v>5340</v>
      </c>
      <c r="D925" s="123" t="s">
        <v>5366</v>
      </c>
      <c r="E925" s="123" t="s">
        <v>72</v>
      </c>
      <c r="F925" s="123">
        <v>43374</v>
      </c>
      <c r="G925" s="124">
        <v>47027</v>
      </c>
      <c r="H925" s="116">
        <v>40</v>
      </c>
      <c r="I925" s="116" t="s">
        <v>13</v>
      </c>
      <c r="J925">
        <v>5216.57</v>
      </c>
      <c r="K925" s="116">
        <v>1742400</v>
      </c>
      <c r="L925" t="s">
        <v>13</v>
      </c>
      <c r="M925" s="116">
        <v>2028</v>
      </c>
      <c r="N925" t="s">
        <v>13</v>
      </c>
    </row>
    <row r="926" spans="1:14" x14ac:dyDescent="0.25">
      <c r="A926" s="116">
        <v>924</v>
      </c>
      <c r="B926" s="117" t="s">
        <v>5414</v>
      </c>
      <c r="C926" s="117" t="s">
        <v>5341</v>
      </c>
      <c r="D926" s="123" t="s">
        <v>5366</v>
      </c>
      <c r="E926" s="123" t="s">
        <v>72</v>
      </c>
      <c r="F926" s="123">
        <v>43374</v>
      </c>
      <c r="G926" s="124">
        <v>47027</v>
      </c>
      <c r="H926" s="116">
        <v>40</v>
      </c>
      <c r="I926" s="116" t="s">
        <v>13</v>
      </c>
      <c r="J926">
        <v>5216.57</v>
      </c>
      <c r="K926" s="116">
        <v>1742400</v>
      </c>
      <c r="L926" t="s">
        <v>13</v>
      </c>
      <c r="M926" s="116">
        <v>2028</v>
      </c>
      <c r="N926" t="s">
        <v>13</v>
      </c>
    </row>
    <row r="927" spans="1:14" x14ac:dyDescent="0.25">
      <c r="A927" s="116">
        <v>925</v>
      </c>
      <c r="B927" s="117" t="s">
        <v>5414</v>
      </c>
      <c r="C927" s="117" t="s">
        <v>5342</v>
      </c>
      <c r="D927" s="123" t="s">
        <v>5366</v>
      </c>
      <c r="E927" s="123" t="s">
        <v>72</v>
      </c>
      <c r="F927" s="123">
        <v>43374</v>
      </c>
      <c r="G927" s="124">
        <v>47027</v>
      </c>
      <c r="H927" s="116">
        <v>40</v>
      </c>
      <c r="I927" s="116" t="s">
        <v>13</v>
      </c>
      <c r="J927">
        <v>5216.57</v>
      </c>
      <c r="K927" s="116">
        <v>1742400</v>
      </c>
      <c r="L927" t="s">
        <v>13</v>
      </c>
      <c r="M927" s="116">
        <v>2028</v>
      </c>
      <c r="N927" t="s">
        <v>13</v>
      </c>
    </row>
    <row r="928" spans="1:14" x14ac:dyDescent="0.25">
      <c r="A928" s="116">
        <v>926</v>
      </c>
      <c r="B928" s="117" t="s">
        <v>5414</v>
      </c>
      <c r="C928" s="117" t="s">
        <v>5343</v>
      </c>
      <c r="D928" s="123" t="s">
        <v>5366</v>
      </c>
      <c r="E928" s="123" t="s">
        <v>72</v>
      </c>
      <c r="F928" s="123">
        <v>43374</v>
      </c>
      <c r="G928" s="124">
        <v>47027</v>
      </c>
      <c r="H928" s="116">
        <v>20</v>
      </c>
      <c r="I928" s="116" t="s">
        <v>13</v>
      </c>
      <c r="J928">
        <v>3960.29</v>
      </c>
      <c r="K928" s="116">
        <v>871200</v>
      </c>
      <c r="L928" t="s">
        <v>13</v>
      </c>
      <c r="M928" s="116">
        <v>2028</v>
      </c>
      <c r="N928" t="s">
        <v>13</v>
      </c>
    </row>
    <row r="929" spans="1:14" x14ac:dyDescent="0.25">
      <c r="A929" s="116">
        <v>927</v>
      </c>
      <c r="B929" s="117" t="s">
        <v>5414</v>
      </c>
      <c r="C929" s="117" t="s">
        <v>5344</v>
      </c>
      <c r="D929" s="123" t="s">
        <v>5366</v>
      </c>
      <c r="E929" s="123" t="s">
        <v>72</v>
      </c>
      <c r="F929" s="123">
        <v>43374</v>
      </c>
      <c r="G929" s="124">
        <v>47027</v>
      </c>
      <c r="H929" s="116">
        <v>13.2</v>
      </c>
      <c r="I929" s="116" t="s">
        <v>13</v>
      </c>
      <c r="J929">
        <v>5742.79</v>
      </c>
      <c r="K929" s="116">
        <v>574992</v>
      </c>
      <c r="L929" t="s">
        <v>13</v>
      </c>
      <c r="M929" s="116">
        <v>2028</v>
      </c>
      <c r="N929" t="s">
        <v>13</v>
      </c>
    </row>
    <row r="930" spans="1:14" x14ac:dyDescent="0.25">
      <c r="A930" s="116">
        <v>928</v>
      </c>
      <c r="B930" s="117" t="s">
        <v>5414</v>
      </c>
      <c r="C930" s="117" t="s">
        <v>5345</v>
      </c>
      <c r="D930" s="123" t="s">
        <v>5366</v>
      </c>
      <c r="E930" s="123" t="s">
        <v>72</v>
      </c>
      <c r="F930" s="123">
        <v>43374</v>
      </c>
      <c r="G930" s="124">
        <v>47027</v>
      </c>
      <c r="H930" s="116">
        <v>80</v>
      </c>
      <c r="I930" s="116" t="s">
        <v>13</v>
      </c>
      <c r="J930">
        <v>10641.74</v>
      </c>
      <c r="K930" s="116">
        <v>3484800</v>
      </c>
      <c r="L930" t="s">
        <v>13</v>
      </c>
      <c r="M930" s="116">
        <v>2028</v>
      </c>
      <c r="N930" t="s">
        <v>13</v>
      </c>
    </row>
    <row r="931" spans="1:14" x14ac:dyDescent="0.25">
      <c r="A931" s="116">
        <v>929</v>
      </c>
      <c r="B931" s="117" t="s">
        <v>5414</v>
      </c>
      <c r="C931" s="117" t="s">
        <v>5367</v>
      </c>
      <c r="D931" s="123" t="s">
        <v>1675</v>
      </c>
      <c r="E931" s="123" t="s">
        <v>1050</v>
      </c>
      <c r="F931" s="123">
        <v>43374</v>
      </c>
      <c r="G931" s="124">
        <v>47027</v>
      </c>
      <c r="H931" s="116">
        <v>120</v>
      </c>
      <c r="I931" s="116" t="s">
        <v>13</v>
      </c>
      <c r="J931">
        <v>10566.37</v>
      </c>
      <c r="K931" s="116">
        <v>5227200</v>
      </c>
      <c r="L931" t="s">
        <v>13</v>
      </c>
      <c r="M931" s="116">
        <v>2028</v>
      </c>
      <c r="N931" t="s">
        <v>13</v>
      </c>
    </row>
    <row r="932" spans="1:14" x14ac:dyDescent="0.25">
      <c r="A932" s="116">
        <v>930</v>
      </c>
      <c r="B932" s="117" t="s">
        <v>5414</v>
      </c>
      <c r="C932" s="117" t="s">
        <v>5368</v>
      </c>
      <c r="D932" s="123" t="s">
        <v>1675</v>
      </c>
      <c r="E932" s="123" t="s">
        <v>1050</v>
      </c>
      <c r="F932" s="123">
        <v>43374</v>
      </c>
      <c r="G932" s="124">
        <v>47027</v>
      </c>
      <c r="H932" s="116">
        <v>1006.86</v>
      </c>
      <c r="I932" s="116" t="s">
        <v>13</v>
      </c>
      <c r="J932">
        <v>39852.269999999997</v>
      </c>
      <c r="K932" s="116">
        <v>43858635.329999998</v>
      </c>
      <c r="L932" t="s">
        <v>13</v>
      </c>
      <c r="M932" s="116">
        <v>2028</v>
      </c>
      <c r="N932" t="s">
        <v>13</v>
      </c>
    </row>
    <row r="933" spans="1:14" x14ac:dyDescent="0.25">
      <c r="A933" s="116">
        <v>931</v>
      </c>
      <c r="B933" s="117" t="s">
        <v>5414</v>
      </c>
      <c r="C933" s="117" t="s">
        <v>5369</v>
      </c>
      <c r="D933" s="123" t="s">
        <v>1675</v>
      </c>
      <c r="E933" s="123" t="s">
        <v>1050</v>
      </c>
      <c r="F933" s="123">
        <v>43374</v>
      </c>
      <c r="G933" s="124">
        <v>47027</v>
      </c>
      <c r="H933" s="116">
        <v>100</v>
      </c>
      <c r="I933" s="116" t="s">
        <v>13</v>
      </c>
      <c r="J933">
        <v>9266.93</v>
      </c>
      <c r="K933" s="116">
        <v>4356000</v>
      </c>
      <c r="L933" t="s">
        <v>13</v>
      </c>
      <c r="M933" s="116">
        <v>2028</v>
      </c>
      <c r="N933" t="s">
        <v>13</v>
      </c>
    </row>
    <row r="934" spans="1:14" x14ac:dyDescent="0.25">
      <c r="A934" s="116">
        <v>932</v>
      </c>
      <c r="B934" s="117" t="s">
        <v>5414</v>
      </c>
      <c r="C934" s="117" t="s">
        <v>5370</v>
      </c>
      <c r="D934" s="116" t="s">
        <v>1675</v>
      </c>
      <c r="E934" s="116" t="s">
        <v>1050</v>
      </c>
      <c r="F934" s="123">
        <v>43374</v>
      </c>
      <c r="G934" s="124">
        <v>47027</v>
      </c>
      <c r="H934" s="116">
        <v>1040</v>
      </c>
      <c r="I934" s="116" t="s">
        <v>13</v>
      </c>
      <c r="J934">
        <v>48952.800000000003</v>
      </c>
      <c r="K934" s="116">
        <v>45302400</v>
      </c>
      <c r="L934" t="s">
        <v>13</v>
      </c>
      <c r="M934" s="116">
        <v>2028</v>
      </c>
      <c r="N934" t="s">
        <v>13</v>
      </c>
    </row>
    <row r="935" spans="1:14" x14ac:dyDescent="0.25">
      <c r="A935" s="116">
        <v>933</v>
      </c>
      <c r="B935" s="117" t="s">
        <v>5414</v>
      </c>
      <c r="C935" s="117" t="s">
        <v>5346</v>
      </c>
      <c r="D935" s="116" t="s">
        <v>1675</v>
      </c>
      <c r="E935" s="116" t="s">
        <v>1050</v>
      </c>
      <c r="F935" s="123">
        <v>43374</v>
      </c>
      <c r="G935" s="124">
        <v>47027</v>
      </c>
      <c r="H935" s="116">
        <v>340</v>
      </c>
      <c r="I935" s="116" t="s">
        <v>13</v>
      </c>
      <c r="J935">
        <v>23858.43</v>
      </c>
      <c r="K935" s="116">
        <v>14810389.470000001</v>
      </c>
      <c r="L935" t="s">
        <v>13</v>
      </c>
      <c r="M935" s="116">
        <v>2028</v>
      </c>
      <c r="N935" t="s">
        <v>13</v>
      </c>
    </row>
    <row r="936" spans="1:14" x14ac:dyDescent="0.25">
      <c r="A936" s="116">
        <v>934</v>
      </c>
      <c r="B936" s="117" t="s">
        <v>5414</v>
      </c>
      <c r="C936" s="117" t="s">
        <v>5347</v>
      </c>
      <c r="D936" s="116" t="s">
        <v>1675</v>
      </c>
      <c r="E936" s="116" t="s">
        <v>1050</v>
      </c>
      <c r="F936" s="123">
        <v>43374</v>
      </c>
      <c r="G936" s="124">
        <v>47027</v>
      </c>
      <c r="H936" s="116">
        <v>80</v>
      </c>
      <c r="I936" s="116" t="s">
        <v>13</v>
      </c>
      <c r="J936">
        <v>7903.91</v>
      </c>
      <c r="K936" s="116">
        <v>3484800</v>
      </c>
      <c r="L936" t="s">
        <v>13</v>
      </c>
      <c r="M936" s="116">
        <v>2028</v>
      </c>
      <c r="N936" t="s">
        <v>13</v>
      </c>
    </row>
    <row r="937" spans="1:14" x14ac:dyDescent="0.25">
      <c r="A937" s="116">
        <v>935</v>
      </c>
      <c r="B937" s="116" t="s">
        <v>5414</v>
      </c>
      <c r="C937" s="116" t="s">
        <v>5348</v>
      </c>
      <c r="D937" s="116" t="s">
        <v>1675</v>
      </c>
      <c r="E937" s="116" t="s">
        <v>1050</v>
      </c>
      <c r="F937" s="123">
        <v>43374</v>
      </c>
      <c r="G937" s="124">
        <v>47027</v>
      </c>
      <c r="H937" s="116">
        <v>40</v>
      </c>
      <c r="I937" s="116" t="s">
        <v>13</v>
      </c>
      <c r="J937">
        <v>5288.54</v>
      </c>
      <c r="K937" s="116">
        <v>1742400</v>
      </c>
      <c r="L937" t="s">
        <v>13</v>
      </c>
      <c r="M937" s="116">
        <v>2028</v>
      </c>
      <c r="N937" t="s">
        <v>13</v>
      </c>
    </row>
    <row r="938" spans="1:14" x14ac:dyDescent="0.25">
      <c r="A938" s="116">
        <v>936</v>
      </c>
      <c r="B938" s="117" t="s">
        <v>5414</v>
      </c>
      <c r="C938" s="117" t="s">
        <v>5349</v>
      </c>
      <c r="D938" s="116" t="s">
        <v>1675</v>
      </c>
      <c r="E938" s="116" t="s">
        <v>1050</v>
      </c>
      <c r="F938" s="123">
        <v>43374</v>
      </c>
      <c r="G938" s="124">
        <v>47027</v>
      </c>
      <c r="H938" s="116">
        <v>40</v>
      </c>
      <c r="I938" s="116" t="s">
        <v>13</v>
      </c>
      <c r="J938">
        <v>5288.54</v>
      </c>
      <c r="K938" s="116">
        <v>1742400</v>
      </c>
      <c r="L938" t="s">
        <v>13</v>
      </c>
      <c r="M938" s="116">
        <v>2028</v>
      </c>
      <c r="N938" t="s">
        <v>13</v>
      </c>
    </row>
    <row r="939" spans="1:14" x14ac:dyDescent="0.25">
      <c r="A939" s="116">
        <v>937</v>
      </c>
      <c r="B939" s="117" t="s">
        <v>5414</v>
      </c>
      <c r="C939" s="117" t="s">
        <v>4921</v>
      </c>
      <c r="D939" s="116" t="s">
        <v>5049</v>
      </c>
      <c r="E939" s="116" t="s">
        <v>72</v>
      </c>
      <c r="F939" s="123">
        <v>42705</v>
      </c>
      <c r="G939" s="124">
        <v>46357</v>
      </c>
      <c r="H939" s="116">
        <v>160</v>
      </c>
      <c r="I939" s="116" t="s">
        <v>13</v>
      </c>
      <c r="J939">
        <v>15978.75</v>
      </c>
      <c r="K939" s="116">
        <v>7068264.5700000003</v>
      </c>
      <c r="L939" t="s">
        <v>13</v>
      </c>
      <c r="M939" s="116">
        <v>2026</v>
      </c>
      <c r="N939" t="s">
        <v>13</v>
      </c>
    </row>
    <row r="940" spans="1:14" x14ac:dyDescent="0.25">
      <c r="A940" s="116">
        <v>938</v>
      </c>
      <c r="B940" s="117" t="s">
        <v>5414</v>
      </c>
      <c r="C940" s="117" t="s">
        <v>5463</v>
      </c>
      <c r="D940" s="116" t="s">
        <v>899</v>
      </c>
      <c r="E940" s="116" t="s">
        <v>512</v>
      </c>
      <c r="F940" s="123">
        <v>43405</v>
      </c>
      <c r="G940" s="124">
        <v>47058</v>
      </c>
      <c r="H940" s="116">
        <v>320</v>
      </c>
      <c r="I940" s="116" t="s">
        <v>13</v>
      </c>
      <c r="J940">
        <v>15838.52</v>
      </c>
      <c r="K940" s="116">
        <v>13926971.08</v>
      </c>
      <c r="L940" t="s">
        <v>13</v>
      </c>
      <c r="M940" s="116">
        <v>2028</v>
      </c>
      <c r="N940" t="s">
        <v>13</v>
      </c>
    </row>
    <row r="941" spans="1:14" x14ac:dyDescent="0.25">
      <c r="A941" s="116">
        <v>939</v>
      </c>
      <c r="B941" s="117" t="s">
        <v>5414</v>
      </c>
      <c r="C941" s="117" t="s">
        <v>5464</v>
      </c>
      <c r="D941" s="116" t="s">
        <v>899</v>
      </c>
      <c r="E941" s="116" t="s">
        <v>512</v>
      </c>
      <c r="F941" s="123">
        <v>43405</v>
      </c>
      <c r="G941" s="124">
        <v>47058</v>
      </c>
      <c r="H941" s="116">
        <v>320</v>
      </c>
      <c r="I941" s="116" t="s">
        <v>13</v>
      </c>
      <c r="J941">
        <v>15831.72</v>
      </c>
      <c r="K941" s="116">
        <v>13949033.109999999</v>
      </c>
      <c r="L941" t="s">
        <v>13</v>
      </c>
      <c r="M941" s="116">
        <v>2028</v>
      </c>
      <c r="N941" t="s">
        <v>13</v>
      </c>
    </row>
    <row r="942" spans="1:14" x14ac:dyDescent="0.25">
      <c r="A942" s="116">
        <v>940</v>
      </c>
      <c r="B942" s="117" t="s">
        <v>5414</v>
      </c>
      <c r="C942" s="117" t="s">
        <v>5465</v>
      </c>
      <c r="D942" s="116" t="s">
        <v>899</v>
      </c>
      <c r="E942" s="116" t="s">
        <v>512</v>
      </c>
      <c r="F942" s="123">
        <v>43405</v>
      </c>
      <c r="G942" s="124">
        <v>47058</v>
      </c>
      <c r="H942" s="116">
        <v>321.01</v>
      </c>
      <c r="I942" s="116" t="s">
        <v>13</v>
      </c>
      <c r="J942">
        <v>15860.94</v>
      </c>
      <c r="K942" s="116">
        <v>14048153.449999999</v>
      </c>
      <c r="L942" t="s">
        <v>13</v>
      </c>
      <c r="M942" s="116">
        <v>2028</v>
      </c>
      <c r="N942" t="s">
        <v>13</v>
      </c>
    </row>
    <row r="943" spans="1:14" x14ac:dyDescent="0.25">
      <c r="A943" s="116">
        <v>941</v>
      </c>
      <c r="B943" s="117" t="s">
        <v>5414</v>
      </c>
      <c r="C943" s="117" t="s">
        <v>5466</v>
      </c>
      <c r="D943" s="116" t="s">
        <v>899</v>
      </c>
      <c r="E943" s="116" t="s">
        <v>512</v>
      </c>
      <c r="F943" s="123">
        <v>43405</v>
      </c>
      <c r="G943" s="124">
        <v>47058</v>
      </c>
      <c r="H943" s="116">
        <v>320</v>
      </c>
      <c r="I943" s="116" t="s">
        <v>13</v>
      </c>
      <c r="J943">
        <v>15852.82</v>
      </c>
      <c r="K943" s="116">
        <v>13955256.189999999</v>
      </c>
      <c r="L943" t="s">
        <v>13</v>
      </c>
      <c r="M943" s="116">
        <v>2028</v>
      </c>
      <c r="N943" t="s">
        <v>13</v>
      </c>
    </row>
    <row r="944" spans="1:14" x14ac:dyDescent="0.25">
      <c r="A944" s="116">
        <v>942</v>
      </c>
      <c r="B944" s="117" t="s">
        <v>5414</v>
      </c>
      <c r="C944" s="117" t="s">
        <v>5467</v>
      </c>
      <c r="D944" s="116" t="s">
        <v>899</v>
      </c>
      <c r="E944" s="116" t="s">
        <v>512</v>
      </c>
      <c r="F944" s="123">
        <v>43405</v>
      </c>
      <c r="G944" s="124">
        <v>47058</v>
      </c>
      <c r="H944" s="116">
        <v>40</v>
      </c>
      <c r="I944" s="116" t="s">
        <v>13</v>
      </c>
      <c r="J944">
        <v>5276.65</v>
      </c>
      <c r="K944" s="116">
        <v>1741496.33</v>
      </c>
      <c r="L944" t="s">
        <v>13</v>
      </c>
      <c r="M944" s="116">
        <v>2028</v>
      </c>
      <c r="N944" t="s">
        <v>13</v>
      </c>
    </row>
    <row r="945" spans="1:14" x14ac:dyDescent="0.25">
      <c r="A945" s="116">
        <v>943</v>
      </c>
      <c r="B945" s="117" t="s">
        <v>5414</v>
      </c>
      <c r="C945" s="117" t="s">
        <v>5468</v>
      </c>
      <c r="D945" s="116" t="s">
        <v>899</v>
      </c>
      <c r="E945" s="116" t="s">
        <v>512</v>
      </c>
      <c r="F945" s="123">
        <v>43405</v>
      </c>
      <c r="G945" s="124">
        <v>47058</v>
      </c>
      <c r="H945" s="116">
        <v>40</v>
      </c>
      <c r="I945" s="116" t="s">
        <v>13</v>
      </c>
      <c r="J945">
        <v>5282.54</v>
      </c>
      <c r="K945" s="116">
        <v>1740809.56</v>
      </c>
      <c r="L945" t="s">
        <v>13</v>
      </c>
      <c r="M945" s="116">
        <v>2028</v>
      </c>
      <c r="N945" t="s">
        <v>13</v>
      </c>
    </row>
    <row r="946" spans="1:14" x14ac:dyDescent="0.25">
      <c r="A946" s="116">
        <v>944</v>
      </c>
      <c r="B946" s="117" t="s">
        <v>5414</v>
      </c>
      <c r="C946" s="117" t="s">
        <v>5469</v>
      </c>
      <c r="D946" s="116" t="s">
        <v>899</v>
      </c>
      <c r="E946" s="116" t="s">
        <v>512</v>
      </c>
      <c r="F946" s="123">
        <v>43405</v>
      </c>
      <c r="G946" s="124">
        <v>47058</v>
      </c>
      <c r="H946" s="116">
        <v>40</v>
      </c>
      <c r="I946" s="116" t="s">
        <v>13</v>
      </c>
      <c r="J946">
        <v>5289.6</v>
      </c>
      <c r="K946" s="116">
        <v>1750807.79</v>
      </c>
      <c r="L946" t="s">
        <v>13</v>
      </c>
      <c r="M946" s="116">
        <v>2028</v>
      </c>
      <c r="N946" t="s">
        <v>13</v>
      </c>
    </row>
    <row r="947" spans="1:14" x14ac:dyDescent="0.25">
      <c r="A947" s="116">
        <v>945</v>
      </c>
      <c r="B947" s="117" t="s">
        <v>5414</v>
      </c>
      <c r="C947" s="117" t="s">
        <v>5470</v>
      </c>
      <c r="D947" s="116" t="s">
        <v>899</v>
      </c>
      <c r="E947" s="116" t="s">
        <v>512</v>
      </c>
      <c r="F947" s="123">
        <v>43405</v>
      </c>
      <c r="G947" s="124">
        <v>47058</v>
      </c>
      <c r="H947" s="116">
        <v>47.2</v>
      </c>
      <c r="I947" s="116" t="s">
        <v>13</v>
      </c>
      <c r="J947">
        <v>11322.54</v>
      </c>
      <c r="K947" s="116">
        <v>2018894.44</v>
      </c>
      <c r="L947" t="s">
        <v>13</v>
      </c>
      <c r="M947" s="116">
        <v>2028</v>
      </c>
      <c r="N947" t="s">
        <v>13</v>
      </c>
    </row>
    <row r="948" spans="1:14" x14ac:dyDescent="0.25">
      <c r="A948" s="116">
        <v>946</v>
      </c>
      <c r="B948" s="117" t="s">
        <v>5414</v>
      </c>
      <c r="C948" s="117" t="s">
        <v>5457</v>
      </c>
      <c r="D948" s="116" t="s">
        <v>5459</v>
      </c>
      <c r="E948" s="116" t="s">
        <v>5460</v>
      </c>
      <c r="F948" s="123">
        <v>43405</v>
      </c>
      <c r="G948" s="124">
        <v>47058</v>
      </c>
      <c r="H948" s="116">
        <v>896.97</v>
      </c>
      <c r="I948" s="116" t="s">
        <v>13</v>
      </c>
      <c r="J948">
        <v>33891.71</v>
      </c>
      <c r="K948" s="116">
        <v>39058945.200000003</v>
      </c>
      <c r="L948" t="s">
        <v>13</v>
      </c>
      <c r="M948" s="116">
        <v>2028</v>
      </c>
      <c r="N948" t="s">
        <v>13</v>
      </c>
    </row>
    <row r="949" spans="1:14" x14ac:dyDescent="0.25">
      <c r="A949" s="116"/>
      <c r="B949" s="117"/>
      <c r="C949" s="117" t="s">
        <v>5579</v>
      </c>
      <c r="D949" s="116" t="s">
        <v>5580</v>
      </c>
      <c r="E949" s="116" t="s">
        <v>5285</v>
      </c>
      <c r="F949" s="123">
        <v>40634</v>
      </c>
      <c r="G949" s="124">
        <v>44287</v>
      </c>
      <c r="H949" s="116">
        <v>80.239999999999995</v>
      </c>
      <c r="I949" s="116"/>
      <c r="K949" s="116"/>
      <c r="M949" s="116"/>
    </row>
    <row r="950" spans="1:14" x14ac:dyDescent="0.25">
      <c r="A950" s="116"/>
      <c r="B950" s="117"/>
      <c r="C950" s="117" t="s">
        <v>5584</v>
      </c>
      <c r="D950" s="116" t="s">
        <v>5585</v>
      </c>
      <c r="E950" s="116" t="s">
        <v>5285</v>
      </c>
      <c r="F950" s="123">
        <v>40634</v>
      </c>
      <c r="G950" s="124">
        <v>44287</v>
      </c>
      <c r="H950" s="116">
        <v>757.44</v>
      </c>
      <c r="I950" s="116"/>
      <c r="K950" s="116"/>
      <c r="M950" s="116"/>
    </row>
    <row r="951" spans="1:14" x14ac:dyDescent="0.25">
      <c r="A951" s="116"/>
      <c r="B951" s="117"/>
      <c r="C951" s="117" t="s">
        <v>5589</v>
      </c>
      <c r="D951" s="116" t="s">
        <v>5585</v>
      </c>
      <c r="E951" s="116" t="s">
        <v>5285</v>
      </c>
      <c r="F951" s="123">
        <v>40634</v>
      </c>
      <c r="G951" s="124">
        <v>44287</v>
      </c>
      <c r="H951" s="116">
        <v>58.6</v>
      </c>
      <c r="I951" s="116"/>
      <c r="K951" s="116"/>
      <c r="M951" s="116"/>
    </row>
    <row r="952" spans="1:14" x14ac:dyDescent="0.25">
      <c r="A952" s="116"/>
      <c r="B952" s="117"/>
      <c r="C952" s="117" t="s">
        <v>5595</v>
      </c>
      <c r="D952" s="116" t="s">
        <v>5585</v>
      </c>
      <c r="E952" s="116" t="s">
        <v>5285</v>
      </c>
      <c r="F952" s="123">
        <v>40634</v>
      </c>
      <c r="G952" s="124">
        <v>44287</v>
      </c>
      <c r="H952" s="116">
        <v>640</v>
      </c>
      <c r="I952" s="116"/>
      <c r="K952" s="116"/>
      <c r="M952" s="116"/>
    </row>
    <row r="953" spans="1:14" x14ac:dyDescent="0.25">
      <c r="A953" s="116"/>
      <c r="B953" s="117"/>
      <c r="C953" s="117" t="s">
        <v>5599</v>
      </c>
      <c r="D953" s="116" t="s">
        <v>5585</v>
      </c>
      <c r="E953" s="116" t="s">
        <v>5285</v>
      </c>
      <c r="F953" s="123">
        <v>40634</v>
      </c>
      <c r="G953" s="124">
        <v>44287</v>
      </c>
      <c r="H953" s="116">
        <v>1760</v>
      </c>
      <c r="I953" s="116"/>
      <c r="K953" s="116"/>
      <c r="M953" s="116"/>
    </row>
    <row r="954" spans="1:14" x14ac:dyDescent="0.25">
      <c r="A954" s="116"/>
      <c r="B954" s="117"/>
      <c r="C954" s="117" t="s">
        <v>5604</v>
      </c>
      <c r="D954" s="116" t="s">
        <v>5585</v>
      </c>
      <c r="E954" s="116" t="s">
        <v>5285</v>
      </c>
      <c r="F954" s="123">
        <v>40634</v>
      </c>
      <c r="G954" s="124">
        <v>44287</v>
      </c>
      <c r="H954" s="116">
        <v>1440</v>
      </c>
      <c r="I954" s="116"/>
      <c r="K954" s="116"/>
      <c r="M954" s="116"/>
    </row>
    <row r="955" spans="1:14" x14ac:dyDescent="0.25">
      <c r="A955" s="116"/>
      <c r="B955" s="117"/>
      <c r="C955" s="117" t="s">
        <v>5608</v>
      </c>
      <c r="D955" s="116" t="s">
        <v>5585</v>
      </c>
      <c r="E955" s="116" t="s">
        <v>5285</v>
      </c>
      <c r="F955" s="123">
        <v>40664</v>
      </c>
      <c r="G955" s="124">
        <v>44287</v>
      </c>
      <c r="H955" s="116">
        <v>1739.72</v>
      </c>
      <c r="I955" s="116"/>
      <c r="K955" s="116"/>
      <c r="M955" s="116"/>
    </row>
    <row r="956" spans="1:14" x14ac:dyDescent="0.25">
      <c r="A956" s="116"/>
      <c r="B956" s="117"/>
      <c r="C956" s="117" t="s">
        <v>5611</v>
      </c>
      <c r="D956" s="116" t="s">
        <v>5585</v>
      </c>
      <c r="E956" s="116" t="s">
        <v>5285</v>
      </c>
      <c r="F956" s="123">
        <v>40634</v>
      </c>
      <c r="G956" s="124">
        <v>44287</v>
      </c>
      <c r="H956" s="116">
        <v>888.84</v>
      </c>
      <c r="I956" s="116"/>
      <c r="K956" s="116"/>
      <c r="M956" s="116"/>
    </row>
    <row r="957" spans="1:14" x14ac:dyDescent="0.25">
      <c r="A957" s="116"/>
      <c r="B957" s="117"/>
      <c r="C957" s="117" t="s">
        <v>5615</v>
      </c>
      <c r="D957" s="116" t="s">
        <v>5585</v>
      </c>
      <c r="E957" s="116" t="s">
        <v>5285</v>
      </c>
      <c r="F957" s="123">
        <v>40634</v>
      </c>
      <c r="G957" s="124">
        <v>44287</v>
      </c>
      <c r="H957" s="116">
        <v>408.01</v>
      </c>
      <c r="I957" s="116"/>
      <c r="K957" s="116"/>
      <c r="M957" s="116"/>
    </row>
    <row r="958" spans="1:14" x14ac:dyDescent="0.25">
      <c r="A958" s="116"/>
      <c r="B958" s="117"/>
      <c r="C958" s="117" t="s">
        <v>5620</v>
      </c>
      <c r="D958" s="116" t="s">
        <v>5621</v>
      </c>
      <c r="E958" s="116" t="s">
        <v>5622</v>
      </c>
      <c r="F958" s="123">
        <v>40725</v>
      </c>
      <c r="G958" s="124">
        <v>44378</v>
      </c>
      <c r="H958" s="116">
        <v>10.32</v>
      </c>
      <c r="I958" s="116"/>
      <c r="K958" s="116"/>
      <c r="M958" s="116"/>
    </row>
    <row r="959" spans="1:14" x14ac:dyDescent="0.25">
      <c r="A959" s="116"/>
      <c r="B959" s="117"/>
      <c r="C959" s="117" t="s">
        <v>5626</v>
      </c>
      <c r="D959" s="116" t="s">
        <v>5621</v>
      </c>
      <c r="E959" s="116" t="s">
        <v>5622</v>
      </c>
      <c r="F959" s="123">
        <v>40725</v>
      </c>
      <c r="G959" s="124">
        <v>44378</v>
      </c>
      <c r="H959" s="116">
        <v>5.88</v>
      </c>
      <c r="I959" s="116"/>
      <c r="K959" s="116"/>
      <c r="M959" s="116"/>
    </row>
    <row r="960" spans="1:14" x14ac:dyDescent="0.25">
      <c r="A960" s="116"/>
      <c r="B960" s="117"/>
      <c r="C960" s="117" t="s">
        <v>5634</v>
      </c>
      <c r="D960" s="116" t="s">
        <v>5621</v>
      </c>
      <c r="E960" s="116" t="s">
        <v>5622</v>
      </c>
      <c r="F960" s="123">
        <v>40725</v>
      </c>
      <c r="G960" s="124">
        <v>44378</v>
      </c>
      <c r="H960" s="116">
        <v>40</v>
      </c>
      <c r="I960" s="116"/>
      <c r="K960" s="116"/>
      <c r="M960" s="116"/>
    </row>
    <row r="961" spans="1:13" x14ac:dyDescent="0.25">
      <c r="A961" s="116"/>
      <c r="B961" s="117"/>
      <c r="C961" s="117" t="s">
        <v>5647</v>
      </c>
      <c r="D961" s="116" t="s">
        <v>5637</v>
      </c>
      <c r="E961" s="116" t="s">
        <v>5622</v>
      </c>
      <c r="F961" s="123">
        <v>40725</v>
      </c>
      <c r="G961" s="124">
        <v>44378</v>
      </c>
      <c r="H961" s="116">
        <v>320</v>
      </c>
      <c r="I961" s="116"/>
      <c r="K961" s="116"/>
      <c r="M961" s="116"/>
    </row>
    <row r="962" spans="1:13" x14ac:dyDescent="0.25">
      <c r="A962" s="116"/>
      <c r="B962" s="117"/>
      <c r="C962" s="117" t="s">
        <v>5650</v>
      </c>
      <c r="D962" s="116" t="s">
        <v>5637</v>
      </c>
      <c r="E962" s="116" t="s">
        <v>5622</v>
      </c>
      <c r="F962" s="123">
        <v>40725</v>
      </c>
      <c r="G962" s="124">
        <v>44378</v>
      </c>
      <c r="H962" s="116">
        <v>318.07</v>
      </c>
      <c r="I962" s="116"/>
      <c r="K962" s="116"/>
      <c r="M962" s="116"/>
    </row>
    <row r="963" spans="1:13" x14ac:dyDescent="0.25">
      <c r="A963" s="116"/>
      <c r="B963" s="117"/>
      <c r="C963" s="117" t="s">
        <v>5657</v>
      </c>
      <c r="D963" s="116" t="s">
        <v>5658</v>
      </c>
      <c r="E963" s="116" t="s">
        <v>5622</v>
      </c>
      <c r="F963" s="123">
        <v>40725</v>
      </c>
      <c r="G963" s="124">
        <v>44378</v>
      </c>
      <c r="H963" s="116">
        <v>960</v>
      </c>
      <c r="I963" s="116"/>
      <c r="K963" s="116"/>
      <c r="M963" s="116"/>
    </row>
    <row r="964" spans="1:13" x14ac:dyDescent="0.25">
      <c r="A964" s="116"/>
      <c r="B964" s="117"/>
      <c r="C964" s="117" t="s">
        <v>5661</v>
      </c>
      <c r="D964" s="116" t="s">
        <v>5658</v>
      </c>
      <c r="E964" s="116" t="s">
        <v>5622</v>
      </c>
      <c r="F964" s="123">
        <v>40725</v>
      </c>
      <c r="G964" s="124">
        <v>44378</v>
      </c>
      <c r="H964" s="116">
        <v>1049.5999999999999</v>
      </c>
      <c r="I964" s="116"/>
      <c r="K964" s="116"/>
      <c r="M964" s="116"/>
    </row>
    <row r="965" spans="1:13" x14ac:dyDescent="0.25">
      <c r="A965" s="116"/>
      <c r="B965" s="117"/>
      <c r="C965" s="117" t="s">
        <v>5664</v>
      </c>
      <c r="D965" s="116" t="s">
        <v>5665</v>
      </c>
      <c r="E965" s="116" t="s">
        <v>5285</v>
      </c>
      <c r="F965" s="123">
        <v>40756</v>
      </c>
      <c r="G965" s="124">
        <v>44409</v>
      </c>
      <c r="H965" s="116">
        <v>120.69</v>
      </c>
      <c r="I965" s="116"/>
      <c r="K965" s="116"/>
      <c r="M965" s="116"/>
    </row>
    <row r="966" spans="1:13" x14ac:dyDescent="0.25">
      <c r="A966" s="116"/>
      <c r="B966" s="117"/>
      <c r="C966" s="117" t="s">
        <v>5668</v>
      </c>
      <c r="D966" s="116" t="s">
        <v>5669</v>
      </c>
      <c r="E966" s="116" t="s">
        <v>5285</v>
      </c>
      <c r="F966" s="123">
        <v>40787</v>
      </c>
      <c r="G966" s="124">
        <v>44440</v>
      </c>
      <c r="H966" s="116">
        <v>560</v>
      </c>
      <c r="I966" s="116"/>
      <c r="K966" s="116"/>
      <c r="M966" s="116"/>
    </row>
    <row r="967" spans="1:13" x14ac:dyDescent="0.25">
      <c r="A967" s="116"/>
      <c r="B967" s="117"/>
      <c r="C967" s="117" t="s">
        <v>5673</v>
      </c>
      <c r="D967" s="116" t="s">
        <v>5669</v>
      </c>
      <c r="E967" s="116" t="s">
        <v>5285</v>
      </c>
      <c r="F967" s="123">
        <v>40787</v>
      </c>
      <c r="G967" s="124">
        <v>44440</v>
      </c>
      <c r="H967" s="116">
        <v>320</v>
      </c>
      <c r="I967" s="116"/>
      <c r="K967" s="116"/>
      <c r="M967" s="116"/>
    </row>
    <row r="968" spans="1:13" x14ac:dyDescent="0.25">
      <c r="A968" s="116"/>
      <c r="B968" s="117"/>
      <c r="C968" s="117" t="s">
        <v>5676</v>
      </c>
      <c r="D968" s="116" t="s">
        <v>5677</v>
      </c>
      <c r="E968" s="116" t="s">
        <v>5285</v>
      </c>
      <c r="F968" s="123">
        <v>40787</v>
      </c>
      <c r="G968" s="124">
        <v>44440</v>
      </c>
      <c r="H968" s="116">
        <v>320</v>
      </c>
      <c r="I968" s="116"/>
      <c r="K968" s="116"/>
      <c r="M968" s="116"/>
    </row>
    <row r="969" spans="1:13" x14ac:dyDescent="0.25">
      <c r="A969" s="116"/>
      <c r="B969" s="117"/>
      <c r="C969" s="117" t="s">
        <v>5682</v>
      </c>
      <c r="D969" s="116" t="s">
        <v>1329</v>
      </c>
      <c r="E969" s="116" t="s">
        <v>5306</v>
      </c>
      <c r="F969" s="123">
        <v>40787</v>
      </c>
      <c r="G969" s="124">
        <v>44440</v>
      </c>
      <c r="H969" s="116">
        <v>1309</v>
      </c>
      <c r="I969" s="116"/>
      <c r="K969" s="116"/>
      <c r="M969" s="116"/>
    </row>
    <row r="970" spans="1:13" x14ac:dyDescent="0.25">
      <c r="A970" s="116"/>
      <c r="B970" s="117"/>
      <c r="C970" s="117" t="s">
        <v>5685</v>
      </c>
      <c r="D970" s="116" t="s">
        <v>1329</v>
      </c>
      <c r="E970" s="116" t="s">
        <v>5306</v>
      </c>
      <c r="F970" s="123">
        <v>40787</v>
      </c>
      <c r="G970" s="124">
        <v>44440</v>
      </c>
      <c r="H970" s="116">
        <v>959</v>
      </c>
      <c r="I970" s="116"/>
      <c r="K970" s="116"/>
      <c r="M970" s="116"/>
    </row>
    <row r="971" spans="1:13" x14ac:dyDescent="0.25">
      <c r="A971" s="116"/>
      <c r="B971" s="117"/>
      <c r="C971" s="117" t="s">
        <v>5687</v>
      </c>
      <c r="D971" s="116" t="s">
        <v>1329</v>
      </c>
      <c r="E971" s="116" t="s">
        <v>5306</v>
      </c>
      <c r="F971" s="123">
        <v>40787</v>
      </c>
      <c r="G971" s="124">
        <v>44440</v>
      </c>
      <c r="H971" s="116">
        <v>720</v>
      </c>
      <c r="I971" s="116"/>
      <c r="K971" s="116"/>
      <c r="M971" s="116"/>
    </row>
    <row r="972" spans="1:13" x14ac:dyDescent="0.25">
      <c r="A972" s="116"/>
      <c r="B972" s="117"/>
      <c r="C972" s="117" t="s">
        <v>5740</v>
      </c>
      <c r="D972" s="116" t="s">
        <v>5334</v>
      </c>
      <c r="E972" s="116" t="s">
        <v>5306</v>
      </c>
      <c r="F972" s="123">
        <v>40878</v>
      </c>
      <c r="G972" s="124">
        <v>44531</v>
      </c>
      <c r="H972" s="116">
        <v>1063</v>
      </c>
      <c r="I972" s="116"/>
      <c r="K972" s="116"/>
      <c r="M972" s="116"/>
    </row>
    <row r="973" spans="1:13" x14ac:dyDescent="0.25">
      <c r="A973" s="116"/>
      <c r="B973" s="117"/>
      <c r="C973" s="117" t="s">
        <v>5770</v>
      </c>
      <c r="D973" s="116" t="s">
        <v>5334</v>
      </c>
      <c r="E973" s="116" t="s">
        <v>5306</v>
      </c>
      <c r="F973" s="123">
        <v>41153</v>
      </c>
      <c r="G973" s="124">
        <v>44805</v>
      </c>
      <c r="H973" s="116">
        <v>1039.92</v>
      </c>
      <c r="I973" s="116"/>
      <c r="K973" s="116"/>
      <c r="M973" s="116"/>
    </row>
    <row r="974" spans="1:13" x14ac:dyDescent="0.25">
      <c r="A974" s="116"/>
      <c r="B974" s="117"/>
      <c r="C974" s="117" t="s">
        <v>5772</v>
      </c>
      <c r="D974" s="116" t="s">
        <v>5334</v>
      </c>
      <c r="E974" s="116" t="s">
        <v>5306</v>
      </c>
      <c r="F974" s="123">
        <v>41153</v>
      </c>
      <c r="G974" s="124">
        <v>44805</v>
      </c>
      <c r="H974" s="116">
        <v>1042.1199999999999</v>
      </c>
      <c r="I974" s="116"/>
      <c r="K974" s="116"/>
      <c r="M974" s="116"/>
    </row>
    <row r="975" spans="1:13" x14ac:dyDescent="0.25">
      <c r="A975" s="116"/>
      <c r="B975" s="117"/>
      <c r="C975" s="117" t="s">
        <v>5774</v>
      </c>
      <c r="D975" s="116" t="s">
        <v>5334</v>
      </c>
      <c r="E975" s="116" t="s">
        <v>5306</v>
      </c>
      <c r="F975" s="123">
        <v>41153</v>
      </c>
      <c r="G975" s="124">
        <v>44805</v>
      </c>
      <c r="H975" s="116">
        <v>280</v>
      </c>
      <c r="I975" s="116"/>
      <c r="K975" s="116"/>
      <c r="M975" s="116"/>
    </row>
    <row r="976" spans="1:13" x14ac:dyDescent="0.25">
      <c r="A976" s="116"/>
      <c r="B976" s="117"/>
      <c r="C976" s="117" t="s">
        <v>5776</v>
      </c>
      <c r="D976" s="116" t="s">
        <v>5334</v>
      </c>
      <c r="E976" s="116" t="s">
        <v>5306</v>
      </c>
      <c r="F976" s="123">
        <v>41153</v>
      </c>
      <c r="G976" s="124">
        <v>44805</v>
      </c>
      <c r="H976" s="116">
        <v>320</v>
      </c>
      <c r="I976" s="116"/>
      <c r="K976" s="116"/>
      <c r="M976" s="116"/>
    </row>
    <row r="977" spans="1:13" x14ac:dyDescent="0.25">
      <c r="A977" s="116"/>
      <c r="B977" s="117"/>
      <c r="C977" s="117" t="s">
        <v>5778</v>
      </c>
      <c r="D977" s="116" t="s">
        <v>5334</v>
      </c>
      <c r="E977" s="116" t="s">
        <v>5306</v>
      </c>
      <c r="F977" s="123">
        <v>41153</v>
      </c>
      <c r="G977" s="124">
        <v>44805</v>
      </c>
      <c r="H977" s="116">
        <v>1360</v>
      </c>
      <c r="I977" s="116"/>
      <c r="K977" s="116"/>
      <c r="M977" s="116"/>
    </row>
    <row r="978" spans="1:13" x14ac:dyDescent="0.25">
      <c r="A978" s="116"/>
      <c r="B978" s="117"/>
      <c r="C978" s="117" t="s">
        <v>5780</v>
      </c>
      <c r="D978" s="116" t="s">
        <v>5334</v>
      </c>
      <c r="E978" s="116" t="s">
        <v>5306</v>
      </c>
      <c r="F978" s="123">
        <v>41153</v>
      </c>
      <c r="G978" s="124">
        <v>44805</v>
      </c>
      <c r="H978" s="116">
        <v>320</v>
      </c>
      <c r="I978" s="116"/>
      <c r="K978" s="116"/>
      <c r="M978" s="116"/>
    </row>
    <row r="979" spans="1:13" x14ac:dyDescent="0.25">
      <c r="A979" s="116"/>
      <c r="B979" s="117"/>
      <c r="C979" s="117" t="s">
        <v>5782</v>
      </c>
      <c r="D979" s="116" t="s">
        <v>5334</v>
      </c>
      <c r="E979" s="116" t="s">
        <v>5306</v>
      </c>
      <c r="F979" s="123">
        <v>41153</v>
      </c>
      <c r="G979" s="124">
        <v>44805</v>
      </c>
      <c r="H979" s="116">
        <v>1360</v>
      </c>
      <c r="I979" s="116"/>
      <c r="K979" s="116"/>
      <c r="M979" s="116"/>
    </row>
    <row r="980" spans="1:13" x14ac:dyDescent="0.25">
      <c r="A980" s="116"/>
      <c r="B980" s="117"/>
      <c r="C980" s="117" t="s">
        <v>5785</v>
      </c>
      <c r="D980" s="116" t="s">
        <v>5334</v>
      </c>
      <c r="E980" s="116" t="s">
        <v>5306</v>
      </c>
      <c r="F980" s="123">
        <v>41153</v>
      </c>
      <c r="G980" s="124">
        <v>44805</v>
      </c>
      <c r="H980" s="116">
        <v>1205.8699999999999</v>
      </c>
      <c r="I980" s="116"/>
      <c r="K980" s="116"/>
      <c r="M980" s="116"/>
    </row>
    <row r="981" spans="1:13" x14ac:dyDescent="0.25">
      <c r="A981" s="116"/>
      <c r="B981" s="117"/>
      <c r="C981" s="117" t="s">
        <v>5689</v>
      </c>
      <c r="D981" s="116" t="s">
        <v>5677</v>
      </c>
      <c r="E981" s="116" t="s">
        <v>5285</v>
      </c>
      <c r="F981" s="123">
        <v>40787</v>
      </c>
      <c r="G981" s="124">
        <v>44440</v>
      </c>
      <c r="H981" s="116">
        <v>160</v>
      </c>
      <c r="I981" s="116"/>
      <c r="K981" s="116"/>
      <c r="M981" s="116"/>
    </row>
    <row r="982" spans="1:13" x14ac:dyDescent="0.25">
      <c r="A982" s="116"/>
      <c r="B982" s="117"/>
      <c r="C982" s="117" t="s">
        <v>5700</v>
      </c>
      <c r="D982" s="116" t="s">
        <v>5701</v>
      </c>
      <c r="E982" s="116" t="s">
        <v>5285</v>
      </c>
      <c r="F982" s="123">
        <v>40787</v>
      </c>
      <c r="G982" s="124">
        <v>44440</v>
      </c>
      <c r="H982" s="116">
        <v>160</v>
      </c>
      <c r="I982" s="116"/>
      <c r="K982" s="116"/>
      <c r="M982" s="116"/>
    </row>
    <row r="983" spans="1:13" x14ac:dyDescent="0.25">
      <c r="A983" s="116"/>
      <c r="B983" s="117"/>
      <c r="C983" s="117" t="s">
        <v>5692</v>
      </c>
      <c r="D983" s="116" t="s">
        <v>5669</v>
      </c>
      <c r="E983" s="116" t="s">
        <v>5285</v>
      </c>
      <c r="F983" s="123">
        <v>40787</v>
      </c>
      <c r="G983" s="124">
        <v>44440</v>
      </c>
      <c r="H983" s="116">
        <v>40</v>
      </c>
      <c r="I983" s="116"/>
      <c r="K983" s="116"/>
      <c r="M983" s="116"/>
    </row>
    <row r="984" spans="1:13" x14ac:dyDescent="0.25">
      <c r="A984" s="116"/>
      <c r="B984" s="117"/>
      <c r="C984" s="117" t="s">
        <v>5743</v>
      </c>
      <c r="D984" s="116" t="s">
        <v>5744</v>
      </c>
      <c r="E984" s="116" t="s">
        <v>5285</v>
      </c>
      <c r="F984" s="123">
        <v>41000</v>
      </c>
      <c r="G984" s="124">
        <v>44652</v>
      </c>
      <c r="H984" s="116">
        <v>480</v>
      </c>
      <c r="I984" s="116"/>
      <c r="K984" s="116"/>
      <c r="M984" s="116"/>
    </row>
    <row r="985" spans="1:13" x14ac:dyDescent="0.25">
      <c r="A985" s="116"/>
      <c r="B985" s="117"/>
      <c r="C985" s="117" t="s">
        <v>5763</v>
      </c>
      <c r="D985" s="116" t="s">
        <v>5580</v>
      </c>
      <c r="E985" s="116" t="s">
        <v>5285</v>
      </c>
      <c r="F985" s="123">
        <v>41153</v>
      </c>
      <c r="G985" s="124">
        <v>44805</v>
      </c>
      <c r="H985" s="116">
        <v>320</v>
      </c>
      <c r="I985" s="116"/>
      <c r="K985" s="116"/>
      <c r="M985" s="116"/>
    </row>
    <row r="986" spans="1:13" x14ac:dyDescent="0.25">
      <c r="A986" s="116"/>
      <c r="B986" s="117"/>
      <c r="C986" s="117" t="s">
        <v>5766</v>
      </c>
      <c r="D986" s="116" t="s">
        <v>5580</v>
      </c>
      <c r="E986" s="116" t="s">
        <v>5285</v>
      </c>
      <c r="F986" s="123">
        <v>41153</v>
      </c>
      <c r="G986" s="124">
        <v>44805</v>
      </c>
      <c r="H986" s="116">
        <v>320</v>
      </c>
      <c r="I986" s="116"/>
      <c r="K986" s="116"/>
      <c r="M986" s="116"/>
    </row>
    <row r="987" spans="1:13" x14ac:dyDescent="0.25">
      <c r="A987" s="116"/>
      <c r="B987" s="117"/>
      <c r="C987" s="117" t="s">
        <v>5768</v>
      </c>
      <c r="D987" s="116" t="s">
        <v>5585</v>
      </c>
      <c r="E987" s="116" t="s">
        <v>5285</v>
      </c>
      <c r="F987" s="123">
        <v>41153</v>
      </c>
      <c r="G987" s="124">
        <v>44805</v>
      </c>
      <c r="H987" s="116">
        <v>9.75</v>
      </c>
      <c r="I987" s="116"/>
      <c r="K987" s="116"/>
      <c r="M987" s="116"/>
    </row>
    <row r="988" spans="1:13" x14ac:dyDescent="0.25">
      <c r="A988" s="116"/>
      <c r="B988" s="117"/>
      <c r="C988" s="117" t="s">
        <v>5748</v>
      </c>
      <c r="D988" s="116" t="s">
        <v>5749</v>
      </c>
      <c r="E988" s="116" t="s">
        <v>5622</v>
      </c>
      <c r="F988" s="123">
        <v>41061</v>
      </c>
      <c r="G988" s="124">
        <v>44713</v>
      </c>
      <c r="H988" s="116">
        <v>315.86</v>
      </c>
      <c r="I988" s="116"/>
      <c r="K988" s="116"/>
      <c r="M988" s="116"/>
    </row>
    <row r="989" spans="1:13" x14ac:dyDescent="0.25">
      <c r="A989" s="116"/>
      <c r="B989" s="117"/>
      <c r="C989" s="117" t="s">
        <v>5751</v>
      </c>
      <c r="D989" s="116" t="s">
        <v>5749</v>
      </c>
      <c r="E989" s="116" t="s">
        <v>5622</v>
      </c>
      <c r="F989" s="123">
        <v>41061</v>
      </c>
      <c r="G989" s="124">
        <v>44713</v>
      </c>
      <c r="H989" s="116">
        <v>640</v>
      </c>
      <c r="I989" s="116"/>
      <c r="K989" s="116"/>
      <c r="M989" s="116"/>
    </row>
    <row r="990" spans="1:13" x14ac:dyDescent="0.25">
      <c r="A990" s="116"/>
      <c r="B990" s="117"/>
      <c r="C990" s="117" t="s">
        <v>5753</v>
      </c>
      <c r="D990" s="116" t="s">
        <v>5749</v>
      </c>
      <c r="E990" s="116" t="s">
        <v>5622</v>
      </c>
      <c r="F990" s="123">
        <v>41061</v>
      </c>
      <c r="G990" s="124">
        <v>44713</v>
      </c>
      <c r="H990" s="116">
        <v>320</v>
      </c>
      <c r="I990" s="116"/>
      <c r="K990" s="116"/>
      <c r="M990" s="116"/>
    </row>
    <row r="991" spans="1:13" x14ac:dyDescent="0.25">
      <c r="A991" s="116"/>
      <c r="B991" s="117"/>
      <c r="C991" s="117" t="s">
        <v>5755</v>
      </c>
      <c r="D991" s="116" t="s">
        <v>5749</v>
      </c>
      <c r="E991" s="116" t="s">
        <v>5622</v>
      </c>
      <c r="F991" s="123">
        <v>41061</v>
      </c>
      <c r="G991" s="124">
        <v>44713</v>
      </c>
      <c r="H991" s="116">
        <v>320</v>
      </c>
      <c r="I991" s="116"/>
      <c r="K991" s="116"/>
      <c r="M991" s="116"/>
    </row>
    <row r="992" spans="1:13" x14ac:dyDescent="0.25">
      <c r="A992" s="116"/>
      <c r="B992" s="117"/>
      <c r="C992" s="117" t="s">
        <v>5757</v>
      </c>
      <c r="D992" s="116" t="s">
        <v>5749</v>
      </c>
      <c r="E992" s="116" t="s">
        <v>5622</v>
      </c>
      <c r="F992" s="123">
        <v>41061</v>
      </c>
      <c r="G992" s="124">
        <v>44713</v>
      </c>
      <c r="H992" s="116">
        <v>960</v>
      </c>
      <c r="I992" s="116"/>
      <c r="K992" s="116"/>
      <c r="M992" s="116"/>
    </row>
    <row r="993" spans="1:13" x14ac:dyDescent="0.25">
      <c r="A993" s="116"/>
      <c r="B993" s="117"/>
      <c r="C993" s="117" t="s">
        <v>5759</v>
      </c>
      <c r="D993" s="116" t="s">
        <v>5749</v>
      </c>
      <c r="E993" s="116" t="s">
        <v>5622</v>
      </c>
      <c r="F993" s="123">
        <v>41061</v>
      </c>
      <c r="G993" s="124">
        <v>44713</v>
      </c>
      <c r="H993" s="116">
        <v>1262.2</v>
      </c>
      <c r="I993" s="116"/>
      <c r="K993" s="116"/>
      <c r="M993" s="116"/>
    </row>
    <row r="994" spans="1:13" x14ac:dyDescent="0.25">
      <c r="A994" s="116"/>
      <c r="B994" s="117"/>
      <c r="C994" s="117" t="s">
        <v>5761</v>
      </c>
      <c r="D994" s="116" t="s">
        <v>5749</v>
      </c>
      <c r="E994" s="116" t="s">
        <v>5622</v>
      </c>
      <c r="F994" s="123">
        <v>41061</v>
      </c>
      <c r="G994" s="124">
        <v>44713</v>
      </c>
      <c r="H994" s="116">
        <v>1280</v>
      </c>
      <c r="I994" s="116"/>
      <c r="K994" s="116"/>
      <c r="M994" s="116"/>
    </row>
    <row r="995" spans="1:13" x14ac:dyDescent="0.25">
      <c r="A995" s="116"/>
      <c r="B995" s="117"/>
      <c r="C995" s="117" t="s">
        <v>5705</v>
      </c>
      <c r="D995" s="116" t="s">
        <v>5706</v>
      </c>
      <c r="E995" s="116" t="s">
        <v>5622</v>
      </c>
      <c r="F995" s="123">
        <v>40878</v>
      </c>
      <c r="G995" s="124">
        <v>44531</v>
      </c>
      <c r="H995" s="116">
        <v>200</v>
      </c>
      <c r="I995" s="116"/>
      <c r="K995" s="116"/>
      <c r="M995" s="116"/>
    </row>
    <row r="996" spans="1:13" x14ac:dyDescent="0.25">
      <c r="A996" s="116"/>
      <c r="B996" s="117"/>
      <c r="C996" s="117" t="s">
        <v>5719</v>
      </c>
      <c r="D996" s="116" t="s">
        <v>5706</v>
      </c>
      <c r="E996" s="116" t="s">
        <v>5622</v>
      </c>
      <c r="F996" s="123">
        <v>40878</v>
      </c>
      <c r="G996" s="124">
        <v>44531</v>
      </c>
      <c r="H996" s="116">
        <v>40</v>
      </c>
      <c r="I996" s="116"/>
      <c r="K996" s="116"/>
      <c r="M996" s="116"/>
    </row>
    <row r="997" spans="1:13" x14ac:dyDescent="0.25">
      <c r="A997" s="116"/>
      <c r="B997" s="117"/>
      <c r="C997" s="117" t="s">
        <v>5722</v>
      </c>
      <c r="D997" s="116" t="s">
        <v>5706</v>
      </c>
      <c r="E997" s="116" t="s">
        <v>5622</v>
      </c>
      <c r="F997" s="123">
        <v>40878</v>
      </c>
      <c r="G997" s="124">
        <v>44531</v>
      </c>
      <c r="H997" s="116">
        <v>80</v>
      </c>
      <c r="I997" s="116"/>
      <c r="K997" s="116"/>
      <c r="M997" s="116"/>
    </row>
    <row r="998" spans="1:13" x14ac:dyDescent="0.25">
      <c r="A998" s="116"/>
      <c r="B998" s="117"/>
      <c r="C998" s="117" t="s">
        <v>5738</v>
      </c>
      <c r="D998" s="116" t="s">
        <v>5706</v>
      </c>
      <c r="E998" s="116" t="s">
        <v>5622</v>
      </c>
      <c r="F998" s="123">
        <v>40878</v>
      </c>
      <c r="G998" s="124">
        <v>44531</v>
      </c>
      <c r="H998" s="116">
        <v>40</v>
      </c>
      <c r="I998" s="116"/>
      <c r="K998" s="116"/>
      <c r="M998" s="116"/>
    </row>
    <row r="999" spans="1:13" x14ac:dyDescent="0.25">
      <c r="A999" s="116"/>
      <c r="B999" s="117"/>
      <c r="C999" s="117" t="s">
        <v>5724</v>
      </c>
      <c r="D999" s="116" t="s">
        <v>5706</v>
      </c>
      <c r="E999" s="116" t="s">
        <v>5622</v>
      </c>
      <c r="F999" s="123">
        <v>40878</v>
      </c>
      <c r="G999" s="124">
        <v>44531</v>
      </c>
      <c r="H999" s="116">
        <v>42</v>
      </c>
      <c r="I999" s="116"/>
      <c r="K999" s="116"/>
      <c r="M999" s="116"/>
    </row>
    <row r="1000" spans="1:13" x14ac:dyDescent="0.25">
      <c r="A1000" s="116"/>
      <c r="B1000" s="117"/>
      <c r="C1000" s="117" t="s">
        <v>5734</v>
      </c>
      <c r="D1000" s="116" t="s">
        <v>5706</v>
      </c>
      <c r="E1000" s="116" t="s">
        <v>5622</v>
      </c>
      <c r="F1000" s="123">
        <v>40878</v>
      </c>
      <c r="G1000" s="124">
        <v>44531</v>
      </c>
      <c r="H1000" s="116">
        <v>40</v>
      </c>
      <c r="I1000" s="116"/>
      <c r="K1000" s="116"/>
      <c r="M1000" s="116"/>
    </row>
    <row r="1001" spans="1:13" x14ac:dyDescent="0.25">
      <c r="A1001" s="116"/>
      <c r="B1001" s="117"/>
      <c r="C1001" s="117" t="s">
        <v>5732</v>
      </c>
      <c r="D1001" s="116" t="s">
        <v>5706</v>
      </c>
      <c r="E1001" s="116" t="s">
        <v>5622</v>
      </c>
      <c r="F1001" s="123">
        <v>40878</v>
      </c>
      <c r="G1001" s="124">
        <v>44531</v>
      </c>
      <c r="H1001" s="116">
        <v>43</v>
      </c>
      <c r="I1001" s="116"/>
      <c r="K1001" s="116"/>
      <c r="M1001" s="116"/>
    </row>
    <row r="1002" spans="1:13" x14ac:dyDescent="0.25">
      <c r="A1002" s="116"/>
      <c r="B1002" s="117"/>
      <c r="C1002" s="117" t="s">
        <v>5729</v>
      </c>
      <c r="D1002" s="116" t="s">
        <v>5706</v>
      </c>
      <c r="E1002" s="116" t="s">
        <v>5622</v>
      </c>
      <c r="F1002" s="123">
        <v>40878</v>
      </c>
      <c r="G1002" s="124">
        <v>44531</v>
      </c>
      <c r="H1002" s="116">
        <v>85</v>
      </c>
      <c r="I1002" s="116"/>
      <c r="K1002" s="116"/>
      <c r="M1002" s="116"/>
    </row>
    <row r="1003" spans="1:13" x14ac:dyDescent="0.25">
      <c r="A1003" s="116"/>
      <c r="B1003" s="117"/>
      <c r="C1003" s="117" t="s">
        <v>5736</v>
      </c>
      <c r="D1003" s="116" t="s">
        <v>5706</v>
      </c>
      <c r="E1003" s="116" t="s">
        <v>5622</v>
      </c>
      <c r="F1003" s="123">
        <v>40878</v>
      </c>
      <c r="G1003" s="124">
        <v>44531</v>
      </c>
      <c r="H1003" s="116">
        <v>54</v>
      </c>
      <c r="I1003" s="116"/>
      <c r="K1003" s="116"/>
      <c r="M1003" s="116"/>
    </row>
    <row r="1004" spans="1:13" x14ac:dyDescent="0.25">
      <c r="A1004" s="116"/>
      <c r="B1004" s="117"/>
      <c r="C1004" s="117" t="s">
        <v>5710</v>
      </c>
      <c r="D1004" s="116" t="s">
        <v>5706</v>
      </c>
      <c r="E1004" s="116" t="s">
        <v>5622</v>
      </c>
      <c r="F1004" s="123">
        <v>40878</v>
      </c>
      <c r="G1004" s="124">
        <v>44531</v>
      </c>
      <c r="H1004" s="116">
        <v>254</v>
      </c>
      <c r="I1004" s="116"/>
      <c r="K1004" s="116"/>
      <c r="M1004" s="116"/>
    </row>
    <row r="1005" spans="1:13" x14ac:dyDescent="0.25">
      <c r="A1005" s="116"/>
      <c r="B1005" s="117"/>
      <c r="C1005" s="117" t="s">
        <v>5714</v>
      </c>
      <c r="D1005" s="116" t="s">
        <v>5706</v>
      </c>
      <c r="E1005" s="116" t="s">
        <v>5622</v>
      </c>
      <c r="F1005" s="123">
        <v>40878</v>
      </c>
      <c r="G1005" s="124">
        <v>44531</v>
      </c>
      <c r="H1005" s="116">
        <v>231</v>
      </c>
      <c r="I1005" s="116"/>
      <c r="K1005" s="116"/>
      <c r="M1005" s="116"/>
    </row>
    <row r="1006" spans="1:13" x14ac:dyDescent="0.25">
      <c r="A1006" s="116"/>
      <c r="B1006" s="117"/>
      <c r="C1006" s="117" t="s">
        <v>5717</v>
      </c>
      <c r="D1006" s="116" t="s">
        <v>5706</v>
      </c>
      <c r="E1006" s="116" t="s">
        <v>5622</v>
      </c>
      <c r="F1006" s="123">
        <v>40878</v>
      </c>
      <c r="G1006" s="124">
        <v>44531</v>
      </c>
      <c r="H1006" s="116">
        <v>548</v>
      </c>
      <c r="I1006" s="116"/>
      <c r="K1006" s="116"/>
      <c r="M1006" s="116"/>
    </row>
    <row r="1007" spans="1:13" x14ac:dyDescent="0.25">
      <c r="A1007" s="116"/>
      <c r="B1007" s="117"/>
      <c r="C1007" s="117" t="s">
        <v>5727</v>
      </c>
      <c r="D1007" s="116" t="s">
        <v>5706</v>
      </c>
      <c r="E1007" s="116" t="s">
        <v>5622</v>
      </c>
      <c r="F1007" s="123">
        <v>40878</v>
      </c>
      <c r="G1007" s="124">
        <v>44531</v>
      </c>
      <c r="H1007" s="116">
        <v>80</v>
      </c>
      <c r="I1007" s="116"/>
      <c r="K1007" s="116"/>
      <c r="M1007" s="116"/>
    </row>
    <row r="1008" spans="1:13" x14ac:dyDescent="0.25">
      <c r="A1008" s="116"/>
      <c r="B1008" s="117"/>
      <c r="C1008" s="117" t="s">
        <v>5629</v>
      </c>
      <c r="D1008" s="116" t="s">
        <v>5621</v>
      </c>
      <c r="E1008" s="116" t="s">
        <v>5622</v>
      </c>
      <c r="F1008" s="123">
        <v>40725</v>
      </c>
      <c r="G1008" s="124">
        <v>44378</v>
      </c>
      <c r="H1008" s="116">
        <v>161.43</v>
      </c>
      <c r="I1008" s="116"/>
      <c r="K1008" s="116"/>
      <c r="M1008" s="116"/>
    </row>
    <row r="1009" spans="1:13" x14ac:dyDescent="0.25">
      <c r="A1009" s="116"/>
      <c r="B1009" s="117"/>
      <c r="C1009" s="117" t="s">
        <v>5652</v>
      </c>
      <c r="D1009" s="116" t="s">
        <v>5621</v>
      </c>
      <c r="E1009" s="116" t="s">
        <v>5622</v>
      </c>
      <c r="F1009" s="123">
        <v>40725</v>
      </c>
      <c r="G1009" s="124">
        <v>44378</v>
      </c>
      <c r="H1009" s="116">
        <v>245.38</v>
      </c>
      <c r="I1009" s="116"/>
      <c r="K1009" s="116"/>
      <c r="M1009" s="116"/>
    </row>
    <row r="1010" spans="1:13" x14ac:dyDescent="0.25">
      <c r="A1010" s="116"/>
      <c r="B1010" s="117"/>
      <c r="C1010" s="117" t="s">
        <v>5636</v>
      </c>
      <c r="D1010" s="116" t="s">
        <v>5637</v>
      </c>
      <c r="E1010" s="116" t="s">
        <v>5622</v>
      </c>
      <c r="F1010" s="123">
        <v>40725</v>
      </c>
      <c r="G1010" s="124">
        <v>44378</v>
      </c>
      <c r="H1010" s="116">
        <v>1193.8</v>
      </c>
      <c r="I1010" s="116"/>
      <c r="K1010" s="116"/>
      <c r="M1010" s="116"/>
    </row>
    <row r="1011" spans="1:13" x14ac:dyDescent="0.25">
      <c r="A1011" s="116"/>
      <c r="B1011" s="117"/>
      <c r="C1011" s="117" t="s">
        <v>5641</v>
      </c>
      <c r="D1011" s="116" t="s">
        <v>5637</v>
      </c>
      <c r="E1011" s="116" t="s">
        <v>5622</v>
      </c>
      <c r="F1011" s="123">
        <v>40725</v>
      </c>
      <c r="G1011" s="124">
        <v>44378</v>
      </c>
      <c r="H1011" s="116">
        <v>920</v>
      </c>
      <c r="I1011" s="116"/>
      <c r="K1011" s="116"/>
      <c r="M1011" s="116"/>
    </row>
    <row r="1012" spans="1:13" x14ac:dyDescent="0.25">
      <c r="A1012" s="116"/>
      <c r="B1012" s="117"/>
      <c r="C1012" s="117" t="s">
        <v>5645</v>
      </c>
      <c r="D1012" s="116" t="s">
        <v>5637</v>
      </c>
      <c r="E1012" s="116" t="s">
        <v>5622</v>
      </c>
      <c r="F1012" s="123">
        <v>40725</v>
      </c>
      <c r="G1012" s="124">
        <v>44378</v>
      </c>
      <c r="H1012" s="116">
        <v>803.9</v>
      </c>
      <c r="I1012" s="116"/>
      <c r="K1012" s="116"/>
      <c r="M1012" s="116"/>
    </row>
    <row r="1013" spans="1:13" x14ac:dyDescent="0.25">
      <c r="A1013" s="116"/>
      <c r="B1013" s="117"/>
      <c r="C1013" s="117" t="s">
        <v>5643</v>
      </c>
      <c r="D1013" s="116" t="s">
        <v>5637</v>
      </c>
      <c r="E1013" s="116" t="s">
        <v>5622</v>
      </c>
      <c r="F1013" s="123">
        <v>40725</v>
      </c>
      <c r="G1013" s="124">
        <v>44378</v>
      </c>
      <c r="H1013" s="116">
        <v>864.95</v>
      </c>
      <c r="I1013" s="116"/>
      <c r="K1013" s="116"/>
      <c r="M1013" s="116"/>
    </row>
    <row r="1014" spans="1:13" x14ac:dyDescent="0.25">
      <c r="A1014" s="116"/>
      <c r="B1014" s="117"/>
      <c r="C1014" s="117" t="s">
        <v>5654</v>
      </c>
      <c r="D1014" s="116" t="s">
        <v>5637</v>
      </c>
      <c r="E1014" s="116" t="s">
        <v>5622</v>
      </c>
      <c r="F1014" s="123">
        <v>40725</v>
      </c>
      <c r="G1014" s="124">
        <v>44378</v>
      </c>
      <c r="H1014" s="116">
        <v>1600</v>
      </c>
      <c r="I1014" s="116"/>
      <c r="K1014" s="116"/>
      <c r="M1014" s="116"/>
    </row>
    <row r="1015" spans="1:13" x14ac:dyDescent="0.25">
      <c r="A1015" s="116"/>
      <c r="B1015" s="117"/>
      <c r="C1015" s="117" t="s">
        <v>5591</v>
      </c>
      <c r="D1015" s="116" t="s">
        <v>5585</v>
      </c>
      <c r="E1015" s="116" t="s">
        <v>5285</v>
      </c>
      <c r="F1015" s="123">
        <v>40634</v>
      </c>
      <c r="G1015" s="124">
        <v>44287</v>
      </c>
      <c r="H1015" s="116">
        <v>26.26</v>
      </c>
      <c r="I1015" s="116"/>
      <c r="K1015" s="116"/>
      <c r="M1015" s="116"/>
    </row>
    <row r="1016" spans="1:13" x14ac:dyDescent="0.25">
      <c r="A1016" s="116"/>
      <c r="B1016" s="117"/>
      <c r="C1016" s="117" t="s">
        <v>5593</v>
      </c>
      <c r="D1016" s="116" t="s">
        <v>5585</v>
      </c>
      <c r="E1016" s="116" t="s">
        <v>5285</v>
      </c>
      <c r="F1016" s="123">
        <v>40634</v>
      </c>
      <c r="G1016" s="124">
        <v>44287</v>
      </c>
      <c r="H1016" s="116">
        <v>776.4</v>
      </c>
      <c r="I1016" s="116"/>
      <c r="K1016" s="116"/>
      <c r="M1016" s="116"/>
    </row>
    <row r="1017" spans="1:13" x14ac:dyDescent="0.25">
      <c r="A1017" s="116"/>
      <c r="B1017" s="117"/>
      <c r="C1017" s="117" t="s">
        <v>5597</v>
      </c>
      <c r="D1017" s="116" t="s">
        <v>5585</v>
      </c>
      <c r="E1017" s="116" t="s">
        <v>5285</v>
      </c>
      <c r="F1017" s="123">
        <v>40664</v>
      </c>
      <c r="G1017" s="124">
        <v>44287</v>
      </c>
      <c r="H1017" s="116">
        <v>1090</v>
      </c>
      <c r="I1017" s="116"/>
      <c r="K1017" s="116"/>
      <c r="M1017" s="116"/>
    </row>
    <row r="1018" spans="1:13" x14ac:dyDescent="0.25">
      <c r="A1018" s="116"/>
      <c r="B1018" s="117"/>
      <c r="C1018" s="117" t="s">
        <v>5613</v>
      </c>
      <c r="D1018" s="116" t="s">
        <v>5585</v>
      </c>
      <c r="E1018" s="116" t="s">
        <v>5285</v>
      </c>
      <c r="F1018" s="123">
        <v>40634</v>
      </c>
      <c r="G1018" s="124">
        <v>44287</v>
      </c>
      <c r="H1018" s="116">
        <v>129.85</v>
      </c>
      <c r="I1018" s="116"/>
      <c r="K1018" s="116"/>
      <c r="M1018" s="116"/>
    </row>
    <row r="1019" spans="1:13" x14ac:dyDescent="0.25">
      <c r="A1019" s="116"/>
      <c r="B1019" s="117"/>
      <c r="C1019" s="117" t="s">
        <v>5601</v>
      </c>
      <c r="D1019" s="116" t="s">
        <v>5580</v>
      </c>
      <c r="E1019" s="116" t="s">
        <v>5285</v>
      </c>
      <c r="F1019" s="123">
        <v>40634</v>
      </c>
      <c r="G1019" s="124">
        <v>44287</v>
      </c>
      <c r="H1019" s="116">
        <v>10.01</v>
      </c>
      <c r="I1019" s="116"/>
      <c r="K1019" s="116"/>
      <c r="M1019" s="116"/>
    </row>
    <row r="1020" spans="1:13" x14ac:dyDescent="0.25">
      <c r="A1020" s="116"/>
      <c r="B1020" s="117"/>
      <c r="C1020" s="117" t="s">
        <v>5673</v>
      </c>
      <c r="D1020" s="116" t="s">
        <v>5669</v>
      </c>
      <c r="E1020" s="116" t="s">
        <v>5285</v>
      </c>
      <c r="F1020" s="123">
        <v>40787</v>
      </c>
      <c r="G1020" s="124">
        <v>44440</v>
      </c>
      <c r="H1020" s="116">
        <v>320</v>
      </c>
      <c r="I1020" s="116"/>
      <c r="K1020" s="116"/>
      <c r="M1020" s="116"/>
    </row>
    <row r="1021" spans="1:13" x14ac:dyDescent="0.25">
      <c r="A1021" s="116"/>
      <c r="B1021" s="117"/>
      <c r="C1021" s="117" t="s">
        <v>5695</v>
      </c>
      <c r="D1021" s="116" t="s">
        <v>1329</v>
      </c>
      <c r="E1021" s="116" t="s">
        <v>5306</v>
      </c>
      <c r="F1021" s="123">
        <v>40787</v>
      </c>
      <c r="G1021" s="124">
        <v>44440</v>
      </c>
      <c r="H1021" s="116">
        <v>501.2</v>
      </c>
      <c r="I1021" s="116"/>
      <c r="K1021" s="116"/>
      <c r="M1021" s="116"/>
    </row>
    <row r="1022" spans="1:13" x14ac:dyDescent="0.25">
      <c r="A1022" s="116"/>
      <c r="B1022" s="117"/>
      <c r="C1022" s="117" t="s">
        <v>5697</v>
      </c>
      <c r="D1022" s="116" t="s">
        <v>1329</v>
      </c>
      <c r="E1022" s="116" t="s">
        <v>5306</v>
      </c>
      <c r="F1022" s="123">
        <v>40787</v>
      </c>
      <c r="G1022" s="124">
        <v>44440</v>
      </c>
      <c r="H1022" s="116">
        <v>160</v>
      </c>
      <c r="I1022" s="116"/>
      <c r="K1022" s="116"/>
      <c r="M1022" s="116"/>
    </row>
    <row r="1023" spans="1:13" x14ac:dyDescent="0.25">
      <c r="A1023" s="116"/>
      <c r="B1023" s="117"/>
      <c r="C1023" s="117" t="s">
        <v>5680</v>
      </c>
      <c r="D1023" s="116" t="s">
        <v>5677</v>
      </c>
      <c r="E1023" s="116" t="s">
        <v>5285</v>
      </c>
      <c r="F1023" s="123">
        <v>40787</v>
      </c>
      <c r="G1023" s="124">
        <v>44440</v>
      </c>
      <c r="H1023" s="116">
        <v>480</v>
      </c>
      <c r="I1023" s="116"/>
      <c r="K1023" s="116"/>
      <c r="M1023" s="116"/>
    </row>
    <row r="1024" spans="1:13" x14ac:dyDescent="0.25">
      <c r="A1024" s="116"/>
      <c r="B1024" s="117"/>
      <c r="C1024" s="117" t="s">
        <v>5553</v>
      </c>
      <c r="D1024" s="116" t="s">
        <v>5554</v>
      </c>
      <c r="E1024" s="116" t="s">
        <v>308</v>
      </c>
      <c r="F1024" s="123">
        <v>39845</v>
      </c>
      <c r="G1024" s="124">
        <v>43497</v>
      </c>
      <c r="H1024" s="116">
        <v>40.01</v>
      </c>
      <c r="I1024" s="116"/>
      <c r="K1024" s="116"/>
      <c r="M1024" s="116"/>
    </row>
    <row r="1025" spans="1:13" x14ac:dyDescent="0.25">
      <c r="A1025" s="116"/>
      <c r="B1025" s="117"/>
      <c r="C1025" s="117" t="s">
        <v>5558</v>
      </c>
      <c r="D1025" s="116" t="s">
        <v>5554</v>
      </c>
      <c r="E1025" s="116" t="s">
        <v>308</v>
      </c>
      <c r="F1025" s="123">
        <v>39845</v>
      </c>
      <c r="G1025" s="124">
        <v>43497</v>
      </c>
      <c r="H1025" s="116">
        <v>160</v>
      </c>
      <c r="I1025" s="116"/>
      <c r="K1025" s="116"/>
      <c r="M1025" s="116"/>
    </row>
    <row r="1026" spans="1:13" x14ac:dyDescent="0.25">
      <c r="A1026" s="116"/>
      <c r="B1026" s="117"/>
      <c r="C1026" s="117" t="s">
        <v>5560</v>
      </c>
      <c r="D1026" s="116" t="s">
        <v>4084</v>
      </c>
      <c r="E1026" s="116" t="s">
        <v>308</v>
      </c>
      <c r="F1026" s="123">
        <v>39845</v>
      </c>
      <c r="G1026" s="124">
        <v>43497</v>
      </c>
      <c r="H1026" s="116">
        <v>428.23</v>
      </c>
      <c r="I1026" s="116"/>
      <c r="K1026" s="116"/>
      <c r="M1026" s="116"/>
    </row>
    <row r="1027" spans="1:13" x14ac:dyDescent="0.25">
      <c r="A1027" s="116"/>
      <c r="B1027" s="117"/>
      <c r="C1027" s="117" t="s">
        <v>5564</v>
      </c>
      <c r="D1027" s="116" t="s">
        <v>4084</v>
      </c>
      <c r="E1027" s="116" t="s">
        <v>308</v>
      </c>
      <c r="F1027" s="123">
        <v>39845</v>
      </c>
      <c r="G1027" s="124">
        <v>43497</v>
      </c>
      <c r="H1027" s="116">
        <v>477.28</v>
      </c>
      <c r="I1027" s="116"/>
      <c r="K1027" s="116"/>
      <c r="M1027" s="116"/>
    </row>
    <row r="1028" spans="1:13" x14ac:dyDescent="0.25">
      <c r="A1028" s="116"/>
      <c r="B1028" s="117"/>
      <c r="C1028" s="117" t="s">
        <v>5566</v>
      </c>
      <c r="D1028" s="116" t="s">
        <v>4084</v>
      </c>
      <c r="E1028" s="116" t="s">
        <v>308</v>
      </c>
      <c r="F1028" s="123">
        <v>39845</v>
      </c>
      <c r="G1028" s="124">
        <v>43497</v>
      </c>
      <c r="H1028" s="116">
        <v>40</v>
      </c>
      <c r="I1028" s="116"/>
      <c r="K1028" s="116"/>
      <c r="M1028" s="116"/>
    </row>
    <row r="1029" spans="1:13" x14ac:dyDescent="0.25">
      <c r="A1029" s="116"/>
      <c r="B1029" s="117"/>
      <c r="C1029" s="117" t="s">
        <v>5568</v>
      </c>
      <c r="D1029" s="116" t="s">
        <v>4084</v>
      </c>
      <c r="E1029" s="116" t="s">
        <v>308</v>
      </c>
      <c r="F1029" s="123">
        <v>39845</v>
      </c>
      <c r="G1029" s="124">
        <v>43497</v>
      </c>
      <c r="H1029" s="116">
        <v>40.36</v>
      </c>
      <c r="I1029" s="116"/>
      <c r="K1029" s="116"/>
      <c r="M1029" s="116"/>
    </row>
    <row r="1030" spans="1:13" x14ac:dyDescent="0.25">
      <c r="A1030" s="116"/>
      <c r="B1030" s="117"/>
      <c r="C1030" s="117" t="s">
        <v>5504</v>
      </c>
      <c r="D1030" s="116" t="s">
        <v>2397</v>
      </c>
      <c r="E1030" s="116" t="s">
        <v>79</v>
      </c>
      <c r="F1030" s="123">
        <v>40483</v>
      </c>
      <c r="G1030" s="124">
        <v>44136</v>
      </c>
      <c r="H1030" s="116">
        <v>142.41</v>
      </c>
      <c r="I1030" s="116"/>
      <c r="K1030" s="116"/>
      <c r="M1030" s="116"/>
    </row>
    <row r="1031" spans="1:13" x14ac:dyDescent="0.25">
      <c r="A1031" s="116"/>
      <c r="B1031" s="117"/>
      <c r="C1031" s="117" t="s">
        <v>5570</v>
      </c>
      <c r="D1031" s="116" t="s">
        <v>5571</v>
      </c>
      <c r="E1031" s="116" t="s">
        <v>79</v>
      </c>
      <c r="F1031" s="123">
        <v>40575</v>
      </c>
      <c r="G1031" s="124">
        <v>44228</v>
      </c>
      <c r="H1031" s="116">
        <v>1.24</v>
      </c>
      <c r="I1031" s="116"/>
      <c r="K1031" s="116"/>
      <c r="M1031" s="116"/>
    </row>
    <row r="1032" spans="1:13" x14ac:dyDescent="0.25">
      <c r="A1032" s="116"/>
      <c r="B1032" s="117"/>
      <c r="C1032" s="117" t="s">
        <v>5575</v>
      </c>
      <c r="D1032" s="116" t="s">
        <v>2466</v>
      </c>
      <c r="E1032" s="116" t="s">
        <v>1050</v>
      </c>
      <c r="F1032" s="123">
        <v>40575</v>
      </c>
      <c r="G1032" s="124">
        <v>44228</v>
      </c>
      <c r="H1032" s="116">
        <v>160</v>
      </c>
      <c r="I1032" s="116"/>
      <c r="K1032" s="116"/>
      <c r="M1032" s="116"/>
    </row>
    <row r="1033" spans="1:13" x14ac:dyDescent="0.25">
      <c r="A1033" s="116"/>
      <c r="B1033" s="117"/>
      <c r="C1033" s="117" t="s">
        <v>5787</v>
      </c>
      <c r="D1033" s="116" t="s">
        <v>5788</v>
      </c>
      <c r="E1033" s="116" t="s">
        <v>79</v>
      </c>
      <c r="F1033" s="123">
        <v>41426</v>
      </c>
      <c r="G1033" s="124">
        <v>45078</v>
      </c>
      <c r="H1033" s="116">
        <v>54.02</v>
      </c>
      <c r="I1033" s="116"/>
      <c r="K1033" s="116"/>
      <c r="M1033" s="116"/>
    </row>
    <row r="1034" spans="1:13" x14ac:dyDescent="0.25">
      <c r="A1034" s="116"/>
      <c r="B1034" s="117"/>
      <c r="C1034" s="117" t="s">
        <v>5792</v>
      </c>
      <c r="D1034" s="116" t="s">
        <v>3923</v>
      </c>
      <c r="E1034" s="116" t="s">
        <v>79</v>
      </c>
      <c r="F1034" s="123">
        <v>41487</v>
      </c>
      <c r="G1034" s="124">
        <v>45139</v>
      </c>
      <c r="H1034" s="116">
        <v>22.16</v>
      </c>
      <c r="I1034" s="116"/>
      <c r="K1034" s="116"/>
      <c r="M1034" s="116"/>
    </row>
    <row r="1035" spans="1:13" x14ac:dyDescent="0.25">
      <c r="A1035" s="116"/>
      <c r="B1035" s="117"/>
      <c r="C1035" s="117" t="s">
        <v>5795</v>
      </c>
      <c r="D1035" s="116" t="s">
        <v>1034</v>
      </c>
      <c r="E1035" s="116" t="s">
        <v>72</v>
      </c>
      <c r="F1035" s="123">
        <v>41883</v>
      </c>
      <c r="G1035" s="124">
        <v>45536</v>
      </c>
      <c r="H1035" s="116">
        <v>161.55000000000001</v>
      </c>
      <c r="I1035" s="116"/>
      <c r="K1035" s="116"/>
      <c r="M1035" s="116"/>
    </row>
    <row r="1036" spans="1:13" x14ac:dyDescent="0.25">
      <c r="A1036" s="116"/>
      <c r="B1036" s="117"/>
      <c r="C1036" s="117" t="s">
        <v>5798</v>
      </c>
      <c r="D1036" s="116" t="s">
        <v>1034</v>
      </c>
      <c r="E1036" s="116" t="s">
        <v>72</v>
      </c>
      <c r="F1036" s="123">
        <v>41883</v>
      </c>
      <c r="G1036" s="124">
        <v>45536</v>
      </c>
      <c r="H1036" s="116">
        <v>120</v>
      </c>
      <c r="I1036" s="116"/>
      <c r="K1036" s="116"/>
      <c r="M1036" s="116"/>
    </row>
    <row r="1037" spans="1:13" x14ac:dyDescent="0.25">
      <c r="A1037" s="116"/>
      <c r="B1037" s="117"/>
      <c r="C1037" s="117" t="s">
        <v>5800</v>
      </c>
      <c r="D1037" s="116" t="s">
        <v>1034</v>
      </c>
      <c r="E1037" s="116" t="s">
        <v>72</v>
      </c>
      <c r="F1037" s="123">
        <v>41883</v>
      </c>
      <c r="G1037" s="124">
        <v>45536</v>
      </c>
      <c r="H1037" s="116">
        <v>40</v>
      </c>
      <c r="I1037" s="116"/>
      <c r="K1037" s="116"/>
      <c r="M1037" s="116"/>
    </row>
    <row r="1038" spans="1:13" x14ac:dyDescent="0.25">
      <c r="A1038" s="116"/>
      <c r="B1038" s="117"/>
      <c r="C1038" s="117" t="s">
        <v>5802</v>
      </c>
      <c r="D1038" s="116" t="s">
        <v>1034</v>
      </c>
      <c r="E1038" s="116" t="s">
        <v>72</v>
      </c>
      <c r="F1038" s="123">
        <v>41883</v>
      </c>
      <c r="G1038" s="124">
        <v>45536</v>
      </c>
      <c r="H1038" s="116">
        <v>40</v>
      </c>
      <c r="I1038" s="116"/>
      <c r="K1038" s="116"/>
      <c r="M1038" s="116"/>
    </row>
    <row r="1039" spans="1:13" x14ac:dyDescent="0.25">
      <c r="A1039" s="116"/>
      <c r="B1039" s="117"/>
      <c r="C1039" s="117" t="s">
        <v>5804</v>
      </c>
      <c r="D1039" s="116" t="s">
        <v>1034</v>
      </c>
      <c r="E1039" s="116" t="s">
        <v>72</v>
      </c>
      <c r="F1039" s="123">
        <v>41883</v>
      </c>
      <c r="G1039" s="124">
        <v>45536</v>
      </c>
      <c r="H1039" s="116">
        <v>40</v>
      </c>
      <c r="I1039" s="116"/>
      <c r="K1039" s="116"/>
      <c r="M1039" s="116"/>
    </row>
    <row r="1040" spans="1:13" x14ac:dyDescent="0.25">
      <c r="A1040" s="116"/>
      <c r="B1040" s="117"/>
      <c r="C1040" s="117" t="s">
        <v>5807</v>
      </c>
      <c r="D1040" s="116" t="s">
        <v>5808</v>
      </c>
      <c r="E1040" s="116" t="s">
        <v>79</v>
      </c>
      <c r="F1040" s="123">
        <v>41883</v>
      </c>
      <c r="G1040" s="124">
        <v>45536</v>
      </c>
      <c r="H1040" s="116">
        <v>40.130000000000003</v>
      </c>
      <c r="I1040" s="116"/>
      <c r="K1040" s="116"/>
      <c r="M1040" s="116"/>
    </row>
    <row r="1041" spans="1:13" x14ac:dyDescent="0.25">
      <c r="A1041" s="116"/>
      <c r="B1041" s="117"/>
      <c r="C1041" s="117" t="s">
        <v>5814</v>
      </c>
      <c r="D1041" s="116" t="s">
        <v>287</v>
      </c>
      <c r="E1041" s="116" t="s">
        <v>86</v>
      </c>
      <c r="F1041" s="123">
        <v>42675</v>
      </c>
      <c r="G1041" s="124">
        <v>46327</v>
      </c>
      <c r="H1041" s="116">
        <v>477.64</v>
      </c>
      <c r="I1041" s="116"/>
      <c r="K1041" s="116"/>
      <c r="M1041" s="116"/>
    </row>
    <row r="1042" spans="1:13" x14ac:dyDescent="0.25">
      <c r="A1042" s="116"/>
      <c r="B1042" s="117"/>
      <c r="C1042" s="117" t="s">
        <v>5816</v>
      </c>
      <c r="D1042" s="116" t="s">
        <v>287</v>
      </c>
      <c r="E1042" s="116" t="s">
        <v>86</v>
      </c>
      <c r="F1042" s="123">
        <v>42675</v>
      </c>
      <c r="G1042" s="124">
        <v>46327</v>
      </c>
      <c r="H1042" s="116">
        <v>461.76</v>
      </c>
      <c r="I1042" s="116"/>
      <c r="K1042" s="116"/>
      <c r="M1042" s="116"/>
    </row>
    <row r="1043" spans="1:13" x14ac:dyDescent="0.25">
      <c r="A1043" s="116"/>
      <c r="B1043" s="117"/>
      <c r="C1043" s="117" t="s">
        <v>5818</v>
      </c>
      <c r="D1043" s="116" t="s">
        <v>287</v>
      </c>
      <c r="E1043" s="116" t="s">
        <v>86</v>
      </c>
      <c r="F1043" s="123">
        <v>42675</v>
      </c>
      <c r="G1043" s="124">
        <v>46327</v>
      </c>
      <c r="H1043" s="116">
        <v>280.73</v>
      </c>
      <c r="I1043" s="116"/>
      <c r="K1043" s="116"/>
      <c r="M1043" s="116"/>
    </row>
    <row r="1044" spans="1:13" x14ac:dyDescent="0.25">
      <c r="A1044" s="116"/>
      <c r="B1044" s="117"/>
      <c r="C1044" s="117" t="s">
        <v>5820</v>
      </c>
      <c r="D1044" s="116" t="s">
        <v>287</v>
      </c>
      <c r="E1044" s="116" t="s">
        <v>86</v>
      </c>
      <c r="F1044" s="123">
        <v>42675</v>
      </c>
      <c r="G1044" s="124">
        <v>46327</v>
      </c>
      <c r="H1044" s="116">
        <v>602.85</v>
      </c>
      <c r="I1044" s="116"/>
      <c r="K1044" s="116"/>
      <c r="M1044" s="116"/>
    </row>
    <row r="1045" spans="1:13" x14ac:dyDescent="0.25">
      <c r="A1045" s="116"/>
      <c r="B1045" s="117"/>
      <c r="C1045" s="117" t="s">
        <v>5822</v>
      </c>
      <c r="D1045" s="116" t="s">
        <v>287</v>
      </c>
      <c r="E1045" s="116" t="s">
        <v>86</v>
      </c>
      <c r="F1045" s="123">
        <v>42675</v>
      </c>
      <c r="G1045" s="124">
        <v>46327</v>
      </c>
      <c r="H1045" s="116">
        <v>396.07</v>
      </c>
      <c r="I1045" s="116"/>
      <c r="K1045" s="116"/>
      <c r="M1045" s="116"/>
    </row>
    <row r="1046" spans="1:13" x14ac:dyDescent="0.25">
      <c r="A1046" s="116"/>
      <c r="B1046" s="117"/>
      <c r="C1046" s="117" t="s">
        <v>5823</v>
      </c>
      <c r="D1046" s="116" t="s">
        <v>287</v>
      </c>
      <c r="E1046" s="116" t="s">
        <v>86</v>
      </c>
      <c r="F1046" s="123">
        <v>42675</v>
      </c>
      <c r="G1046" s="124">
        <v>46327</v>
      </c>
      <c r="H1046" s="116">
        <v>154.19</v>
      </c>
      <c r="I1046" s="116"/>
      <c r="K1046" s="116"/>
      <c r="M1046" s="116"/>
    </row>
    <row r="1047" spans="1:13" x14ac:dyDescent="0.25">
      <c r="A1047" s="116"/>
      <c r="B1047" s="117"/>
      <c r="C1047" s="117" t="s">
        <v>5825</v>
      </c>
      <c r="D1047" s="116" t="s">
        <v>287</v>
      </c>
      <c r="E1047" s="116" t="s">
        <v>86</v>
      </c>
      <c r="F1047" s="123">
        <v>42675</v>
      </c>
      <c r="G1047" s="124">
        <v>46327</v>
      </c>
      <c r="H1047" s="116">
        <v>566.72</v>
      </c>
      <c r="I1047" s="116"/>
      <c r="K1047" s="116"/>
      <c r="M1047" s="116"/>
    </row>
    <row r="1048" spans="1:13" x14ac:dyDescent="0.25">
      <c r="A1048" s="116"/>
      <c r="B1048" s="117"/>
      <c r="C1048" s="117" t="s">
        <v>5827</v>
      </c>
      <c r="D1048" s="116" t="s">
        <v>287</v>
      </c>
      <c r="E1048" s="116" t="s">
        <v>86</v>
      </c>
      <c r="F1048" s="123">
        <v>42675</v>
      </c>
      <c r="G1048" s="124">
        <v>46327</v>
      </c>
      <c r="H1048" s="116">
        <v>54.48</v>
      </c>
      <c r="I1048" s="116"/>
      <c r="K1048" s="116"/>
      <c r="M1048" s="116"/>
    </row>
    <row r="1049" spans="1:13" x14ac:dyDescent="0.25">
      <c r="A1049" s="116"/>
      <c r="B1049" s="117"/>
      <c r="C1049" s="117" t="s">
        <v>5829</v>
      </c>
      <c r="D1049" s="116" t="s">
        <v>287</v>
      </c>
      <c r="E1049" s="116" t="s">
        <v>86</v>
      </c>
      <c r="F1049" s="123">
        <v>42675</v>
      </c>
      <c r="G1049" s="124">
        <v>46327</v>
      </c>
      <c r="H1049" s="116">
        <v>340.82</v>
      </c>
      <c r="I1049" s="116"/>
      <c r="K1049" s="116"/>
      <c r="M1049" s="116"/>
    </row>
    <row r="1050" spans="1:13" x14ac:dyDescent="0.25">
      <c r="A1050" s="116"/>
      <c r="B1050" s="117"/>
      <c r="C1050" s="117" t="s">
        <v>5831</v>
      </c>
      <c r="D1050" s="116" t="s">
        <v>287</v>
      </c>
      <c r="E1050" s="116" t="s">
        <v>86</v>
      </c>
      <c r="F1050" s="123">
        <v>42675</v>
      </c>
      <c r="G1050" s="124">
        <v>46327</v>
      </c>
      <c r="H1050" s="116">
        <v>575.69000000000005</v>
      </c>
      <c r="I1050" s="116"/>
      <c r="K1050" s="116"/>
      <c r="M1050" s="116"/>
    </row>
    <row r="1051" spans="1:13" x14ac:dyDescent="0.25">
      <c r="A1051" s="116"/>
      <c r="B1051" s="117"/>
      <c r="C1051" s="117" t="s">
        <v>5833</v>
      </c>
      <c r="D1051" s="116" t="s">
        <v>453</v>
      </c>
      <c r="E1051" s="116" t="s">
        <v>86</v>
      </c>
      <c r="F1051" s="123">
        <v>42675</v>
      </c>
      <c r="G1051" s="124">
        <v>46327</v>
      </c>
      <c r="H1051" s="116">
        <v>86.21</v>
      </c>
      <c r="I1051" s="116"/>
      <c r="K1051" s="116"/>
      <c r="M1051" s="116"/>
    </row>
    <row r="1052" spans="1:13" x14ac:dyDescent="0.25">
      <c r="A1052" s="116"/>
      <c r="B1052" s="117"/>
      <c r="C1052" s="117" t="s">
        <v>5837</v>
      </c>
      <c r="D1052" s="116" t="s">
        <v>453</v>
      </c>
      <c r="E1052" s="116" t="s">
        <v>86</v>
      </c>
      <c r="F1052" s="123">
        <v>42675</v>
      </c>
      <c r="G1052" s="124">
        <v>46327</v>
      </c>
      <c r="H1052" s="116">
        <v>117.31</v>
      </c>
      <c r="I1052" s="116"/>
      <c r="K1052" s="116"/>
      <c r="M1052" s="116"/>
    </row>
    <row r="1053" spans="1:13" x14ac:dyDescent="0.25">
      <c r="A1053" s="116"/>
      <c r="B1053" s="117"/>
      <c r="C1053" s="117" t="s">
        <v>5839</v>
      </c>
      <c r="D1053" s="116" t="s">
        <v>3750</v>
      </c>
      <c r="E1053" s="116" t="s">
        <v>86</v>
      </c>
      <c r="F1053" s="123">
        <v>42675</v>
      </c>
      <c r="G1053" s="124">
        <v>46327</v>
      </c>
      <c r="H1053" s="116">
        <v>56.41</v>
      </c>
      <c r="I1053" s="116"/>
      <c r="K1053" s="116"/>
      <c r="M1053" s="116"/>
    </row>
    <row r="1054" spans="1:13" x14ac:dyDescent="0.25">
      <c r="A1054" s="116"/>
      <c r="B1054" s="117"/>
      <c r="C1054" s="117" t="s">
        <v>5842</v>
      </c>
      <c r="D1054" s="116" t="s">
        <v>287</v>
      </c>
      <c r="E1054" s="116" t="s">
        <v>86</v>
      </c>
      <c r="F1054" s="123">
        <v>42767</v>
      </c>
      <c r="G1054" s="124">
        <v>46419</v>
      </c>
      <c r="H1054" s="116">
        <v>40.03</v>
      </c>
      <c r="I1054" s="116"/>
      <c r="K1054" s="116"/>
      <c r="M1054" s="116"/>
    </row>
    <row r="1055" spans="1:13" x14ac:dyDescent="0.25">
      <c r="A1055" s="116"/>
      <c r="B1055" s="117"/>
      <c r="C1055" s="117" t="s">
        <v>5844</v>
      </c>
      <c r="D1055" s="116" t="s">
        <v>5845</v>
      </c>
      <c r="E1055" s="116" t="s">
        <v>5846</v>
      </c>
      <c r="F1055" s="123">
        <v>42856</v>
      </c>
      <c r="G1055" s="124">
        <v>46508</v>
      </c>
      <c r="H1055" s="116">
        <v>1378.53</v>
      </c>
      <c r="I1055" s="116"/>
      <c r="K1055" s="116"/>
      <c r="M1055" s="116"/>
    </row>
    <row r="1056" spans="1:13" x14ac:dyDescent="0.25">
      <c r="A1056" s="116"/>
      <c r="B1056" s="117"/>
      <c r="C1056" s="117" t="s">
        <v>5848</v>
      </c>
      <c r="D1056" s="116" t="s">
        <v>5845</v>
      </c>
      <c r="E1056" s="116" t="s">
        <v>5846</v>
      </c>
      <c r="F1056" s="123">
        <v>42856</v>
      </c>
      <c r="G1056" s="124">
        <v>46508</v>
      </c>
      <c r="H1056" s="116">
        <v>1443.39</v>
      </c>
      <c r="I1056" s="116"/>
      <c r="K1056" s="116"/>
      <c r="M1056" s="116"/>
    </row>
    <row r="1057" spans="1:13" x14ac:dyDescent="0.25">
      <c r="A1057" s="116"/>
      <c r="B1057" s="117"/>
      <c r="C1057" s="117" t="s">
        <v>5851</v>
      </c>
      <c r="D1057" s="116" t="s">
        <v>5852</v>
      </c>
      <c r="E1057" s="116" t="s">
        <v>5622</v>
      </c>
      <c r="F1057" s="123">
        <v>42917</v>
      </c>
      <c r="G1057" s="124">
        <v>46569</v>
      </c>
      <c r="H1057" s="116">
        <v>360</v>
      </c>
      <c r="I1057" s="116"/>
      <c r="K1057" s="116"/>
      <c r="M1057" s="116"/>
    </row>
    <row r="1058" spans="1:13" x14ac:dyDescent="0.25">
      <c r="A1058" s="116"/>
      <c r="B1058" s="117"/>
      <c r="C1058" s="117" t="s">
        <v>5855</v>
      </c>
      <c r="D1058" s="116" t="s">
        <v>5852</v>
      </c>
      <c r="E1058" s="116" t="s">
        <v>5622</v>
      </c>
      <c r="F1058" s="123">
        <v>42917</v>
      </c>
      <c r="G1058" s="124">
        <v>46569</v>
      </c>
      <c r="H1058" s="116">
        <v>240</v>
      </c>
      <c r="I1058" s="116"/>
      <c r="K1058" s="116"/>
      <c r="M1058" s="116"/>
    </row>
    <row r="1059" spans="1:13" x14ac:dyDescent="0.25">
      <c r="A1059" s="116"/>
      <c r="B1059" s="117"/>
      <c r="C1059" s="117" t="s">
        <v>5857</v>
      </c>
      <c r="D1059" s="116" t="s">
        <v>5852</v>
      </c>
      <c r="E1059" s="116" t="s">
        <v>5622</v>
      </c>
      <c r="F1059" s="123">
        <v>42917</v>
      </c>
      <c r="G1059" s="124">
        <v>46569</v>
      </c>
      <c r="H1059" s="116">
        <v>600</v>
      </c>
      <c r="I1059" s="116"/>
      <c r="K1059" s="116"/>
      <c r="M1059" s="116"/>
    </row>
    <row r="1060" spans="1:13" x14ac:dyDescent="0.25">
      <c r="A1060" s="116"/>
      <c r="B1060" s="117"/>
      <c r="C1060" s="117" t="s">
        <v>5859</v>
      </c>
      <c r="D1060" s="116" t="s">
        <v>5852</v>
      </c>
      <c r="E1060" s="116" t="s">
        <v>5622</v>
      </c>
      <c r="F1060" s="123">
        <v>42917</v>
      </c>
      <c r="G1060" s="124">
        <v>46569</v>
      </c>
      <c r="H1060" s="116">
        <v>120</v>
      </c>
      <c r="I1060" s="116"/>
      <c r="K1060" s="116"/>
      <c r="M1060" s="116"/>
    </row>
    <row r="1061" spans="1:13" x14ac:dyDescent="0.25">
      <c r="A1061" s="116"/>
      <c r="B1061" s="117"/>
      <c r="C1061" s="117" t="s">
        <v>5861</v>
      </c>
      <c r="D1061" s="116" t="s">
        <v>5862</v>
      </c>
      <c r="E1061" s="116" t="s">
        <v>5622</v>
      </c>
      <c r="F1061" s="123">
        <v>42917</v>
      </c>
      <c r="G1061" s="124">
        <v>46569</v>
      </c>
      <c r="H1061" s="116">
        <v>160</v>
      </c>
      <c r="I1061" s="116"/>
      <c r="K1061" s="116"/>
      <c r="M1061" s="116"/>
    </row>
    <row r="1062" spans="1:13" x14ac:dyDescent="0.25">
      <c r="A1062" s="116"/>
      <c r="B1062" s="117"/>
      <c r="C1062" s="117" t="s">
        <v>5866</v>
      </c>
      <c r="D1062" s="116" t="s">
        <v>5862</v>
      </c>
      <c r="E1062" s="116" t="s">
        <v>5622</v>
      </c>
      <c r="F1062" s="123">
        <v>42917</v>
      </c>
      <c r="G1062" s="124">
        <v>46569</v>
      </c>
      <c r="H1062" s="116">
        <v>120</v>
      </c>
      <c r="I1062" s="116"/>
      <c r="K1062" s="116"/>
      <c r="M1062" s="116"/>
    </row>
    <row r="1063" spans="1:13" x14ac:dyDescent="0.25">
      <c r="A1063" s="116"/>
      <c r="B1063" s="117"/>
      <c r="C1063" s="117" t="s">
        <v>5868</v>
      </c>
      <c r="D1063" s="116" t="s">
        <v>5862</v>
      </c>
      <c r="E1063" s="116" t="s">
        <v>5622</v>
      </c>
      <c r="F1063" s="123">
        <v>42917</v>
      </c>
      <c r="G1063" s="124">
        <v>46569</v>
      </c>
      <c r="H1063" s="116">
        <v>160</v>
      </c>
      <c r="I1063" s="116"/>
      <c r="K1063" s="116"/>
      <c r="M1063" s="116"/>
    </row>
    <row r="1064" spans="1:13" x14ac:dyDescent="0.25">
      <c r="A1064" s="116"/>
      <c r="B1064" s="117"/>
      <c r="C1064" s="117" t="s">
        <v>5870</v>
      </c>
      <c r="D1064" s="116" t="s">
        <v>5862</v>
      </c>
      <c r="E1064" s="116" t="s">
        <v>5622</v>
      </c>
      <c r="F1064" s="123">
        <v>42917</v>
      </c>
      <c r="G1064" s="124">
        <v>46569</v>
      </c>
      <c r="H1064" s="116">
        <v>280</v>
      </c>
      <c r="I1064" s="116"/>
      <c r="K1064" s="116"/>
      <c r="M1064" s="116"/>
    </row>
    <row r="1065" spans="1:13" x14ac:dyDescent="0.25">
      <c r="A1065" s="116"/>
      <c r="B1065" s="117"/>
      <c r="C1065" s="117" t="s">
        <v>5872</v>
      </c>
      <c r="D1065" s="116" t="s">
        <v>5862</v>
      </c>
      <c r="E1065" s="116" t="s">
        <v>5622</v>
      </c>
      <c r="F1065" s="123">
        <v>42917</v>
      </c>
      <c r="G1065" s="124">
        <v>46569</v>
      </c>
      <c r="H1065" s="116">
        <v>40</v>
      </c>
      <c r="I1065" s="116"/>
      <c r="K1065" s="116"/>
      <c r="M1065" s="116"/>
    </row>
    <row r="1066" spans="1:13" x14ac:dyDescent="0.25">
      <c r="A1066" s="116"/>
      <c r="B1066" s="117"/>
      <c r="C1066" s="117" t="s">
        <v>5874</v>
      </c>
      <c r="D1066" s="116" t="s">
        <v>5862</v>
      </c>
      <c r="E1066" s="116" t="s">
        <v>5622</v>
      </c>
      <c r="F1066" s="123">
        <v>42917</v>
      </c>
      <c r="G1066" s="124">
        <v>46569</v>
      </c>
      <c r="H1066" s="116">
        <v>200</v>
      </c>
      <c r="I1066" s="116"/>
      <c r="K1066" s="116"/>
      <c r="M1066" s="116"/>
    </row>
    <row r="1067" spans="1:13" x14ac:dyDescent="0.25">
      <c r="A1067" s="116"/>
      <c r="B1067" s="117"/>
      <c r="C1067" s="117" t="s">
        <v>5877</v>
      </c>
      <c r="D1067" s="116" t="s">
        <v>5658</v>
      </c>
      <c r="E1067" s="116" t="s">
        <v>5622</v>
      </c>
      <c r="F1067" s="123">
        <v>42917</v>
      </c>
      <c r="G1067" s="124">
        <v>46569</v>
      </c>
      <c r="H1067" s="116">
        <v>280.33</v>
      </c>
      <c r="I1067" s="116"/>
      <c r="K1067" s="116"/>
      <c r="M1067" s="116"/>
    </row>
    <row r="1068" spans="1:13" x14ac:dyDescent="0.25">
      <c r="A1068" s="116"/>
      <c r="B1068" s="117"/>
      <c r="C1068" s="117" t="s">
        <v>5880</v>
      </c>
      <c r="D1068" s="116" t="s">
        <v>5658</v>
      </c>
      <c r="E1068" s="116" t="s">
        <v>5622</v>
      </c>
      <c r="F1068" s="123">
        <v>42917</v>
      </c>
      <c r="G1068" s="124">
        <v>46569</v>
      </c>
      <c r="H1068" s="116">
        <v>600</v>
      </c>
      <c r="I1068" s="116"/>
      <c r="K1068" s="116"/>
      <c r="M1068" s="116"/>
    </row>
    <row r="1069" spans="1:13" x14ac:dyDescent="0.25">
      <c r="A1069" s="116"/>
      <c r="B1069" s="117"/>
      <c r="C1069" s="117" t="s">
        <v>5811</v>
      </c>
      <c r="D1069" s="116" t="s">
        <v>5812</v>
      </c>
      <c r="E1069" s="116" t="s">
        <v>2186</v>
      </c>
      <c r="F1069" s="123">
        <v>42675</v>
      </c>
      <c r="G1069" s="124">
        <v>46327</v>
      </c>
      <c r="H1069" s="116">
        <v>184</v>
      </c>
      <c r="I1069" s="116"/>
      <c r="K1069" s="116"/>
      <c r="M1069" s="116"/>
    </row>
    <row r="1070" spans="1:13" x14ac:dyDescent="0.25">
      <c r="A1070" s="116"/>
      <c r="B1070" s="117"/>
      <c r="C1070" s="117" t="s">
        <v>5882</v>
      </c>
      <c r="D1070" s="116" t="s">
        <v>5883</v>
      </c>
      <c r="E1070" s="116" t="s">
        <v>5884</v>
      </c>
      <c r="F1070" s="123">
        <v>42948</v>
      </c>
      <c r="G1070" s="124">
        <v>46600</v>
      </c>
      <c r="H1070" s="116">
        <v>1787.82</v>
      </c>
      <c r="I1070" s="116"/>
      <c r="K1070" s="116"/>
      <c r="M1070" s="116"/>
    </row>
    <row r="1071" spans="1:13" x14ac:dyDescent="0.25">
      <c r="A1071" s="116"/>
      <c r="B1071" s="117"/>
      <c r="C1071" s="117" t="s">
        <v>5891</v>
      </c>
      <c r="D1071" s="116" t="s">
        <v>5883</v>
      </c>
      <c r="E1071" s="116" t="s">
        <v>5884</v>
      </c>
      <c r="F1071" s="123">
        <v>42948</v>
      </c>
      <c r="G1071" s="124">
        <v>46600</v>
      </c>
      <c r="H1071" s="116">
        <v>1917.52</v>
      </c>
      <c r="I1071" s="116"/>
      <c r="K1071" s="116"/>
      <c r="M1071" s="116"/>
    </row>
    <row r="1072" spans="1:13" x14ac:dyDescent="0.25">
      <c r="A1072" s="116"/>
      <c r="B1072" s="117"/>
      <c r="C1072" s="117" t="s">
        <v>5897</v>
      </c>
      <c r="D1072" s="116" t="s">
        <v>5883</v>
      </c>
      <c r="E1072" s="116" t="s">
        <v>5884</v>
      </c>
      <c r="F1072" s="123">
        <v>42948</v>
      </c>
      <c r="G1072" s="124">
        <v>46600</v>
      </c>
      <c r="H1072" s="116">
        <v>640</v>
      </c>
      <c r="I1072" s="116"/>
      <c r="K1072" s="116"/>
      <c r="M1072" s="116"/>
    </row>
    <row r="1073" spans="1:13" x14ac:dyDescent="0.25">
      <c r="A1073" s="116"/>
      <c r="B1073" s="117"/>
      <c r="C1073" s="117" t="s">
        <v>5899</v>
      </c>
      <c r="D1073" s="116" t="s">
        <v>5883</v>
      </c>
      <c r="E1073" s="116" t="s">
        <v>5884</v>
      </c>
      <c r="F1073" s="123">
        <v>42948</v>
      </c>
      <c r="G1073" s="124">
        <v>46600</v>
      </c>
      <c r="H1073" s="116">
        <v>1440</v>
      </c>
      <c r="I1073" s="116"/>
      <c r="K1073" s="116"/>
      <c r="M1073" s="116"/>
    </row>
    <row r="1074" spans="1:13" x14ac:dyDescent="0.25">
      <c r="A1074" s="116"/>
      <c r="B1074" s="117"/>
      <c r="C1074" s="117" t="s">
        <v>5914</v>
      </c>
      <c r="D1074" s="116" t="s">
        <v>5883</v>
      </c>
      <c r="E1074" s="116" t="s">
        <v>5884</v>
      </c>
      <c r="F1074" s="123">
        <v>42948</v>
      </c>
      <c r="G1074" s="124">
        <v>46600</v>
      </c>
      <c r="H1074" s="116">
        <v>870.79</v>
      </c>
      <c r="I1074" s="116"/>
      <c r="K1074" s="116"/>
      <c r="M1074" s="116"/>
    </row>
    <row r="1075" spans="1:13" x14ac:dyDescent="0.25">
      <c r="A1075" s="116"/>
      <c r="B1075" s="117"/>
      <c r="C1075" s="117" t="s">
        <v>5918</v>
      </c>
      <c r="D1075" s="116" t="s">
        <v>5883</v>
      </c>
      <c r="E1075" s="116" t="s">
        <v>5884</v>
      </c>
      <c r="F1075" s="123">
        <v>42948</v>
      </c>
      <c r="G1075" s="124">
        <v>46600</v>
      </c>
      <c r="H1075" s="116">
        <v>200.32</v>
      </c>
      <c r="I1075" s="116"/>
      <c r="K1075" s="116"/>
      <c r="M1075" s="116"/>
    </row>
    <row r="1076" spans="1:13" x14ac:dyDescent="0.25">
      <c r="A1076" s="116"/>
      <c r="B1076" s="117"/>
      <c r="C1076" s="117" t="s">
        <v>5922</v>
      </c>
      <c r="D1076" s="116" t="s">
        <v>5883</v>
      </c>
      <c r="E1076" s="116" t="s">
        <v>5884</v>
      </c>
      <c r="F1076" s="123">
        <v>42948</v>
      </c>
      <c r="G1076" s="124">
        <v>46600</v>
      </c>
      <c r="H1076" s="116">
        <v>800</v>
      </c>
      <c r="I1076" s="116"/>
      <c r="K1076" s="116"/>
      <c r="M1076" s="116"/>
    </row>
    <row r="1077" spans="1:13" x14ac:dyDescent="0.25">
      <c r="A1077" s="116"/>
      <c r="B1077" s="117"/>
      <c r="C1077" s="117" t="s">
        <v>5924</v>
      </c>
      <c r="D1077" s="116" t="s">
        <v>5883</v>
      </c>
      <c r="E1077" s="116" t="s">
        <v>5884</v>
      </c>
      <c r="F1077" s="123">
        <v>42948</v>
      </c>
      <c r="G1077" s="124">
        <v>46600</v>
      </c>
      <c r="H1077" s="116">
        <v>1274.56</v>
      </c>
      <c r="I1077" s="116"/>
      <c r="K1077" s="116"/>
      <c r="M1077" s="116"/>
    </row>
    <row r="1078" spans="1:13" x14ac:dyDescent="0.25">
      <c r="A1078" s="116"/>
      <c r="B1078" s="117"/>
      <c r="C1078" s="117" t="s">
        <v>5926</v>
      </c>
      <c r="D1078" s="116" t="s">
        <v>5883</v>
      </c>
      <c r="E1078" s="116" t="s">
        <v>5884</v>
      </c>
      <c r="F1078" s="123">
        <v>42948</v>
      </c>
      <c r="G1078" s="124">
        <v>46600</v>
      </c>
      <c r="H1078" s="116">
        <v>1920</v>
      </c>
      <c r="I1078" s="116"/>
      <c r="K1078" s="116"/>
      <c r="M1078" s="116"/>
    </row>
    <row r="1079" spans="1:13" x14ac:dyDescent="0.25">
      <c r="A1079" s="116"/>
      <c r="B1079" s="117"/>
      <c r="C1079" s="117" t="s">
        <v>5928</v>
      </c>
      <c r="D1079" s="116" t="s">
        <v>5883</v>
      </c>
      <c r="E1079" s="116" t="s">
        <v>5884</v>
      </c>
      <c r="F1079" s="123">
        <v>42948</v>
      </c>
      <c r="G1079" s="124">
        <v>46600</v>
      </c>
      <c r="H1079" s="116">
        <v>460.16</v>
      </c>
      <c r="I1079" s="116"/>
      <c r="K1079" s="116"/>
      <c r="M1079" s="116"/>
    </row>
    <row r="1080" spans="1:13" x14ac:dyDescent="0.25">
      <c r="A1080" s="116"/>
      <c r="B1080" s="117"/>
      <c r="C1080" s="117" t="s">
        <v>5930</v>
      </c>
      <c r="D1080" s="116" t="s">
        <v>5883</v>
      </c>
      <c r="E1080" s="116" t="s">
        <v>5884</v>
      </c>
      <c r="F1080" s="123">
        <v>42948</v>
      </c>
      <c r="G1080" s="124">
        <v>46600</v>
      </c>
      <c r="H1080" s="116">
        <v>151.68</v>
      </c>
      <c r="I1080" s="116"/>
      <c r="K1080" s="116"/>
      <c r="M1080" s="116"/>
    </row>
    <row r="1081" spans="1:13" x14ac:dyDescent="0.25">
      <c r="A1081" s="116"/>
      <c r="B1081" s="117"/>
      <c r="C1081" s="117" t="s">
        <v>6018</v>
      </c>
      <c r="D1081" s="116" t="s">
        <v>6019</v>
      </c>
      <c r="E1081" s="116" t="s">
        <v>5884</v>
      </c>
      <c r="F1081" s="123">
        <v>43191</v>
      </c>
      <c r="G1081" s="124">
        <v>46844</v>
      </c>
      <c r="H1081" s="116">
        <v>80</v>
      </c>
      <c r="I1081" s="116"/>
      <c r="K1081" s="116"/>
      <c r="M1081" s="116"/>
    </row>
    <row r="1082" spans="1:13" x14ac:dyDescent="0.25">
      <c r="A1082" s="116"/>
      <c r="B1082" s="117"/>
      <c r="C1082" s="117" t="s">
        <v>6021</v>
      </c>
      <c r="D1082" s="116" t="s">
        <v>6022</v>
      </c>
      <c r="E1082" s="116" t="s">
        <v>5884</v>
      </c>
      <c r="F1082" s="123">
        <v>43191</v>
      </c>
      <c r="G1082" s="124">
        <v>46844</v>
      </c>
      <c r="H1082" s="116">
        <v>320.31</v>
      </c>
      <c r="I1082" s="116"/>
      <c r="K1082" s="116"/>
      <c r="M1082" s="116"/>
    </row>
    <row r="1083" spans="1:13" x14ac:dyDescent="0.25">
      <c r="A1083" s="116"/>
      <c r="B1083" s="117"/>
      <c r="C1083" s="117" t="s">
        <v>5912</v>
      </c>
      <c r="D1083" s="116" t="s">
        <v>5883</v>
      </c>
      <c r="E1083" s="116" t="s">
        <v>5884</v>
      </c>
      <c r="F1083" s="123">
        <v>42948</v>
      </c>
      <c r="G1083" s="124">
        <v>46600</v>
      </c>
      <c r="H1083" s="116">
        <v>880</v>
      </c>
      <c r="I1083" s="116"/>
      <c r="K1083" s="116"/>
      <c r="M1083" s="116"/>
    </row>
    <row r="1084" spans="1:13" x14ac:dyDescent="0.25">
      <c r="A1084" s="116"/>
      <c r="B1084" s="117"/>
      <c r="C1084" s="117" t="s">
        <v>5916</v>
      </c>
      <c r="D1084" s="116" t="s">
        <v>5883</v>
      </c>
      <c r="E1084" s="116" t="s">
        <v>5884</v>
      </c>
      <c r="F1084" s="123">
        <v>42948</v>
      </c>
      <c r="G1084" s="124">
        <v>46600</v>
      </c>
      <c r="H1084" s="116">
        <v>880</v>
      </c>
      <c r="I1084" s="116"/>
      <c r="K1084" s="116"/>
      <c r="M1084" s="116"/>
    </row>
    <row r="1085" spans="1:13" x14ac:dyDescent="0.25">
      <c r="A1085" s="116"/>
      <c r="B1085" s="117"/>
      <c r="C1085" s="117" t="s">
        <v>5887</v>
      </c>
      <c r="D1085" s="116" t="s">
        <v>5883</v>
      </c>
      <c r="E1085" s="116" t="s">
        <v>5884</v>
      </c>
      <c r="F1085" s="123">
        <v>42948</v>
      </c>
      <c r="G1085" s="124">
        <v>46600</v>
      </c>
      <c r="H1085" s="116">
        <v>1808.82</v>
      </c>
      <c r="I1085" s="116"/>
      <c r="K1085" s="116"/>
      <c r="M1085" s="116"/>
    </row>
    <row r="1086" spans="1:13" x14ac:dyDescent="0.25">
      <c r="A1086" s="116"/>
      <c r="B1086" s="117"/>
      <c r="C1086" s="117" t="s">
        <v>5889</v>
      </c>
      <c r="D1086" s="116" t="s">
        <v>5883</v>
      </c>
      <c r="E1086" s="116" t="s">
        <v>5884</v>
      </c>
      <c r="F1086" s="123">
        <v>42948</v>
      </c>
      <c r="G1086" s="124">
        <v>43313</v>
      </c>
      <c r="H1086" s="116">
        <v>1873.26</v>
      </c>
      <c r="I1086" s="116"/>
      <c r="K1086" s="116"/>
      <c r="M1086" s="116"/>
    </row>
    <row r="1087" spans="1:13" x14ac:dyDescent="0.25">
      <c r="A1087" s="116"/>
      <c r="B1087" s="117"/>
      <c r="C1087" s="117" t="s">
        <v>5893</v>
      </c>
      <c r="D1087" s="116" t="s">
        <v>5883</v>
      </c>
      <c r="E1087" s="116" t="s">
        <v>5884</v>
      </c>
      <c r="F1087" s="123">
        <v>42948</v>
      </c>
      <c r="G1087" s="124">
        <v>46600</v>
      </c>
      <c r="H1087" s="116">
        <v>1914.96</v>
      </c>
      <c r="I1087" s="116"/>
      <c r="K1087" s="116"/>
      <c r="M1087" s="116"/>
    </row>
    <row r="1088" spans="1:13" x14ac:dyDescent="0.25">
      <c r="A1088" s="116"/>
      <c r="B1088" s="117"/>
      <c r="C1088" s="117" t="s">
        <v>5895</v>
      </c>
      <c r="D1088" s="116" t="s">
        <v>5883</v>
      </c>
      <c r="E1088" s="116" t="s">
        <v>5884</v>
      </c>
      <c r="F1088" s="123">
        <v>42948</v>
      </c>
      <c r="G1088" s="124">
        <v>46600</v>
      </c>
      <c r="H1088" s="116">
        <v>1834.59</v>
      </c>
      <c r="I1088" s="116"/>
      <c r="K1088" s="116"/>
      <c r="M1088" s="116"/>
    </row>
    <row r="1089" spans="1:13" x14ac:dyDescent="0.25">
      <c r="A1089" s="116"/>
      <c r="B1089" s="117"/>
      <c r="C1089" s="117" t="s">
        <v>5901</v>
      </c>
      <c r="D1089" s="116" t="s">
        <v>5883</v>
      </c>
      <c r="E1089" s="116" t="s">
        <v>5884</v>
      </c>
      <c r="F1089" s="123">
        <v>42948</v>
      </c>
      <c r="G1089" s="124">
        <v>46600</v>
      </c>
      <c r="H1089" s="116">
        <v>2330</v>
      </c>
      <c r="I1089" s="116"/>
      <c r="K1089" s="116"/>
      <c r="M1089" s="116"/>
    </row>
    <row r="1090" spans="1:13" x14ac:dyDescent="0.25">
      <c r="A1090" s="116"/>
      <c r="B1090" s="117"/>
      <c r="C1090" s="117" t="s">
        <v>5903</v>
      </c>
      <c r="D1090" s="116" t="s">
        <v>5883</v>
      </c>
      <c r="E1090" s="116" t="s">
        <v>5884</v>
      </c>
      <c r="F1090" s="123">
        <v>42948</v>
      </c>
      <c r="G1090" s="124">
        <v>46600</v>
      </c>
      <c r="H1090" s="116">
        <v>1920.4</v>
      </c>
      <c r="I1090" s="116"/>
      <c r="K1090" s="116"/>
      <c r="M1090" s="116"/>
    </row>
    <row r="1091" spans="1:13" x14ac:dyDescent="0.25">
      <c r="A1091" s="116"/>
      <c r="B1091" s="117"/>
      <c r="C1091" s="117" t="s">
        <v>5905</v>
      </c>
      <c r="D1091" s="116" t="s">
        <v>5883</v>
      </c>
      <c r="E1091" s="116" t="s">
        <v>5884</v>
      </c>
      <c r="F1091" s="123">
        <v>42948</v>
      </c>
      <c r="G1091" s="124">
        <v>46600</v>
      </c>
      <c r="H1091" s="116">
        <v>2164.84</v>
      </c>
      <c r="I1091" s="116"/>
      <c r="K1091" s="116"/>
      <c r="M1091" s="116"/>
    </row>
    <row r="1092" spans="1:13" x14ac:dyDescent="0.25">
      <c r="A1092" s="116"/>
      <c r="B1092" s="117"/>
      <c r="C1092" s="117" t="s">
        <v>5907</v>
      </c>
      <c r="D1092" s="116" t="s">
        <v>5883</v>
      </c>
      <c r="E1092" s="116" t="s">
        <v>5884</v>
      </c>
      <c r="F1092" s="123">
        <v>42948</v>
      </c>
      <c r="G1092" s="124">
        <v>46600</v>
      </c>
      <c r="H1092" s="116">
        <v>1263.08</v>
      </c>
      <c r="I1092" s="116"/>
      <c r="K1092" s="116"/>
      <c r="M1092" s="116"/>
    </row>
    <row r="1093" spans="1:13" x14ac:dyDescent="0.25">
      <c r="A1093" s="116"/>
      <c r="B1093" s="117"/>
      <c r="C1093" s="117" t="s">
        <v>5909</v>
      </c>
      <c r="D1093" s="116" t="s">
        <v>5883</v>
      </c>
      <c r="E1093" s="116" t="s">
        <v>5884</v>
      </c>
      <c r="F1093" s="123">
        <v>42948</v>
      </c>
      <c r="G1093" s="124">
        <v>46600</v>
      </c>
      <c r="H1093" s="116">
        <v>799.92</v>
      </c>
      <c r="I1093" s="116"/>
      <c r="K1093" s="116"/>
      <c r="M1093" s="116"/>
    </row>
    <row r="1094" spans="1:13" x14ac:dyDescent="0.25">
      <c r="A1094" s="116"/>
      <c r="B1094" s="117"/>
      <c r="C1094" s="117" t="s">
        <v>5920</v>
      </c>
      <c r="D1094" s="116" t="s">
        <v>5883</v>
      </c>
      <c r="E1094" s="116" t="s">
        <v>5884</v>
      </c>
      <c r="F1094" s="123">
        <v>42948</v>
      </c>
      <c r="G1094" s="124">
        <v>46600</v>
      </c>
      <c r="H1094" s="116">
        <v>1400.84</v>
      </c>
      <c r="I1094" s="116"/>
      <c r="K1094" s="116"/>
      <c r="M1094" s="116"/>
    </row>
    <row r="1095" spans="1:13" x14ac:dyDescent="0.25">
      <c r="A1095" s="116"/>
      <c r="B1095" s="117"/>
      <c r="C1095" s="117" t="s">
        <v>5932</v>
      </c>
      <c r="D1095" s="116" t="s">
        <v>5883</v>
      </c>
      <c r="E1095" s="116" t="s">
        <v>5884</v>
      </c>
      <c r="F1095" s="123">
        <v>42948</v>
      </c>
      <c r="G1095" s="124">
        <v>46600</v>
      </c>
      <c r="H1095" s="116">
        <v>283.36</v>
      </c>
      <c r="I1095" s="116"/>
      <c r="K1095" s="116"/>
      <c r="M1095" s="116"/>
    </row>
    <row r="1096" spans="1:13" x14ac:dyDescent="0.25">
      <c r="A1096" s="116"/>
      <c r="B1096" s="117"/>
      <c r="C1096" s="117" t="s">
        <v>5442</v>
      </c>
      <c r="D1096" s="116" t="s">
        <v>528</v>
      </c>
      <c r="E1096" s="116" t="s">
        <v>198</v>
      </c>
      <c r="F1096" s="123">
        <v>43132</v>
      </c>
      <c r="G1096" s="124">
        <v>46784</v>
      </c>
      <c r="H1096" s="116">
        <v>40</v>
      </c>
      <c r="I1096" s="116"/>
      <c r="K1096" s="116"/>
      <c r="M1096" s="116"/>
    </row>
    <row r="1097" spans="1:13" x14ac:dyDescent="0.25">
      <c r="A1097" s="116"/>
      <c r="B1097" s="117"/>
      <c r="C1097" s="117" t="s">
        <v>5937</v>
      </c>
      <c r="D1097" s="116" t="s">
        <v>528</v>
      </c>
      <c r="E1097" s="116" t="s">
        <v>198</v>
      </c>
      <c r="F1097" s="123">
        <v>43132</v>
      </c>
      <c r="G1097" s="124">
        <v>46784</v>
      </c>
      <c r="H1097" s="116">
        <v>8.76</v>
      </c>
      <c r="I1097" s="116"/>
      <c r="K1097" s="116"/>
      <c r="M1097" s="116"/>
    </row>
    <row r="1098" spans="1:13" x14ac:dyDescent="0.25">
      <c r="A1098" s="116"/>
      <c r="B1098" s="117"/>
      <c r="C1098" s="117" t="s">
        <v>5938</v>
      </c>
      <c r="D1098" s="116" t="s">
        <v>2366</v>
      </c>
      <c r="E1098" s="116" t="s">
        <v>15</v>
      </c>
      <c r="F1098" s="123">
        <v>43132</v>
      </c>
      <c r="G1098" s="124">
        <v>46784</v>
      </c>
      <c r="H1098" s="116">
        <v>229.53</v>
      </c>
      <c r="I1098" s="116"/>
      <c r="K1098" s="116"/>
      <c r="M1098" s="116"/>
    </row>
    <row r="1099" spans="1:13" x14ac:dyDescent="0.25">
      <c r="A1099" s="116"/>
      <c r="B1099" s="117"/>
      <c r="C1099" s="117" t="s">
        <v>5439</v>
      </c>
      <c r="D1099" s="116" t="s">
        <v>2366</v>
      </c>
      <c r="E1099" s="116" t="s">
        <v>15</v>
      </c>
      <c r="F1099" s="123">
        <v>43132</v>
      </c>
      <c r="G1099" s="124">
        <v>46784</v>
      </c>
      <c r="H1099" s="116">
        <v>173.93</v>
      </c>
      <c r="I1099" s="116"/>
      <c r="K1099" s="116"/>
      <c r="M1099" s="116"/>
    </row>
    <row r="1100" spans="1:13" x14ac:dyDescent="0.25">
      <c r="A1100" s="116"/>
      <c r="B1100" s="117"/>
      <c r="C1100" s="117" t="s">
        <v>5440</v>
      </c>
      <c r="D1100" s="116" t="s">
        <v>237</v>
      </c>
      <c r="E1100" s="116" t="s">
        <v>15</v>
      </c>
      <c r="F1100" s="123">
        <v>43132</v>
      </c>
      <c r="G1100" s="124">
        <v>46784</v>
      </c>
      <c r="H1100" s="116">
        <v>167.77</v>
      </c>
      <c r="I1100" s="116"/>
      <c r="K1100" s="116"/>
      <c r="M1100" s="116"/>
    </row>
    <row r="1101" spans="1:13" x14ac:dyDescent="0.25">
      <c r="A1101" s="116"/>
      <c r="B1101" s="117"/>
      <c r="C1101" s="117" t="s">
        <v>5441</v>
      </c>
      <c r="D1101" s="116" t="s">
        <v>202</v>
      </c>
      <c r="E1101" s="116" t="s">
        <v>15</v>
      </c>
      <c r="F1101" s="123">
        <v>43132</v>
      </c>
      <c r="G1101" s="124">
        <v>46784</v>
      </c>
      <c r="H1101" s="116">
        <v>153</v>
      </c>
      <c r="I1101" s="116"/>
      <c r="K1101" s="116"/>
      <c r="M1101" s="116"/>
    </row>
    <row r="1102" spans="1:13" x14ac:dyDescent="0.25">
      <c r="A1102" s="116"/>
      <c r="B1102" s="117"/>
      <c r="C1102" s="117" t="s">
        <v>5435</v>
      </c>
      <c r="D1102" s="116" t="s">
        <v>5436</v>
      </c>
      <c r="E1102" s="116" t="s">
        <v>5437</v>
      </c>
      <c r="F1102" s="123">
        <v>43070</v>
      </c>
      <c r="G1102" s="124">
        <v>46722</v>
      </c>
      <c r="H1102" s="116">
        <v>81.31</v>
      </c>
      <c r="I1102" s="116"/>
      <c r="K1102" s="116"/>
      <c r="M1102" s="116"/>
    </row>
    <row r="1103" spans="1:13" x14ac:dyDescent="0.25">
      <c r="A1103" s="116"/>
      <c r="B1103" s="117"/>
      <c r="C1103" s="117" t="s">
        <v>5438</v>
      </c>
      <c r="D1103" s="116" t="s">
        <v>5436</v>
      </c>
      <c r="E1103" s="116" t="s">
        <v>5437</v>
      </c>
      <c r="F1103" s="123">
        <v>43070</v>
      </c>
      <c r="G1103" s="124">
        <v>46722</v>
      </c>
      <c r="H1103" s="116">
        <v>1217</v>
      </c>
      <c r="I1103" s="116"/>
      <c r="K1103" s="116"/>
      <c r="M1103" s="116"/>
    </row>
    <row r="1104" spans="1:13" x14ac:dyDescent="0.25">
      <c r="A1104" s="116"/>
      <c r="B1104" s="117"/>
      <c r="C1104" s="117" t="s">
        <v>5949</v>
      </c>
      <c r="D1104" s="116" t="s">
        <v>5436</v>
      </c>
      <c r="E1104" s="116" t="s">
        <v>5437</v>
      </c>
      <c r="F1104" s="123">
        <v>43070</v>
      </c>
      <c r="G1104" s="124">
        <v>46722</v>
      </c>
      <c r="H1104" s="116">
        <v>81.86</v>
      </c>
      <c r="I1104" s="116"/>
      <c r="K1104" s="116"/>
      <c r="M1104" s="116"/>
    </row>
    <row r="1105" spans="1:13" x14ac:dyDescent="0.25">
      <c r="A1105" s="116"/>
      <c r="B1105" s="117"/>
      <c r="C1105" s="117" t="s">
        <v>5952</v>
      </c>
      <c r="D1105" s="116" t="s">
        <v>5436</v>
      </c>
      <c r="E1105" s="116" t="s">
        <v>5437</v>
      </c>
      <c r="F1105" s="123">
        <v>43070</v>
      </c>
      <c r="G1105" s="124">
        <v>46722</v>
      </c>
      <c r="H1105" s="116">
        <v>451.05</v>
      </c>
      <c r="I1105" s="116"/>
      <c r="K1105" s="116"/>
      <c r="M1105" s="116"/>
    </row>
    <row r="1106" spans="1:13" x14ac:dyDescent="0.25">
      <c r="A1106" s="116"/>
      <c r="B1106" s="117"/>
      <c r="C1106" s="117" t="s">
        <v>5954</v>
      </c>
      <c r="D1106" s="116" t="s">
        <v>5436</v>
      </c>
      <c r="E1106" s="116" t="s">
        <v>5437</v>
      </c>
      <c r="F1106" s="123">
        <v>43070</v>
      </c>
      <c r="G1106" s="124">
        <v>46722</v>
      </c>
      <c r="H1106" s="116">
        <v>42.12</v>
      </c>
      <c r="I1106" s="116"/>
      <c r="K1106" s="116"/>
      <c r="M1106" s="116"/>
    </row>
    <row r="1107" spans="1:13" x14ac:dyDescent="0.25">
      <c r="A1107" s="116"/>
      <c r="B1107" s="117"/>
      <c r="C1107" s="117" t="s">
        <v>5956</v>
      </c>
      <c r="D1107" s="116" t="s">
        <v>5436</v>
      </c>
      <c r="E1107" s="116" t="s">
        <v>5437</v>
      </c>
      <c r="F1107" s="123">
        <v>43070</v>
      </c>
      <c r="G1107" s="124">
        <v>46722</v>
      </c>
      <c r="H1107" s="116">
        <v>270.55</v>
      </c>
      <c r="I1107" s="116"/>
      <c r="K1107" s="116"/>
      <c r="M1107" s="116"/>
    </row>
    <row r="1108" spans="1:13" x14ac:dyDescent="0.25">
      <c r="A1108" s="116"/>
      <c r="B1108" s="117"/>
      <c r="C1108" s="117" t="s">
        <v>5962</v>
      </c>
      <c r="D1108" s="116" t="s">
        <v>5334</v>
      </c>
      <c r="E1108" s="116" t="s">
        <v>5306</v>
      </c>
      <c r="F1108" s="123">
        <v>43040</v>
      </c>
      <c r="G1108" s="124">
        <v>46692</v>
      </c>
      <c r="H1108" s="116">
        <v>80</v>
      </c>
      <c r="I1108" s="116"/>
      <c r="K1108" s="116"/>
      <c r="M1108" s="116"/>
    </row>
    <row r="1109" spans="1:13" x14ac:dyDescent="0.25">
      <c r="A1109" s="116"/>
      <c r="B1109" s="117"/>
      <c r="C1109" s="117" t="s">
        <v>5966</v>
      </c>
      <c r="D1109" s="116" t="s">
        <v>5334</v>
      </c>
      <c r="E1109" s="116" t="s">
        <v>5306</v>
      </c>
      <c r="F1109" s="123">
        <v>43040</v>
      </c>
      <c r="G1109" s="124">
        <v>46692</v>
      </c>
      <c r="H1109" s="116">
        <v>240</v>
      </c>
      <c r="I1109" s="116"/>
      <c r="K1109" s="116"/>
      <c r="M1109" s="116"/>
    </row>
    <row r="1110" spans="1:13" x14ac:dyDescent="0.25">
      <c r="A1110" s="116"/>
      <c r="B1110" s="117"/>
      <c r="C1110" s="117" t="s">
        <v>5964</v>
      </c>
      <c r="D1110" s="116" t="s">
        <v>5334</v>
      </c>
      <c r="E1110" s="116" t="s">
        <v>5306</v>
      </c>
      <c r="F1110" s="123">
        <v>43040</v>
      </c>
      <c r="G1110" s="124">
        <v>46692</v>
      </c>
      <c r="H1110" s="116">
        <v>120</v>
      </c>
      <c r="I1110" s="116"/>
      <c r="K1110" s="116"/>
      <c r="M1110" s="116"/>
    </row>
    <row r="1111" spans="1:13" x14ac:dyDescent="0.25">
      <c r="A1111" s="116"/>
      <c r="B1111" s="117"/>
      <c r="C1111" s="117" t="s">
        <v>5968</v>
      </c>
      <c r="D1111" s="116" t="s">
        <v>5334</v>
      </c>
      <c r="E1111" s="116" t="s">
        <v>5306</v>
      </c>
      <c r="F1111" s="123">
        <v>43040</v>
      </c>
      <c r="G1111" s="124">
        <v>46692</v>
      </c>
      <c r="H1111" s="116">
        <v>40</v>
      </c>
      <c r="I1111" s="116"/>
      <c r="K1111" s="116"/>
      <c r="M1111" s="116"/>
    </row>
    <row r="1112" spans="1:13" x14ac:dyDescent="0.25">
      <c r="A1112" s="116"/>
      <c r="B1112" s="117"/>
      <c r="C1112" s="117" t="s">
        <v>5970</v>
      </c>
      <c r="D1112" s="116" t="s">
        <v>6188</v>
      </c>
      <c r="E1112" s="116" t="s">
        <v>6189</v>
      </c>
      <c r="F1112" s="123">
        <v>43040</v>
      </c>
      <c r="G1112" s="124">
        <v>46692</v>
      </c>
      <c r="H1112" s="116">
        <v>320</v>
      </c>
      <c r="I1112" s="116"/>
      <c r="K1112" s="116"/>
      <c r="M1112" s="116"/>
    </row>
    <row r="1113" spans="1:13" x14ac:dyDescent="0.25">
      <c r="A1113" s="116"/>
      <c r="B1113" s="117"/>
      <c r="C1113" s="117" t="s">
        <v>5972</v>
      </c>
      <c r="D1113" s="116" t="s">
        <v>5334</v>
      </c>
      <c r="E1113" s="116" t="s">
        <v>6189</v>
      </c>
      <c r="F1113" s="123">
        <v>43040</v>
      </c>
      <c r="G1113" s="124">
        <v>46692</v>
      </c>
      <c r="H1113" s="116">
        <v>80</v>
      </c>
      <c r="I1113" s="116"/>
      <c r="K1113" s="116"/>
      <c r="M1113" s="116"/>
    </row>
    <row r="1114" spans="1:13" x14ac:dyDescent="0.25">
      <c r="A1114" s="116"/>
      <c r="B1114" s="117"/>
      <c r="C1114" s="117" t="s">
        <v>5974</v>
      </c>
      <c r="D1114" s="116" t="s">
        <v>5334</v>
      </c>
      <c r="E1114" s="116" t="s">
        <v>5306</v>
      </c>
      <c r="F1114" s="123">
        <v>43040</v>
      </c>
      <c r="G1114" s="124">
        <v>46692</v>
      </c>
      <c r="H1114" s="116">
        <v>605.6</v>
      </c>
      <c r="I1114" s="116"/>
      <c r="K1114" s="116"/>
      <c r="M1114" s="116"/>
    </row>
    <row r="1115" spans="1:13" x14ac:dyDescent="0.25">
      <c r="A1115" s="116"/>
      <c r="B1115" s="117"/>
      <c r="C1115" s="117" t="s">
        <v>5976</v>
      </c>
      <c r="D1115" s="116" t="s">
        <v>5334</v>
      </c>
      <c r="E1115" s="116" t="s">
        <v>5306</v>
      </c>
      <c r="F1115" s="123">
        <v>43040</v>
      </c>
      <c r="G1115" s="124">
        <v>46692</v>
      </c>
      <c r="H1115" s="116">
        <v>640</v>
      </c>
      <c r="I1115" s="116"/>
      <c r="K1115" s="116"/>
      <c r="M1115" s="116"/>
    </row>
    <row r="1116" spans="1:13" x14ac:dyDescent="0.25">
      <c r="A1116" s="116"/>
      <c r="B1116" s="117"/>
      <c r="C1116" s="117" t="s">
        <v>5978</v>
      </c>
      <c r="D1116" s="116" t="s">
        <v>5334</v>
      </c>
      <c r="E1116" s="116" t="s">
        <v>5306</v>
      </c>
      <c r="F1116" s="123">
        <v>43040</v>
      </c>
      <c r="G1116" s="124">
        <v>46692</v>
      </c>
      <c r="H1116" s="116">
        <v>640</v>
      </c>
      <c r="I1116" s="116"/>
      <c r="K1116" s="116"/>
      <c r="M1116" s="116"/>
    </row>
    <row r="1117" spans="1:13" x14ac:dyDescent="0.25">
      <c r="A1117" s="116"/>
      <c r="B1117" s="117"/>
      <c r="C1117" s="117" t="s">
        <v>5959</v>
      </c>
      <c r="D1117" s="116" t="s">
        <v>5436</v>
      </c>
      <c r="E1117" s="116" t="s">
        <v>5437</v>
      </c>
      <c r="F1117" s="123">
        <v>43070</v>
      </c>
      <c r="G1117" s="124">
        <v>46722</v>
      </c>
      <c r="H1117" s="116">
        <v>80</v>
      </c>
      <c r="I1117" s="116"/>
      <c r="K1117" s="116"/>
      <c r="M1117" s="116"/>
    </row>
    <row r="1118" spans="1:13" x14ac:dyDescent="0.25">
      <c r="A1118" s="116"/>
      <c r="B1118" s="117"/>
      <c r="C1118" s="117" t="s">
        <v>5980</v>
      </c>
      <c r="D1118" s="116" t="s">
        <v>5334</v>
      </c>
      <c r="E1118" s="116" t="s">
        <v>5306</v>
      </c>
      <c r="F1118" s="123">
        <v>43040</v>
      </c>
      <c r="G1118" s="124">
        <v>46692</v>
      </c>
      <c r="H1118" s="116">
        <v>640</v>
      </c>
      <c r="I1118" s="116"/>
      <c r="K1118" s="116"/>
      <c r="M1118" s="116"/>
    </row>
    <row r="1119" spans="1:13" x14ac:dyDescent="0.25">
      <c r="A1119" s="116"/>
      <c r="B1119" s="117"/>
      <c r="C1119" s="117" t="s">
        <v>5982</v>
      </c>
      <c r="D1119" s="116" t="s">
        <v>5334</v>
      </c>
      <c r="E1119" s="116" t="s">
        <v>5306</v>
      </c>
      <c r="F1119" s="123">
        <v>43040</v>
      </c>
      <c r="G1119" s="124">
        <v>46692</v>
      </c>
      <c r="H1119" s="116">
        <v>151.52000000000001</v>
      </c>
      <c r="I1119" s="116"/>
      <c r="K1119" s="116"/>
      <c r="M1119" s="116"/>
    </row>
    <row r="1120" spans="1:13" x14ac:dyDescent="0.25">
      <c r="A1120" s="116"/>
      <c r="B1120" s="117"/>
      <c r="C1120" s="117" t="s">
        <v>5984</v>
      </c>
      <c r="D1120" s="116" t="s">
        <v>5334</v>
      </c>
      <c r="E1120" s="116" t="s">
        <v>5306</v>
      </c>
      <c r="F1120" s="123">
        <v>43040</v>
      </c>
      <c r="G1120" s="124">
        <v>46692</v>
      </c>
      <c r="H1120" s="116">
        <v>638.16999999999996</v>
      </c>
      <c r="I1120" s="116"/>
      <c r="K1120" s="116"/>
      <c r="M1120" s="116"/>
    </row>
    <row r="1121" spans="1:13" x14ac:dyDescent="0.25">
      <c r="A1121" s="116"/>
      <c r="B1121" s="117"/>
      <c r="C1121" s="117" t="s">
        <v>5986</v>
      </c>
      <c r="D1121" s="116" t="s">
        <v>5987</v>
      </c>
      <c r="E1121" s="116" t="s">
        <v>5460</v>
      </c>
      <c r="F1121" s="123">
        <v>42948</v>
      </c>
      <c r="G1121" s="124">
        <v>46600</v>
      </c>
      <c r="H1121" s="116">
        <v>200</v>
      </c>
      <c r="I1121" s="116"/>
      <c r="K1121" s="116"/>
      <c r="M1121" s="116"/>
    </row>
    <row r="1122" spans="1:13" x14ac:dyDescent="0.25">
      <c r="A1122" s="116"/>
      <c r="B1122" s="117"/>
      <c r="C1122" s="117" t="s">
        <v>5990</v>
      </c>
      <c r="D1122" s="116" t="s">
        <v>5987</v>
      </c>
      <c r="E1122" s="116" t="s">
        <v>5460</v>
      </c>
      <c r="F1122" s="123">
        <v>42948</v>
      </c>
      <c r="G1122" s="124">
        <v>46600</v>
      </c>
      <c r="H1122" s="116">
        <v>346.74</v>
      </c>
      <c r="I1122" s="116"/>
      <c r="K1122" s="116"/>
      <c r="M1122" s="116"/>
    </row>
    <row r="1123" spans="1:13" x14ac:dyDescent="0.25">
      <c r="A1123" s="116"/>
      <c r="B1123" s="117"/>
      <c r="C1123" s="117" t="s">
        <v>5992</v>
      </c>
      <c r="D1123" s="116" t="s">
        <v>5987</v>
      </c>
      <c r="E1123" s="116" t="s">
        <v>5460</v>
      </c>
      <c r="F1123" s="123">
        <v>42948</v>
      </c>
      <c r="G1123" s="124">
        <v>46600</v>
      </c>
      <c r="H1123" s="116">
        <v>200</v>
      </c>
      <c r="I1123" s="116"/>
      <c r="K1123" s="116"/>
      <c r="M1123" s="116"/>
    </row>
    <row r="1124" spans="1:13" x14ac:dyDescent="0.25">
      <c r="A1124" s="116"/>
      <c r="B1124" s="117"/>
      <c r="C1124" s="117" t="s">
        <v>5994</v>
      </c>
      <c r="D1124" s="116" t="s">
        <v>5987</v>
      </c>
      <c r="E1124" s="116" t="s">
        <v>5460</v>
      </c>
      <c r="F1124" s="123">
        <v>42948</v>
      </c>
      <c r="G1124" s="124">
        <v>46600</v>
      </c>
      <c r="H1124" s="116">
        <v>1482.76</v>
      </c>
      <c r="I1124" s="116"/>
      <c r="K1124" s="116"/>
      <c r="M1124" s="116"/>
    </row>
    <row r="1125" spans="1:13" x14ac:dyDescent="0.25">
      <c r="A1125" s="116"/>
      <c r="B1125" s="117"/>
      <c r="C1125" s="117" t="s">
        <v>5997</v>
      </c>
      <c r="D1125" s="116" t="s">
        <v>5987</v>
      </c>
      <c r="E1125" s="116" t="s">
        <v>5460</v>
      </c>
      <c r="F1125" s="123">
        <v>42948</v>
      </c>
      <c r="G1125" s="124">
        <v>46600</v>
      </c>
      <c r="H1125" s="116">
        <v>2032.52</v>
      </c>
      <c r="I1125" s="116"/>
      <c r="K1125" s="116"/>
      <c r="M1125" s="116"/>
    </row>
    <row r="1126" spans="1:13" x14ac:dyDescent="0.25">
      <c r="A1126" s="116"/>
      <c r="B1126" s="117"/>
      <c r="C1126" s="117" t="s">
        <v>5999</v>
      </c>
      <c r="D1126" s="116" t="s">
        <v>5987</v>
      </c>
      <c r="E1126" s="116" t="s">
        <v>5460</v>
      </c>
      <c r="F1126" s="123">
        <v>42948</v>
      </c>
      <c r="G1126" s="124">
        <v>46600</v>
      </c>
      <c r="H1126" s="116">
        <v>677.6</v>
      </c>
      <c r="I1126" s="116"/>
      <c r="K1126" s="116"/>
      <c r="M1126" s="116"/>
    </row>
    <row r="1127" spans="1:13" x14ac:dyDescent="0.25">
      <c r="A1127" s="116"/>
      <c r="B1127" s="117"/>
      <c r="C1127" s="117" t="s">
        <v>6001</v>
      </c>
      <c r="D1127" s="116" t="s">
        <v>6002</v>
      </c>
      <c r="E1127" s="116" t="s">
        <v>5460</v>
      </c>
      <c r="F1127" s="123">
        <v>42948</v>
      </c>
      <c r="G1127" s="124">
        <v>46600</v>
      </c>
      <c r="H1127" s="116">
        <v>1239.2</v>
      </c>
      <c r="I1127" s="116"/>
      <c r="K1127" s="116"/>
      <c r="M1127" s="116"/>
    </row>
    <row r="1128" spans="1:13" x14ac:dyDescent="0.25">
      <c r="A1128" s="116"/>
      <c r="B1128" s="117"/>
      <c r="C1128" s="117" t="s">
        <v>6005</v>
      </c>
      <c r="D1128" s="116" t="s">
        <v>6002</v>
      </c>
      <c r="E1128" s="116" t="s">
        <v>5460</v>
      </c>
      <c r="F1128" s="123">
        <v>42948</v>
      </c>
      <c r="G1128" s="124">
        <v>46600</v>
      </c>
      <c r="H1128" s="116">
        <v>1300.17</v>
      </c>
      <c r="I1128" s="116"/>
      <c r="K1128" s="116"/>
      <c r="M1128" s="116"/>
    </row>
    <row r="1129" spans="1:13" x14ac:dyDescent="0.25">
      <c r="A1129" s="116"/>
      <c r="B1129" s="117"/>
      <c r="C1129" s="117" t="s">
        <v>6008</v>
      </c>
      <c r="D1129" s="116" t="s">
        <v>6190</v>
      </c>
      <c r="E1129" s="116" t="s">
        <v>79</v>
      </c>
      <c r="F1129" s="123">
        <v>43070</v>
      </c>
      <c r="G1129" s="124">
        <v>46722</v>
      </c>
      <c r="H1129" s="116">
        <v>8.25</v>
      </c>
      <c r="I1129" s="116"/>
      <c r="K1129" s="116"/>
      <c r="M1129" s="116"/>
    </row>
    <row r="1130" spans="1:13" x14ac:dyDescent="0.25">
      <c r="A1130" s="116"/>
      <c r="B1130" s="117"/>
      <c r="C1130" s="117" t="s">
        <v>6012</v>
      </c>
      <c r="D1130" s="116" t="s">
        <v>6010</v>
      </c>
      <c r="E1130" s="116" t="s">
        <v>79</v>
      </c>
      <c r="F1130" s="123">
        <v>43070</v>
      </c>
      <c r="G1130" s="124">
        <v>46722</v>
      </c>
      <c r="H1130" s="116">
        <v>2</v>
      </c>
      <c r="I1130" s="116"/>
      <c r="K1130" s="116"/>
      <c r="M1130" s="116"/>
    </row>
    <row r="1131" spans="1:13" x14ac:dyDescent="0.25">
      <c r="A1131" s="116"/>
      <c r="B1131" s="117"/>
      <c r="C1131" s="117" t="s">
        <v>6014</v>
      </c>
      <c r="D1131" s="116" t="s">
        <v>4141</v>
      </c>
      <c r="E1131" s="116" t="s">
        <v>79</v>
      </c>
      <c r="F1131" s="123">
        <v>43132</v>
      </c>
      <c r="G1131" s="124">
        <v>46784</v>
      </c>
      <c r="H1131" s="116">
        <v>509.67</v>
      </c>
      <c r="I1131" s="116"/>
      <c r="K1131" s="116"/>
      <c r="M1131" s="116"/>
    </row>
    <row r="1132" spans="1:13" x14ac:dyDescent="0.25">
      <c r="A1132" s="116"/>
      <c r="B1132" s="117"/>
      <c r="C1132" s="117" t="s">
        <v>6025</v>
      </c>
      <c r="D1132" s="116" t="s">
        <v>6022</v>
      </c>
      <c r="E1132" s="116" t="s">
        <v>5884</v>
      </c>
      <c r="F1132" s="123">
        <v>43191</v>
      </c>
      <c r="G1132" s="124">
        <v>46844</v>
      </c>
      <c r="H1132" s="116">
        <v>640</v>
      </c>
      <c r="I1132" s="116"/>
      <c r="K1132" s="116"/>
      <c r="M1132" s="116"/>
    </row>
    <row r="1133" spans="1:13" x14ac:dyDescent="0.25">
      <c r="A1133" s="116"/>
      <c r="B1133" s="117"/>
      <c r="C1133" s="117" t="s">
        <v>6028</v>
      </c>
      <c r="D1133" s="116" t="s">
        <v>6022</v>
      </c>
      <c r="E1133" s="116" t="s">
        <v>5884</v>
      </c>
      <c r="F1133" s="123">
        <v>43191</v>
      </c>
      <c r="G1133" s="124">
        <v>46844</v>
      </c>
      <c r="H1133" s="116">
        <v>360</v>
      </c>
      <c r="I1133" s="116"/>
      <c r="K1133" s="116"/>
      <c r="M1133" s="116"/>
    </row>
    <row r="1134" spans="1:13" x14ac:dyDescent="0.25">
      <c r="A1134" s="116"/>
      <c r="B1134" s="117"/>
      <c r="C1134" s="117" t="s">
        <v>6031</v>
      </c>
      <c r="D1134" s="116" t="s">
        <v>2747</v>
      </c>
      <c r="E1134" s="116" t="s">
        <v>2748</v>
      </c>
      <c r="F1134" s="123">
        <v>43221</v>
      </c>
      <c r="G1134" s="124">
        <v>46874</v>
      </c>
      <c r="H1134" s="116">
        <v>39.65</v>
      </c>
      <c r="I1134" s="116"/>
      <c r="K1134" s="116"/>
      <c r="M1134" s="116"/>
    </row>
    <row r="1135" spans="1:13" x14ac:dyDescent="0.25">
      <c r="A1135" s="116"/>
      <c r="B1135" s="117"/>
      <c r="C1135" s="117" t="s">
        <v>6034</v>
      </c>
      <c r="D1135" s="116" t="s">
        <v>6191</v>
      </c>
      <c r="E1135" s="116" t="s">
        <v>2748</v>
      </c>
      <c r="F1135" s="123">
        <v>43221</v>
      </c>
      <c r="G1135" s="124">
        <v>46874</v>
      </c>
      <c r="H1135" s="116">
        <v>305.83999999999997</v>
      </c>
      <c r="I1135" s="116"/>
      <c r="K1135" s="116"/>
      <c r="M1135" s="116"/>
    </row>
    <row r="1136" spans="1:13" x14ac:dyDescent="0.25">
      <c r="A1136" s="116"/>
      <c r="B1136" s="117"/>
      <c r="C1136" s="117" t="s">
        <v>6036</v>
      </c>
      <c r="D1136" s="116" t="s">
        <v>5436</v>
      </c>
      <c r="E1136" s="116" t="s">
        <v>5437</v>
      </c>
      <c r="F1136" s="123">
        <v>43252</v>
      </c>
      <c r="G1136" s="124">
        <v>46905</v>
      </c>
      <c r="H1136" s="116">
        <v>83.67</v>
      </c>
      <c r="I1136" s="116"/>
      <c r="K1136" s="116"/>
      <c r="M1136" s="116"/>
    </row>
    <row r="1137" spans="1:13" x14ac:dyDescent="0.25">
      <c r="A1137" s="116"/>
      <c r="B1137" s="117"/>
      <c r="C1137" s="117" t="s">
        <v>6040</v>
      </c>
      <c r="D1137" s="116" t="s">
        <v>5436</v>
      </c>
      <c r="E1137" s="116" t="s">
        <v>5437</v>
      </c>
      <c r="F1137" s="123">
        <v>43252</v>
      </c>
      <c r="G1137" s="124">
        <v>46905</v>
      </c>
      <c r="H1137" s="116">
        <v>326.75</v>
      </c>
      <c r="I1137" s="116"/>
      <c r="K1137" s="116"/>
      <c r="M1137" s="116"/>
    </row>
    <row r="1138" spans="1:13" x14ac:dyDescent="0.25">
      <c r="A1138" s="116"/>
      <c r="B1138" s="117"/>
      <c r="C1138" s="117" t="s">
        <v>6044</v>
      </c>
      <c r="D1138" s="116" t="s">
        <v>5436</v>
      </c>
      <c r="E1138" s="116" t="s">
        <v>5437</v>
      </c>
      <c r="F1138" s="123">
        <v>43252</v>
      </c>
      <c r="G1138" s="124">
        <v>46905</v>
      </c>
      <c r="H1138" s="116">
        <v>156.38</v>
      </c>
      <c r="I1138" s="116"/>
      <c r="K1138" s="116"/>
      <c r="M1138" s="116"/>
    </row>
    <row r="1139" spans="1:13" x14ac:dyDescent="0.25">
      <c r="A1139" s="116"/>
      <c r="B1139" s="117"/>
      <c r="C1139" s="117" t="s">
        <v>6047</v>
      </c>
      <c r="D1139" s="116" t="s">
        <v>5436</v>
      </c>
      <c r="E1139" s="116" t="s">
        <v>5437</v>
      </c>
      <c r="F1139" s="123">
        <v>43252</v>
      </c>
      <c r="G1139" s="124">
        <v>46905</v>
      </c>
      <c r="H1139" s="116">
        <v>866.8</v>
      </c>
      <c r="I1139" s="116"/>
      <c r="K1139" s="116"/>
      <c r="M1139" s="116"/>
    </row>
    <row r="1140" spans="1:13" x14ac:dyDescent="0.25">
      <c r="A1140" s="116"/>
      <c r="B1140" s="117"/>
      <c r="C1140" s="117" t="s">
        <v>6049</v>
      </c>
      <c r="D1140" s="116" t="s">
        <v>5436</v>
      </c>
      <c r="E1140" s="116" t="s">
        <v>5437</v>
      </c>
      <c r="F1140" s="123">
        <v>43252</v>
      </c>
      <c r="G1140" s="124">
        <v>46905</v>
      </c>
      <c r="H1140" s="116">
        <v>428.66</v>
      </c>
      <c r="I1140" s="116"/>
      <c r="K1140" s="116"/>
      <c r="M1140" s="116"/>
    </row>
    <row r="1141" spans="1:13" x14ac:dyDescent="0.25">
      <c r="A1141" s="116"/>
      <c r="B1141" s="117"/>
      <c r="C1141" s="117" t="s">
        <v>6052</v>
      </c>
      <c r="D1141" s="116" t="s">
        <v>5436</v>
      </c>
      <c r="E1141" s="116" t="s">
        <v>5437</v>
      </c>
      <c r="F1141" s="123">
        <v>43252</v>
      </c>
      <c r="G1141" s="124">
        <v>46905</v>
      </c>
      <c r="H1141" s="116">
        <v>630.52</v>
      </c>
      <c r="I1141" s="116"/>
      <c r="K1141" s="116"/>
      <c r="M1141" s="116"/>
    </row>
    <row r="1142" spans="1:13" x14ac:dyDescent="0.25">
      <c r="A1142" s="116"/>
      <c r="B1142" s="117"/>
      <c r="C1142" s="117" t="s">
        <v>6054</v>
      </c>
      <c r="D1142" s="116" t="s">
        <v>5436</v>
      </c>
      <c r="E1142" s="116" t="s">
        <v>5437</v>
      </c>
      <c r="F1142" s="123">
        <v>43252</v>
      </c>
      <c r="G1142" s="124">
        <v>46905</v>
      </c>
      <c r="H1142" s="116">
        <v>160.16999999999999</v>
      </c>
      <c r="I1142" s="116"/>
      <c r="K1142" s="116"/>
      <c r="M1142" s="116"/>
    </row>
    <row r="1143" spans="1:13" x14ac:dyDescent="0.25">
      <c r="A1143" s="116"/>
      <c r="B1143" s="117"/>
      <c r="C1143" s="117" t="s">
        <v>6057</v>
      </c>
      <c r="D1143" s="116" t="s">
        <v>5436</v>
      </c>
      <c r="E1143" s="116" t="s">
        <v>5437</v>
      </c>
      <c r="F1143" s="123">
        <v>43252</v>
      </c>
      <c r="G1143" s="124">
        <v>46905</v>
      </c>
      <c r="H1143" s="116">
        <v>81.12</v>
      </c>
      <c r="I1143" s="116"/>
      <c r="K1143" s="116"/>
      <c r="M1143" s="116"/>
    </row>
    <row r="1144" spans="1:13" x14ac:dyDescent="0.25">
      <c r="A1144" s="116"/>
      <c r="B1144" s="117"/>
      <c r="C1144" s="117" t="s">
        <v>6059</v>
      </c>
      <c r="D1144" s="116" t="s">
        <v>5436</v>
      </c>
      <c r="E1144" s="116" t="s">
        <v>5437</v>
      </c>
      <c r="F1144" s="123">
        <v>43252</v>
      </c>
      <c r="G1144" s="124">
        <v>46905</v>
      </c>
      <c r="H1144" s="116">
        <v>444.51</v>
      </c>
      <c r="I1144" s="116"/>
      <c r="K1144" s="116"/>
      <c r="M1144" s="116"/>
    </row>
    <row r="1145" spans="1:13" x14ac:dyDescent="0.25">
      <c r="A1145" s="116"/>
      <c r="B1145" s="117"/>
      <c r="C1145" s="117" t="s">
        <v>6061</v>
      </c>
      <c r="D1145" s="116" t="s">
        <v>6192</v>
      </c>
      <c r="E1145" s="116" t="s">
        <v>5437</v>
      </c>
      <c r="F1145" s="123">
        <v>43252</v>
      </c>
      <c r="G1145" s="124">
        <v>46905</v>
      </c>
      <c r="H1145" s="116">
        <v>320</v>
      </c>
      <c r="I1145" s="116"/>
      <c r="K1145" s="116"/>
      <c r="M1145" s="116"/>
    </row>
    <row r="1146" spans="1:13" x14ac:dyDescent="0.25">
      <c r="A1146" s="116"/>
      <c r="B1146" s="117"/>
      <c r="C1146" s="117" t="s">
        <v>6066</v>
      </c>
      <c r="D1146" s="116" t="s">
        <v>892</v>
      </c>
      <c r="E1146" s="116" t="s">
        <v>512</v>
      </c>
      <c r="F1146" s="123">
        <v>43191</v>
      </c>
      <c r="G1146" s="124">
        <v>46844</v>
      </c>
      <c r="H1146" s="116">
        <v>320</v>
      </c>
      <c r="I1146" s="116"/>
      <c r="K1146" s="116"/>
      <c r="M1146" s="116"/>
    </row>
    <row r="1147" spans="1:13" x14ac:dyDescent="0.25">
      <c r="A1147" s="116"/>
      <c r="B1147" s="117"/>
      <c r="C1147" s="117" t="s">
        <v>6069</v>
      </c>
      <c r="D1147" s="116" t="s">
        <v>892</v>
      </c>
      <c r="E1147" s="116" t="s">
        <v>512</v>
      </c>
      <c r="F1147" s="123">
        <v>43191</v>
      </c>
      <c r="G1147" s="124">
        <v>46844</v>
      </c>
      <c r="H1147" s="116">
        <v>120</v>
      </c>
      <c r="I1147" s="116"/>
      <c r="K1147" s="116"/>
      <c r="M1147" s="116"/>
    </row>
    <row r="1148" spans="1:13" x14ac:dyDescent="0.25">
      <c r="A1148" s="116"/>
      <c r="B1148" s="117"/>
      <c r="C1148" s="117" t="s">
        <v>6072</v>
      </c>
      <c r="D1148" s="116" t="s">
        <v>892</v>
      </c>
      <c r="E1148" s="116" t="s">
        <v>512</v>
      </c>
      <c r="F1148" s="123">
        <v>43191</v>
      </c>
      <c r="G1148" s="124">
        <v>46844</v>
      </c>
      <c r="H1148" s="116">
        <v>40</v>
      </c>
      <c r="I1148" s="116"/>
      <c r="K1148" s="116"/>
      <c r="M1148" s="116"/>
    </row>
    <row r="1149" spans="1:13" x14ac:dyDescent="0.25">
      <c r="A1149" s="116"/>
      <c r="B1149" s="117"/>
      <c r="C1149" s="117" t="s">
        <v>6073</v>
      </c>
      <c r="D1149" s="116" t="s">
        <v>892</v>
      </c>
      <c r="E1149" s="116" t="s">
        <v>512</v>
      </c>
      <c r="F1149" s="123">
        <v>43191</v>
      </c>
      <c r="G1149" s="124">
        <v>46844</v>
      </c>
      <c r="H1149" s="116">
        <v>320.05</v>
      </c>
      <c r="I1149" s="116"/>
      <c r="K1149" s="116"/>
      <c r="M1149" s="116"/>
    </row>
    <row r="1150" spans="1:13" x14ac:dyDescent="0.25">
      <c r="A1150" s="116"/>
      <c r="B1150" s="117"/>
      <c r="C1150" s="117" t="s">
        <v>6075</v>
      </c>
      <c r="D1150" s="116" t="s">
        <v>899</v>
      </c>
      <c r="E1150" s="116" t="s">
        <v>512</v>
      </c>
      <c r="F1150" s="123">
        <v>43191</v>
      </c>
      <c r="G1150" s="124">
        <v>46844</v>
      </c>
      <c r="H1150" s="116">
        <v>80</v>
      </c>
      <c r="I1150" s="116"/>
      <c r="K1150" s="116"/>
      <c r="M1150" s="116"/>
    </row>
    <row r="1151" spans="1:13" x14ac:dyDescent="0.25">
      <c r="A1151" s="116"/>
      <c r="B1151" s="117"/>
      <c r="C1151" s="117" t="s">
        <v>6078</v>
      </c>
      <c r="D1151" s="116" t="s">
        <v>899</v>
      </c>
      <c r="E1151" s="116" t="s">
        <v>512</v>
      </c>
      <c r="F1151" s="123">
        <v>43191</v>
      </c>
      <c r="G1151" s="124">
        <v>46844</v>
      </c>
      <c r="H1151" s="116">
        <v>160</v>
      </c>
      <c r="I1151" s="116"/>
      <c r="K1151" s="116"/>
      <c r="M1151" s="116"/>
    </row>
    <row r="1152" spans="1:13" x14ac:dyDescent="0.25">
      <c r="A1152" s="116"/>
      <c r="B1152" s="117"/>
      <c r="C1152" s="117" t="s">
        <v>6081</v>
      </c>
      <c r="D1152" s="116" t="s">
        <v>899</v>
      </c>
      <c r="E1152" s="116" t="s">
        <v>512</v>
      </c>
      <c r="F1152" s="123">
        <v>43191</v>
      </c>
      <c r="G1152" s="124">
        <v>46844</v>
      </c>
      <c r="H1152" s="116">
        <v>240</v>
      </c>
      <c r="I1152" s="116"/>
      <c r="K1152" s="116"/>
      <c r="M1152" s="116"/>
    </row>
    <row r="1153" spans="1:13" x14ac:dyDescent="0.25">
      <c r="A1153" s="116"/>
      <c r="B1153" s="117"/>
      <c r="C1153" s="117" t="s">
        <v>6082</v>
      </c>
      <c r="D1153" s="116" t="s">
        <v>899</v>
      </c>
      <c r="E1153" s="116" t="s">
        <v>512</v>
      </c>
      <c r="F1153" s="123">
        <v>43191</v>
      </c>
      <c r="G1153" s="124">
        <v>46844</v>
      </c>
      <c r="H1153" s="116">
        <v>200</v>
      </c>
      <c r="I1153" s="116"/>
      <c r="K1153" s="116"/>
      <c r="M1153" s="116"/>
    </row>
    <row r="1154" spans="1:13" x14ac:dyDescent="0.25">
      <c r="A1154" s="116"/>
      <c r="B1154" s="117"/>
      <c r="C1154" s="117" t="s">
        <v>6084</v>
      </c>
      <c r="D1154" s="116" t="s">
        <v>899</v>
      </c>
      <c r="E1154" s="116" t="s">
        <v>512</v>
      </c>
      <c r="F1154" s="123">
        <v>43191</v>
      </c>
      <c r="G1154" s="124">
        <v>46844</v>
      </c>
      <c r="H1154" s="116">
        <v>320</v>
      </c>
      <c r="I1154" s="116"/>
      <c r="K1154" s="116"/>
      <c r="M1154" s="116"/>
    </row>
    <row r="1155" spans="1:13" x14ac:dyDescent="0.25">
      <c r="A1155" s="116"/>
      <c r="B1155" s="117"/>
      <c r="C1155" s="117" t="s">
        <v>6085</v>
      </c>
      <c r="D1155" s="116" t="s">
        <v>899</v>
      </c>
      <c r="E1155" s="116" t="s">
        <v>512</v>
      </c>
      <c r="F1155" s="123">
        <v>43191</v>
      </c>
      <c r="G1155" s="124">
        <v>46844</v>
      </c>
      <c r="H1155" s="116">
        <v>376.15</v>
      </c>
      <c r="I1155" s="116"/>
      <c r="K1155" s="116"/>
      <c r="M1155" s="116"/>
    </row>
    <row r="1156" spans="1:13" x14ac:dyDescent="0.25">
      <c r="A1156" s="116"/>
      <c r="B1156" s="117"/>
      <c r="C1156" s="117" t="s">
        <v>6086</v>
      </c>
      <c r="D1156" s="116" t="s">
        <v>899</v>
      </c>
      <c r="E1156" s="116" t="s">
        <v>512</v>
      </c>
      <c r="F1156" s="123">
        <v>43191</v>
      </c>
      <c r="G1156" s="124">
        <v>46844</v>
      </c>
      <c r="H1156" s="116">
        <v>275.8</v>
      </c>
      <c r="I1156" s="116"/>
      <c r="K1156" s="116"/>
      <c r="M1156" s="116"/>
    </row>
    <row r="1157" spans="1:13" x14ac:dyDescent="0.25">
      <c r="A1157" s="116"/>
      <c r="B1157" s="117"/>
      <c r="C1157" s="117" t="s">
        <v>6087</v>
      </c>
      <c r="D1157" s="116" t="s">
        <v>6088</v>
      </c>
      <c r="E1157" s="116" t="s">
        <v>5622</v>
      </c>
      <c r="F1157" s="123">
        <v>43221</v>
      </c>
      <c r="G1157" s="124">
        <v>46874</v>
      </c>
      <c r="H1157" s="116">
        <v>480</v>
      </c>
      <c r="I1157" s="116"/>
      <c r="K1157" s="116"/>
      <c r="M1157" s="116"/>
    </row>
    <row r="1158" spans="1:13" x14ac:dyDescent="0.25">
      <c r="A1158" s="116"/>
      <c r="B1158" s="117"/>
      <c r="C1158" s="117" t="s">
        <v>6091</v>
      </c>
      <c r="D1158" s="116" t="s">
        <v>6088</v>
      </c>
      <c r="E1158" s="116" t="s">
        <v>5622</v>
      </c>
      <c r="F1158" s="123">
        <v>43221</v>
      </c>
      <c r="G1158" s="124">
        <v>46874</v>
      </c>
      <c r="H1158" s="116">
        <v>160</v>
      </c>
      <c r="I1158" s="116"/>
      <c r="K1158" s="116"/>
      <c r="M1158" s="116"/>
    </row>
    <row r="1159" spans="1:13" x14ac:dyDescent="0.25">
      <c r="A1159" s="116"/>
      <c r="B1159" s="117"/>
      <c r="C1159" s="117" t="s">
        <v>6093</v>
      </c>
      <c r="D1159" s="116" t="s">
        <v>6088</v>
      </c>
      <c r="E1159" s="116" t="s">
        <v>5622</v>
      </c>
      <c r="F1159" s="123">
        <v>43221</v>
      </c>
      <c r="G1159" s="124">
        <v>46874</v>
      </c>
      <c r="H1159" s="116">
        <v>160</v>
      </c>
      <c r="I1159" s="116"/>
      <c r="K1159" s="116"/>
      <c r="M1159" s="116"/>
    </row>
    <row r="1160" spans="1:13" x14ac:dyDescent="0.25">
      <c r="A1160" s="116"/>
      <c r="B1160" s="117"/>
      <c r="C1160" s="117" t="s">
        <v>6095</v>
      </c>
      <c r="D1160" s="116" t="s">
        <v>6088</v>
      </c>
      <c r="E1160" s="116" t="s">
        <v>5622</v>
      </c>
      <c r="F1160" s="123">
        <v>43221</v>
      </c>
      <c r="G1160" s="124">
        <v>46874</v>
      </c>
      <c r="H1160" s="116">
        <v>160</v>
      </c>
      <c r="I1160" s="116"/>
      <c r="K1160" s="116"/>
      <c r="M1160" s="116"/>
    </row>
    <row r="1161" spans="1:13" x14ac:dyDescent="0.25">
      <c r="A1161" s="116"/>
      <c r="B1161" s="117"/>
      <c r="C1161" s="117" t="s">
        <v>6097</v>
      </c>
      <c r="D1161" s="116" t="s">
        <v>6088</v>
      </c>
      <c r="E1161" s="116" t="s">
        <v>5622</v>
      </c>
      <c r="F1161" s="123">
        <v>43221</v>
      </c>
      <c r="G1161" s="124">
        <v>46874</v>
      </c>
      <c r="H1161" s="116">
        <v>640</v>
      </c>
      <c r="I1161" s="116"/>
      <c r="K1161" s="116"/>
      <c r="M1161" s="116"/>
    </row>
    <row r="1162" spans="1:13" x14ac:dyDescent="0.25">
      <c r="A1162" s="116"/>
      <c r="B1162" s="117"/>
      <c r="C1162" s="117" t="s">
        <v>6099</v>
      </c>
      <c r="D1162" s="116" t="s">
        <v>6088</v>
      </c>
      <c r="E1162" s="116" t="s">
        <v>5622</v>
      </c>
      <c r="F1162" s="123">
        <v>43221</v>
      </c>
      <c r="G1162" s="124">
        <v>46874</v>
      </c>
      <c r="H1162" s="116">
        <v>880</v>
      </c>
      <c r="I1162" s="116"/>
      <c r="K1162" s="116"/>
      <c r="M1162" s="116"/>
    </row>
    <row r="1163" spans="1:13" x14ac:dyDescent="0.25">
      <c r="A1163" s="116"/>
      <c r="B1163" s="117"/>
      <c r="C1163" s="117" t="s">
        <v>6102</v>
      </c>
      <c r="D1163" s="116" t="s">
        <v>6088</v>
      </c>
      <c r="E1163" s="116" t="s">
        <v>5622</v>
      </c>
      <c r="F1163" s="123">
        <v>43221</v>
      </c>
      <c r="G1163" s="124">
        <v>46874</v>
      </c>
      <c r="H1163" s="116">
        <v>160</v>
      </c>
      <c r="I1163" s="116"/>
      <c r="K1163" s="116"/>
      <c r="M1163" s="116"/>
    </row>
    <row r="1164" spans="1:13" x14ac:dyDescent="0.25">
      <c r="A1164" s="116"/>
      <c r="B1164" s="117"/>
      <c r="C1164" s="117" t="s">
        <v>6104</v>
      </c>
      <c r="D1164" s="116" t="s">
        <v>6088</v>
      </c>
      <c r="E1164" s="116" t="s">
        <v>5622</v>
      </c>
      <c r="F1164" s="123">
        <v>43221</v>
      </c>
      <c r="G1164" s="124">
        <v>46874</v>
      </c>
      <c r="H1164" s="116">
        <v>1120</v>
      </c>
      <c r="I1164" s="116"/>
      <c r="K1164" s="116"/>
      <c r="M1164" s="116"/>
    </row>
    <row r="1165" spans="1:13" x14ac:dyDescent="0.25">
      <c r="A1165" s="116"/>
      <c r="B1165" s="117"/>
      <c r="C1165" s="117" t="s">
        <v>6106</v>
      </c>
      <c r="D1165" s="116" t="s">
        <v>6088</v>
      </c>
      <c r="E1165" s="116" t="s">
        <v>5622</v>
      </c>
      <c r="F1165" s="123">
        <v>43221</v>
      </c>
      <c r="G1165" s="124">
        <v>46874</v>
      </c>
      <c r="H1165" s="116">
        <v>160</v>
      </c>
      <c r="I1165" s="116"/>
      <c r="K1165" s="116"/>
      <c r="M1165" s="116"/>
    </row>
    <row r="1166" spans="1:13" x14ac:dyDescent="0.25">
      <c r="A1166" s="116"/>
      <c r="B1166" s="117"/>
      <c r="C1166" s="117" t="s">
        <v>6108</v>
      </c>
      <c r="D1166" s="116" t="s">
        <v>6088</v>
      </c>
      <c r="E1166" s="116" t="s">
        <v>5622</v>
      </c>
      <c r="F1166" s="123">
        <v>43221</v>
      </c>
      <c r="G1166" s="124">
        <v>46874</v>
      </c>
      <c r="H1166" s="116">
        <v>800</v>
      </c>
      <c r="I1166" s="116"/>
      <c r="K1166" s="116"/>
      <c r="M1166" s="116"/>
    </row>
    <row r="1167" spans="1:13" x14ac:dyDescent="0.25">
      <c r="A1167" s="116"/>
      <c r="B1167" s="117"/>
      <c r="C1167" s="117" t="s">
        <v>6110</v>
      </c>
      <c r="D1167" s="116" t="s">
        <v>6111</v>
      </c>
      <c r="E1167" s="116" t="s">
        <v>5622</v>
      </c>
      <c r="F1167" s="123">
        <v>43221</v>
      </c>
      <c r="G1167" s="124">
        <v>46874</v>
      </c>
      <c r="H1167" s="116">
        <v>2559.56</v>
      </c>
      <c r="I1167" s="116"/>
      <c r="K1167" s="116"/>
      <c r="M1167" s="116"/>
    </row>
    <row r="1168" spans="1:13" x14ac:dyDescent="0.25">
      <c r="A1168" s="116"/>
      <c r="B1168" s="117"/>
      <c r="C1168" s="117" t="s">
        <v>6114</v>
      </c>
      <c r="D1168" s="116" t="s">
        <v>6111</v>
      </c>
      <c r="E1168" s="116" t="s">
        <v>5622</v>
      </c>
      <c r="F1168" s="123">
        <v>43221</v>
      </c>
      <c r="G1168" s="124">
        <v>46874</v>
      </c>
      <c r="H1168" s="116">
        <v>2359.6999999999998</v>
      </c>
      <c r="I1168" s="116"/>
      <c r="K1168" s="116"/>
      <c r="M1168" s="116"/>
    </row>
    <row r="1169" spans="1:13" x14ac:dyDescent="0.25">
      <c r="A1169" s="116"/>
      <c r="B1169" s="117"/>
      <c r="C1169" s="117" t="s">
        <v>6118</v>
      </c>
      <c r="D1169" s="116" t="s">
        <v>6111</v>
      </c>
      <c r="E1169" s="116" t="s">
        <v>5622</v>
      </c>
      <c r="F1169" s="123">
        <v>43221</v>
      </c>
      <c r="G1169" s="124">
        <v>46874</v>
      </c>
      <c r="H1169" s="116">
        <v>560</v>
      </c>
      <c r="I1169" s="116"/>
      <c r="K1169" s="116"/>
      <c r="M1169" s="116"/>
    </row>
    <row r="1170" spans="1:13" x14ac:dyDescent="0.25">
      <c r="A1170" s="116"/>
      <c r="B1170" s="117"/>
      <c r="C1170" s="117" t="s">
        <v>6120</v>
      </c>
      <c r="D1170" s="116" t="s">
        <v>6111</v>
      </c>
      <c r="E1170" s="116" t="s">
        <v>5622</v>
      </c>
      <c r="F1170" s="123">
        <v>43221</v>
      </c>
      <c r="G1170" s="124">
        <v>46874</v>
      </c>
      <c r="H1170" s="116">
        <v>1184.33</v>
      </c>
      <c r="I1170" s="116"/>
      <c r="K1170" s="116"/>
      <c r="M1170" s="116"/>
    </row>
    <row r="1171" spans="1:13" x14ac:dyDescent="0.25">
      <c r="A1171" s="116"/>
      <c r="B1171" s="117"/>
      <c r="C1171" s="117" t="s">
        <v>6122</v>
      </c>
      <c r="D1171" s="116" t="s">
        <v>6111</v>
      </c>
      <c r="E1171" s="116" t="s">
        <v>5622</v>
      </c>
      <c r="F1171" s="123">
        <v>43221</v>
      </c>
      <c r="G1171" s="124">
        <v>46874</v>
      </c>
      <c r="H1171" s="116">
        <v>1000</v>
      </c>
      <c r="I1171" s="116"/>
      <c r="K1171" s="116"/>
      <c r="M1171" s="116"/>
    </row>
    <row r="1172" spans="1:13" x14ac:dyDescent="0.25">
      <c r="A1172" s="116"/>
      <c r="B1172" s="117"/>
      <c r="C1172" s="117" t="s">
        <v>6124</v>
      </c>
      <c r="D1172" s="116" t="s">
        <v>6111</v>
      </c>
      <c r="E1172" s="116" t="s">
        <v>5622</v>
      </c>
      <c r="F1172" s="123">
        <v>43221</v>
      </c>
      <c r="G1172" s="124">
        <v>46874</v>
      </c>
      <c r="H1172" s="116">
        <v>880</v>
      </c>
      <c r="I1172" s="116"/>
      <c r="K1172" s="116"/>
      <c r="M1172" s="116"/>
    </row>
    <row r="1173" spans="1:13" x14ac:dyDescent="0.25">
      <c r="A1173" s="116"/>
      <c r="B1173" s="117"/>
      <c r="C1173" s="117" t="s">
        <v>6127</v>
      </c>
      <c r="D1173" s="116" t="s">
        <v>6111</v>
      </c>
      <c r="E1173" s="116" t="s">
        <v>5622</v>
      </c>
      <c r="F1173" s="123">
        <v>43221</v>
      </c>
      <c r="G1173" s="124">
        <v>46874</v>
      </c>
      <c r="H1173" s="116">
        <v>2000</v>
      </c>
      <c r="I1173" s="116"/>
      <c r="K1173" s="116"/>
      <c r="M1173" s="116"/>
    </row>
    <row r="1174" spans="1:13" x14ac:dyDescent="0.25">
      <c r="A1174" s="116"/>
      <c r="B1174" s="117"/>
      <c r="C1174" s="117" t="s">
        <v>6116</v>
      </c>
      <c r="D1174" s="116" t="s">
        <v>6111</v>
      </c>
      <c r="E1174" s="116" t="s">
        <v>5622</v>
      </c>
      <c r="F1174" s="123">
        <v>43221</v>
      </c>
      <c r="G1174" s="124">
        <v>46874</v>
      </c>
      <c r="H1174" s="116">
        <v>1120</v>
      </c>
      <c r="I1174" s="116"/>
      <c r="K1174" s="116"/>
      <c r="M1174" s="116"/>
    </row>
    <row r="1175" spans="1:13" x14ac:dyDescent="0.25">
      <c r="A1175" s="116"/>
      <c r="B1175" s="117"/>
      <c r="C1175" s="117" t="s">
        <v>6129</v>
      </c>
      <c r="D1175" s="116" t="s">
        <v>6111</v>
      </c>
      <c r="E1175" s="116" t="s">
        <v>5622</v>
      </c>
      <c r="F1175" s="123">
        <v>43221</v>
      </c>
      <c r="G1175" s="124">
        <v>46874</v>
      </c>
      <c r="H1175" s="116">
        <v>2320</v>
      </c>
      <c r="I1175" s="116"/>
      <c r="K1175" s="116"/>
      <c r="M1175" s="116"/>
    </row>
    <row r="1176" spans="1:13" x14ac:dyDescent="0.25">
      <c r="A1176" s="116"/>
      <c r="B1176" s="117"/>
      <c r="C1176" s="117" t="s">
        <v>6131</v>
      </c>
      <c r="D1176" s="116" t="s">
        <v>6132</v>
      </c>
      <c r="E1176" s="116" t="s">
        <v>5622</v>
      </c>
      <c r="F1176" s="123">
        <v>43221</v>
      </c>
      <c r="G1176" s="124">
        <v>46874</v>
      </c>
      <c r="H1176" s="116">
        <v>240</v>
      </c>
      <c r="I1176" s="116"/>
      <c r="K1176" s="116"/>
      <c r="M1176" s="116"/>
    </row>
    <row r="1177" spans="1:13" x14ac:dyDescent="0.25">
      <c r="A1177" s="116"/>
      <c r="B1177" s="117"/>
      <c r="C1177" s="117" t="s">
        <v>6135</v>
      </c>
      <c r="D1177" s="116" t="s">
        <v>6136</v>
      </c>
      <c r="E1177" s="116" t="s">
        <v>5622</v>
      </c>
      <c r="F1177" s="123">
        <v>43221</v>
      </c>
      <c r="G1177" s="124">
        <v>46874</v>
      </c>
      <c r="H1177" s="116">
        <v>280</v>
      </c>
      <c r="I1177" s="116"/>
      <c r="K1177" s="116"/>
      <c r="M1177" s="116"/>
    </row>
    <row r="1178" spans="1:13" x14ac:dyDescent="0.25">
      <c r="A1178" s="116"/>
      <c r="B1178" s="117"/>
      <c r="C1178" s="117" t="s">
        <v>6139</v>
      </c>
      <c r="D1178" s="116" t="s">
        <v>6193</v>
      </c>
      <c r="E1178" s="116" t="s">
        <v>72</v>
      </c>
      <c r="F1178" s="123">
        <v>43313</v>
      </c>
      <c r="G1178" s="124">
        <v>46966</v>
      </c>
      <c r="H1178" s="116">
        <v>205</v>
      </c>
      <c r="I1178" s="116"/>
      <c r="K1178" s="116"/>
      <c r="M1178" s="116"/>
    </row>
    <row r="1179" spans="1:13" x14ac:dyDescent="0.25">
      <c r="A1179" s="116"/>
      <c r="B1179" s="117"/>
      <c r="C1179" s="117" t="s">
        <v>6142</v>
      </c>
      <c r="D1179" s="116" t="s">
        <v>5366</v>
      </c>
      <c r="E1179" s="116" t="s">
        <v>72</v>
      </c>
      <c r="F1179" s="123">
        <v>43313</v>
      </c>
      <c r="G1179" s="124">
        <v>46966</v>
      </c>
      <c r="H1179" s="116">
        <v>120</v>
      </c>
      <c r="I1179" s="116"/>
      <c r="K1179" s="116"/>
      <c r="M1179" s="116"/>
    </row>
    <row r="1180" spans="1:13" x14ac:dyDescent="0.25">
      <c r="A1180" s="116"/>
      <c r="B1180" s="117"/>
      <c r="C1180" s="117" t="s">
        <v>6144</v>
      </c>
      <c r="D1180" s="116" t="s">
        <v>5366</v>
      </c>
      <c r="E1180" s="116" t="s">
        <v>72</v>
      </c>
      <c r="F1180" s="123">
        <v>43313</v>
      </c>
      <c r="G1180" s="124">
        <v>46966</v>
      </c>
      <c r="H1180" s="116">
        <v>40</v>
      </c>
      <c r="I1180" s="116"/>
      <c r="K1180" s="116"/>
      <c r="M1180" s="116"/>
    </row>
    <row r="1181" spans="1:13" x14ac:dyDescent="0.25">
      <c r="A1181" s="116"/>
      <c r="B1181" s="117"/>
      <c r="C1181" s="117" t="s">
        <v>6147</v>
      </c>
      <c r="D1181" s="116" t="s">
        <v>1034</v>
      </c>
      <c r="E1181" s="116" t="s">
        <v>72</v>
      </c>
      <c r="F1181" s="123">
        <v>43313</v>
      </c>
      <c r="G1181" s="124">
        <v>46966</v>
      </c>
      <c r="H1181" s="116">
        <v>65</v>
      </c>
      <c r="I1181" s="116"/>
      <c r="K1181" s="116"/>
      <c r="M1181" s="116"/>
    </row>
    <row r="1182" spans="1:13" x14ac:dyDescent="0.25">
      <c r="A1182" s="116"/>
      <c r="B1182" s="117"/>
      <c r="C1182" s="117" t="s">
        <v>6149</v>
      </c>
      <c r="D1182" s="116" t="s">
        <v>1034</v>
      </c>
      <c r="E1182" s="116" t="s">
        <v>72</v>
      </c>
      <c r="F1182" s="123">
        <v>43313</v>
      </c>
      <c r="G1182" s="124">
        <v>46966</v>
      </c>
      <c r="H1182" s="116">
        <v>39.799999999999997</v>
      </c>
      <c r="I1182" s="116"/>
      <c r="K1182" s="116"/>
      <c r="M1182" s="116"/>
    </row>
    <row r="1183" spans="1:13" x14ac:dyDescent="0.25">
      <c r="A1183" s="116"/>
      <c r="B1183" s="117"/>
      <c r="C1183" s="117" t="s">
        <v>6151</v>
      </c>
      <c r="D1183" s="116" t="s">
        <v>1034</v>
      </c>
      <c r="E1183" s="116" t="s">
        <v>72</v>
      </c>
      <c r="F1183" s="123">
        <v>43313</v>
      </c>
      <c r="G1183" s="124">
        <v>46966</v>
      </c>
      <c r="H1183" s="116">
        <v>80</v>
      </c>
      <c r="I1183" s="116"/>
      <c r="K1183" s="116"/>
      <c r="M1183" s="116"/>
    </row>
    <row r="1184" spans="1:13" x14ac:dyDescent="0.25">
      <c r="A1184" s="116"/>
      <c r="B1184" s="117"/>
      <c r="C1184" s="117" t="s">
        <v>6153</v>
      </c>
      <c r="D1184" s="116" t="s">
        <v>1034</v>
      </c>
      <c r="E1184" s="116" t="s">
        <v>72</v>
      </c>
      <c r="F1184" s="123">
        <v>43313</v>
      </c>
      <c r="G1184" s="124">
        <v>46966</v>
      </c>
      <c r="H1184" s="116">
        <v>364.38</v>
      </c>
      <c r="I1184" s="116"/>
      <c r="K1184" s="116"/>
      <c r="M1184" s="116"/>
    </row>
    <row r="1185" spans="1:13" x14ac:dyDescent="0.25">
      <c r="A1185" s="116"/>
      <c r="B1185" s="117"/>
      <c r="C1185" s="117" t="s">
        <v>6155</v>
      </c>
      <c r="D1185" s="116" t="s">
        <v>6194</v>
      </c>
      <c r="E1185" s="116" t="s">
        <v>72</v>
      </c>
      <c r="F1185" s="123">
        <v>43313</v>
      </c>
      <c r="G1185" s="124">
        <v>46966</v>
      </c>
      <c r="H1185" s="116">
        <v>122.38</v>
      </c>
      <c r="I1185" s="116"/>
      <c r="K1185" s="116"/>
      <c r="M1185" s="116"/>
    </row>
    <row r="1186" spans="1:13" x14ac:dyDescent="0.25">
      <c r="A1186" s="116"/>
      <c r="B1186" s="117"/>
      <c r="C1186" s="117" t="s">
        <v>6157</v>
      </c>
      <c r="D1186" s="116" t="s">
        <v>1034</v>
      </c>
      <c r="E1186" s="116" t="s">
        <v>72</v>
      </c>
      <c r="F1186" s="123">
        <v>43313</v>
      </c>
      <c r="G1186" s="124">
        <v>46966</v>
      </c>
      <c r="H1186" s="116">
        <v>40</v>
      </c>
      <c r="I1186" s="116"/>
      <c r="K1186" s="116"/>
      <c r="M1186" s="116"/>
    </row>
    <row r="1187" spans="1:13" x14ac:dyDescent="0.25">
      <c r="A1187" s="116"/>
      <c r="B1187" s="117"/>
      <c r="C1187" s="117" t="s">
        <v>6159</v>
      </c>
      <c r="D1187" s="116" t="s">
        <v>1034</v>
      </c>
      <c r="E1187" s="116" t="s">
        <v>72</v>
      </c>
      <c r="F1187" s="123">
        <v>43313</v>
      </c>
      <c r="G1187" s="124">
        <v>46966</v>
      </c>
      <c r="H1187" s="116">
        <v>67.5</v>
      </c>
      <c r="I1187" s="116"/>
      <c r="K1187" s="116"/>
      <c r="M1187" s="116"/>
    </row>
    <row r="1188" spans="1:13" x14ac:dyDescent="0.25">
      <c r="A1188" s="116"/>
      <c r="B1188" s="117"/>
      <c r="C1188" s="117" t="s">
        <v>6161</v>
      </c>
      <c r="D1188" s="116" t="s">
        <v>1034</v>
      </c>
      <c r="E1188" s="116" t="s">
        <v>72</v>
      </c>
      <c r="F1188" s="123">
        <v>43313</v>
      </c>
      <c r="G1188" s="124">
        <v>46966</v>
      </c>
      <c r="H1188" s="116">
        <v>40</v>
      </c>
      <c r="I1188" s="116"/>
      <c r="K1188" s="116"/>
      <c r="M1188" s="116"/>
    </row>
    <row r="1189" spans="1:13" x14ac:dyDescent="0.25">
      <c r="A1189" s="116"/>
      <c r="B1189" s="117"/>
      <c r="C1189" s="117" t="s">
        <v>6163</v>
      </c>
      <c r="D1189" s="116" t="s">
        <v>1034</v>
      </c>
      <c r="E1189" s="116" t="s">
        <v>72</v>
      </c>
      <c r="F1189" s="123">
        <v>43313</v>
      </c>
      <c r="G1189" s="124">
        <v>46966</v>
      </c>
      <c r="H1189" s="116">
        <v>40</v>
      </c>
      <c r="I1189" s="116"/>
      <c r="K1189" s="116"/>
      <c r="M1189" s="116"/>
    </row>
    <row r="1190" spans="1:13" x14ac:dyDescent="0.25">
      <c r="A1190" s="116"/>
      <c r="B1190" s="117"/>
      <c r="C1190" s="117" t="s">
        <v>6165</v>
      </c>
      <c r="D1190" s="116" t="s">
        <v>1034</v>
      </c>
      <c r="E1190" s="116" t="s">
        <v>72</v>
      </c>
      <c r="F1190" s="123">
        <v>43313</v>
      </c>
      <c r="G1190" s="124">
        <v>46966</v>
      </c>
      <c r="H1190" s="116">
        <v>80</v>
      </c>
      <c r="I1190" s="116"/>
      <c r="K1190" s="116"/>
      <c r="M1190" s="116"/>
    </row>
    <row r="1191" spans="1:13" x14ac:dyDescent="0.25">
      <c r="A1191" s="116"/>
      <c r="B1191" s="117"/>
      <c r="C1191" s="117" t="s">
        <v>6167</v>
      </c>
      <c r="D1191" s="116" t="s">
        <v>1034</v>
      </c>
      <c r="E1191" s="116" t="s">
        <v>6195</v>
      </c>
      <c r="F1191" s="123">
        <v>43313</v>
      </c>
      <c r="G1191" s="124">
        <v>46966</v>
      </c>
      <c r="H1191" s="116">
        <v>120</v>
      </c>
      <c r="I1191" s="116"/>
      <c r="K1191" s="116"/>
      <c r="M1191" s="116"/>
    </row>
    <row r="1192" spans="1:13" x14ac:dyDescent="0.25">
      <c r="A1192" s="116"/>
      <c r="B1192" s="117"/>
      <c r="C1192" s="117" t="s">
        <v>6169</v>
      </c>
      <c r="D1192" s="116" t="s">
        <v>1034</v>
      </c>
      <c r="E1192" s="116" t="s">
        <v>72</v>
      </c>
      <c r="F1192" s="123">
        <v>43313</v>
      </c>
      <c r="G1192" s="124">
        <v>46966</v>
      </c>
      <c r="H1192" s="116">
        <v>80</v>
      </c>
      <c r="I1192" s="116"/>
      <c r="K1192" s="116"/>
      <c r="M1192" s="116"/>
    </row>
    <row r="1193" spans="1:13" x14ac:dyDescent="0.25">
      <c r="A1193" s="116"/>
      <c r="B1193" s="117"/>
      <c r="C1193" s="117" t="s">
        <v>6171</v>
      </c>
      <c r="D1193" s="116" t="s">
        <v>1034</v>
      </c>
      <c r="E1193" s="116" t="s">
        <v>72</v>
      </c>
      <c r="F1193" s="123">
        <v>43313</v>
      </c>
      <c r="G1193" s="124">
        <v>46966</v>
      </c>
      <c r="H1193" s="116">
        <v>40</v>
      </c>
      <c r="I1193" s="116"/>
      <c r="K1193" s="116"/>
      <c r="M1193" s="116"/>
    </row>
    <row r="1194" spans="1:13" x14ac:dyDescent="0.25">
      <c r="A1194" s="116"/>
      <c r="B1194" s="117"/>
      <c r="C1194" s="117" t="s">
        <v>6173</v>
      </c>
      <c r="D1194" s="116" t="s">
        <v>5366</v>
      </c>
      <c r="E1194" s="116" t="s">
        <v>72</v>
      </c>
      <c r="F1194" s="123">
        <v>43313</v>
      </c>
      <c r="G1194" s="124">
        <v>46966</v>
      </c>
      <c r="H1194" s="116">
        <v>86.03</v>
      </c>
      <c r="I1194" s="116"/>
      <c r="K1194" s="116"/>
      <c r="M1194" s="116"/>
    </row>
    <row r="1195" spans="1:13" x14ac:dyDescent="0.25">
      <c r="A1195" s="116"/>
      <c r="B1195" s="117"/>
      <c r="C1195" s="117" t="s">
        <v>6175</v>
      </c>
      <c r="D1195" s="116" t="s">
        <v>1034</v>
      </c>
      <c r="E1195" s="116" t="s">
        <v>72</v>
      </c>
      <c r="F1195" s="123">
        <v>43313</v>
      </c>
      <c r="G1195" s="124">
        <v>46966</v>
      </c>
      <c r="H1195" s="116">
        <v>39.590000000000003</v>
      </c>
      <c r="I1195" s="116"/>
      <c r="K1195" s="116"/>
      <c r="M1195" s="116"/>
    </row>
    <row r="1196" spans="1:13" x14ac:dyDescent="0.25">
      <c r="A1196" s="116"/>
      <c r="B1196" s="117"/>
      <c r="C1196" s="117" t="s">
        <v>6177</v>
      </c>
      <c r="D1196" s="116" t="s">
        <v>892</v>
      </c>
      <c r="E1196" s="116" t="s">
        <v>512</v>
      </c>
      <c r="F1196" s="123">
        <v>43405</v>
      </c>
      <c r="G1196" s="124">
        <v>47058</v>
      </c>
      <c r="H1196" s="116">
        <v>640</v>
      </c>
      <c r="I1196" s="116"/>
      <c r="K1196" s="116"/>
      <c r="M1196" s="116"/>
    </row>
    <row r="1197" spans="1:13" x14ac:dyDescent="0.25">
      <c r="A1197" s="116"/>
      <c r="B1197" s="117"/>
      <c r="C1197" s="117" t="s">
        <v>6179</v>
      </c>
      <c r="D1197" s="116" t="s">
        <v>511</v>
      </c>
      <c r="E1197" s="116" t="s">
        <v>512</v>
      </c>
      <c r="F1197" s="123">
        <v>43405</v>
      </c>
      <c r="G1197" s="124">
        <v>47058</v>
      </c>
      <c r="H1197" s="116">
        <v>40</v>
      </c>
      <c r="I1197" s="116"/>
      <c r="K1197" s="116"/>
      <c r="M1197" s="116"/>
    </row>
    <row r="1198" spans="1:13" x14ac:dyDescent="0.25">
      <c r="A1198" s="116"/>
      <c r="B1198" s="117"/>
      <c r="C1198" s="117" t="s">
        <v>6181</v>
      </c>
      <c r="D1198" s="116" t="s">
        <v>892</v>
      </c>
      <c r="E1198" s="116" t="s">
        <v>512</v>
      </c>
      <c r="F1198" s="123">
        <v>43405</v>
      </c>
      <c r="G1198" s="124">
        <v>47058</v>
      </c>
      <c r="H1198" s="116">
        <v>400</v>
      </c>
      <c r="I1198" s="116"/>
      <c r="K1198" s="116"/>
      <c r="M1198" s="116"/>
    </row>
    <row r="1199" spans="1:13" x14ac:dyDescent="0.25">
      <c r="A1199" s="116"/>
      <c r="B1199" s="117"/>
      <c r="C1199" s="117" t="s">
        <v>6183</v>
      </c>
      <c r="D1199" s="116" t="s">
        <v>892</v>
      </c>
      <c r="E1199" s="116" t="s">
        <v>512</v>
      </c>
      <c r="F1199" s="123">
        <v>43405</v>
      </c>
      <c r="G1199" s="124">
        <v>47058</v>
      </c>
      <c r="H1199" s="116">
        <v>408.68</v>
      </c>
      <c r="I1199" s="116"/>
      <c r="K1199" s="116"/>
      <c r="M1199" s="116"/>
    </row>
    <row r="1200" spans="1:13" x14ac:dyDescent="0.25">
      <c r="A1200" s="116"/>
      <c r="B1200" s="117"/>
      <c r="C1200" s="117" t="s">
        <v>6184</v>
      </c>
      <c r="D1200" s="116" t="s">
        <v>892</v>
      </c>
      <c r="E1200" s="116" t="s">
        <v>512</v>
      </c>
      <c r="F1200" s="123">
        <v>43405</v>
      </c>
      <c r="G1200" s="124">
        <v>47058</v>
      </c>
      <c r="H1200" s="116">
        <v>600</v>
      </c>
      <c r="I1200" s="116"/>
      <c r="K1200" s="116"/>
      <c r="M1200" s="116"/>
    </row>
    <row r="1201" spans="1:21" x14ac:dyDescent="0.25">
      <c r="A1201" s="116"/>
      <c r="B1201" s="117"/>
      <c r="C1201" s="117" t="s">
        <v>6185</v>
      </c>
      <c r="D1201" s="116" t="s">
        <v>892</v>
      </c>
      <c r="E1201" s="116" t="s">
        <v>512</v>
      </c>
      <c r="F1201" s="123">
        <v>43405</v>
      </c>
      <c r="G1201" s="124">
        <v>47058</v>
      </c>
      <c r="H1201" s="116">
        <v>360</v>
      </c>
      <c r="I1201" s="116"/>
      <c r="K1201" s="116"/>
      <c r="M1201" s="116"/>
    </row>
    <row r="1202" spans="1:21" x14ac:dyDescent="0.25">
      <c r="A1202" s="116"/>
      <c r="B1202" s="117"/>
      <c r="C1202" s="117" t="s">
        <v>6186</v>
      </c>
      <c r="D1202" s="116" t="s">
        <v>511</v>
      </c>
      <c r="E1202" s="116" t="s">
        <v>512</v>
      </c>
      <c r="F1202" s="123">
        <v>43405</v>
      </c>
      <c r="G1202" s="124">
        <v>47058</v>
      </c>
      <c r="H1202" s="116">
        <v>480</v>
      </c>
      <c r="I1202" s="116"/>
      <c r="K1202" s="116"/>
      <c r="M1202" s="116"/>
    </row>
    <row r="1203" spans="1:21" x14ac:dyDescent="0.25">
      <c r="A1203" s="163">
        <v>1190</v>
      </c>
      <c r="B1203" s="163" t="s">
        <v>5414</v>
      </c>
      <c r="C1203" s="163" t="s">
        <v>6262</v>
      </c>
      <c r="D1203" s="163" t="s">
        <v>6267</v>
      </c>
      <c r="E1203" s="163" t="s">
        <v>5437</v>
      </c>
      <c r="F1203" s="345">
        <v>43435</v>
      </c>
      <c r="G1203" s="345">
        <v>47088</v>
      </c>
      <c r="H1203" s="163">
        <v>240</v>
      </c>
      <c r="I1203" s="163"/>
      <c r="J1203" s="163" t="s">
        <v>5503</v>
      </c>
      <c r="L1203" s="163">
        <v>18536.47</v>
      </c>
      <c r="M1203" s="163">
        <v>10549265.17</v>
      </c>
      <c r="N1203" s="163">
        <v>2028</v>
      </c>
      <c r="O1203" s="345">
        <v>47088</v>
      </c>
      <c r="P1203" s="163">
        <v>240</v>
      </c>
      <c r="T1203" s="163" t="s">
        <v>13</v>
      </c>
      <c r="U1203" s="163" t="s">
        <v>13</v>
      </c>
    </row>
    <row r="1204" spans="1:21" x14ac:dyDescent="0.25">
      <c r="A1204" s="163">
        <v>1191</v>
      </c>
      <c r="B1204" s="163" t="s">
        <v>5414</v>
      </c>
      <c r="C1204" s="163" t="s">
        <v>6263</v>
      </c>
      <c r="D1204" s="163" t="s">
        <v>6267</v>
      </c>
      <c r="E1204" s="163" t="s">
        <v>5437</v>
      </c>
      <c r="F1204" s="345">
        <v>43435</v>
      </c>
      <c r="G1204" s="345">
        <v>47088</v>
      </c>
      <c r="H1204" s="163">
        <v>40</v>
      </c>
      <c r="I1204" s="163"/>
      <c r="J1204" s="163" t="s">
        <v>5503</v>
      </c>
      <c r="L1204" s="163">
        <v>5264.64</v>
      </c>
      <c r="M1204" s="163">
        <v>1761636.36</v>
      </c>
      <c r="N1204" s="163">
        <v>2028</v>
      </c>
      <c r="O1204" s="345">
        <v>47088</v>
      </c>
      <c r="P1204" s="163">
        <v>40</v>
      </c>
      <c r="T1204" s="163" t="s">
        <v>13</v>
      </c>
      <c r="U1204" s="163" t="s">
        <v>13</v>
      </c>
    </row>
    <row r="1205" spans="1:21" x14ac:dyDescent="0.25">
      <c r="A1205" s="163">
        <v>1192</v>
      </c>
      <c r="B1205" s="163" t="s">
        <v>5414</v>
      </c>
      <c r="C1205" s="163" t="s">
        <v>6264</v>
      </c>
      <c r="D1205" s="163" t="s">
        <v>5436</v>
      </c>
      <c r="E1205" s="163" t="s">
        <v>5437</v>
      </c>
      <c r="F1205" s="345">
        <v>43435</v>
      </c>
      <c r="G1205" s="345">
        <v>47088</v>
      </c>
      <c r="H1205" s="163">
        <v>82.56</v>
      </c>
      <c r="I1205" s="163">
        <v>0</v>
      </c>
      <c r="J1205" s="163" t="s">
        <v>5503</v>
      </c>
      <c r="L1205" s="163">
        <v>8058.33</v>
      </c>
      <c r="M1205" s="163">
        <v>3630152.09</v>
      </c>
      <c r="N1205" s="163">
        <v>2028</v>
      </c>
      <c r="O1205" s="345">
        <v>47088</v>
      </c>
      <c r="P1205" s="163">
        <v>82.56</v>
      </c>
      <c r="T1205" s="163" t="s">
        <v>13</v>
      </c>
      <c r="U1205" s="163" t="s">
        <v>13</v>
      </c>
    </row>
    <row r="1206" spans="1:21" x14ac:dyDescent="0.25">
      <c r="A1206" s="163">
        <v>1193</v>
      </c>
      <c r="B1206" s="163" t="s">
        <v>5414</v>
      </c>
      <c r="C1206" s="163" t="s">
        <v>6265</v>
      </c>
      <c r="D1206" s="163" t="s">
        <v>5436</v>
      </c>
      <c r="E1206" s="163" t="s">
        <v>5437</v>
      </c>
      <c r="F1206" s="345">
        <v>43435</v>
      </c>
      <c r="G1206" s="345">
        <v>47088</v>
      </c>
      <c r="H1206" s="163">
        <v>158.88999999999999</v>
      </c>
      <c r="I1206" s="163">
        <v>0</v>
      </c>
      <c r="J1206" s="163" t="s">
        <v>5503</v>
      </c>
      <c r="L1206" s="163">
        <v>10527.9</v>
      </c>
      <c r="M1206" s="163">
        <v>6941101.1399999997</v>
      </c>
      <c r="N1206" s="163">
        <v>2028</v>
      </c>
      <c r="O1206" s="345">
        <v>47088</v>
      </c>
      <c r="P1206" s="163">
        <v>158.88999999999999</v>
      </c>
      <c r="T1206" s="163" t="s">
        <v>13</v>
      </c>
      <c r="U1206" s="163" t="s">
        <v>13</v>
      </c>
    </row>
    <row r="1207" spans="1:21" x14ac:dyDescent="0.25">
      <c r="A1207" s="163">
        <v>1194</v>
      </c>
      <c r="B1207" s="163" t="s">
        <v>5414</v>
      </c>
      <c r="C1207" s="163" t="s">
        <v>6266</v>
      </c>
      <c r="D1207" s="163" t="s">
        <v>5436</v>
      </c>
      <c r="E1207" s="163" t="s">
        <v>5437</v>
      </c>
      <c r="F1207" s="345">
        <v>43435</v>
      </c>
      <c r="G1207" s="345">
        <v>47088</v>
      </c>
      <c r="H1207" s="163">
        <v>281.06</v>
      </c>
      <c r="I1207" s="163"/>
      <c r="J1207" s="163" t="s">
        <v>5503</v>
      </c>
      <c r="L1207" s="163">
        <v>18655.060000000001</v>
      </c>
      <c r="M1207" s="163">
        <v>12347519.15</v>
      </c>
      <c r="N1207" s="163">
        <v>2028</v>
      </c>
      <c r="O1207" s="345">
        <v>47088</v>
      </c>
      <c r="P1207" s="163">
        <v>281.06</v>
      </c>
      <c r="T1207" s="163" t="s">
        <v>13</v>
      </c>
      <c r="U1207" s="163" t="s">
        <v>13</v>
      </c>
    </row>
    <row r="1208" spans="1:21" x14ac:dyDescent="0.25">
      <c r="A1208" s="163">
        <v>1195</v>
      </c>
      <c r="B1208" s="163" t="s">
        <v>5414</v>
      </c>
      <c r="C1208" s="163" t="s">
        <v>6392</v>
      </c>
      <c r="D1208" s="163" t="s">
        <v>6397</v>
      </c>
      <c r="E1208" s="163" t="s">
        <v>5622</v>
      </c>
      <c r="F1208" s="345">
        <v>43497</v>
      </c>
      <c r="G1208" s="345">
        <v>47150</v>
      </c>
      <c r="H1208" s="163">
        <v>185.76</v>
      </c>
      <c r="I1208" s="163">
        <v>0</v>
      </c>
      <c r="J1208" s="163" t="s">
        <v>5503</v>
      </c>
      <c r="L1208" s="163">
        <v>26530.37</v>
      </c>
      <c r="M1208" s="163">
        <v>8703318.5999999996</v>
      </c>
      <c r="N1208" s="163">
        <v>2029</v>
      </c>
      <c r="O1208" s="345">
        <v>47150</v>
      </c>
      <c r="P1208" s="163">
        <v>185.76</v>
      </c>
      <c r="T1208" s="163" t="s">
        <v>13</v>
      </c>
      <c r="U1208" s="163" t="s">
        <v>13</v>
      </c>
    </row>
    <row r="1209" spans="1:21" x14ac:dyDescent="0.25">
      <c r="A1209" s="163">
        <v>1196</v>
      </c>
      <c r="B1209" s="163" t="s">
        <v>5414</v>
      </c>
      <c r="C1209" s="163" t="s">
        <v>6393</v>
      </c>
      <c r="D1209" s="163" t="s">
        <v>5637</v>
      </c>
      <c r="E1209" s="163" t="s">
        <v>5622</v>
      </c>
      <c r="F1209" s="345">
        <v>43497</v>
      </c>
      <c r="G1209" s="345">
        <v>47150</v>
      </c>
      <c r="H1209" s="163">
        <v>712.66</v>
      </c>
      <c r="I1209" s="163">
        <v>0</v>
      </c>
      <c r="J1209" s="163" t="s">
        <v>5503</v>
      </c>
      <c r="L1209" s="163">
        <v>45828.66</v>
      </c>
      <c r="M1209" s="163">
        <v>31492412.890000001</v>
      </c>
      <c r="N1209" s="163">
        <v>2029</v>
      </c>
      <c r="O1209" s="345">
        <v>47150</v>
      </c>
      <c r="P1209" s="163">
        <v>712.66</v>
      </c>
      <c r="T1209" s="163" t="s">
        <v>13</v>
      </c>
      <c r="U1209" s="163" t="s">
        <v>13</v>
      </c>
    </row>
    <row r="1210" spans="1:21" x14ac:dyDescent="0.25">
      <c r="A1210" s="163">
        <v>1197</v>
      </c>
      <c r="B1210" s="163" t="s">
        <v>5414</v>
      </c>
      <c r="C1210" s="163" t="s">
        <v>6394</v>
      </c>
      <c r="D1210" s="163" t="s">
        <v>5637</v>
      </c>
      <c r="E1210" s="163" t="s">
        <v>5622</v>
      </c>
      <c r="F1210" s="345">
        <v>43497</v>
      </c>
      <c r="G1210" s="345">
        <v>47150</v>
      </c>
      <c r="H1210" s="163">
        <v>320</v>
      </c>
      <c r="I1210" s="163">
        <v>0</v>
      </c>
      <c r="J1210" s="163" t="s">
        <v>5503</v>
      </c>
      <c r="L1210" s="163">
        <v>26447.3</v>
      </c>
      <c r="M1210" s="163">
        <v>13983588.359999999</v>
      </c>
      <c r="N1210" s="163">
        <v>2029</v>
      </c>
      <c r="O1210" s="345">
        <v>47150</v>
      </c>
      <c r="P1210" s="163">
        <v>320</v>
      </c>
      <c r="T1210" s="163" t="s">
        <v>13</v>
      </c>
      <c r="U1210" s="163" t="s">
        <v>13</v>
      </c>
    </row>
    <row r="1211" spans="1:21" x14ac:dyDescent="0.25">
      <c r="A1211" s="163">
        <v>1198</v>
      </c>
      <c r="B1211" s="163" t="s">
        <v>5414</v>
      </c>
      <c r="C1211" s="163" t="s">
        <v>6395</v>
      </c>
      <c r="D1211" s="163" t="s">
        <v>5637</v>
      </c>
      <c r="E1211" s="163" t="s">
        <v>5622</v>
      </c>
      <c r="F1211" s="345">
        <v>43497</v>
      </c>
      <c r="G1211" s="345">
        <v>47150</v>
      </c>
      <c r="H1211" s="163">
        <v>107.01</v>
      </c>
      <c r="I1211" s="163">
        <v>0</v>
      </c>
      <c r="J1211" s="163" t="s">
        <v>5503</v>
      </c>
      <c r="L1211" s="163">
        <v>13380</v>
      </c>
      <c r="M1211" s="163">
        <v>4706420.33</v>
      </c>
      <c r="N1211" s="163">
        <v>2029</v>
      </c>
      <c r="O1211" s="345">
        <v>47150</v>
      </c>
      <c r="P1211" s="163">
        <v>107.01</v>
      </c>
      <c r="T1211" s="163" t="s">
        <v>13</v>
      </c>
      <c r="U1211" s="163" t="s">
        <v>13</v>
      </c>
    </row>
    <row r="1212" spans="1:21" x14ac:dyDescent="0.25">
      <c r="A1212" s="163">
        <v>1199</v>
      </c>
      <c r="B1212" s="163" t="s">
        <v>5414</v>
      </c>
      <c r="C1212" s="163" t="s">
        <v>6396</v>
      </c>
      <c r="D1212" s="163" t="s">
        <v>6410</v>
      </c>
      <c r="E1212" s="163" t="s">
        <v>5622</v>
      </c>
      <c r="F1212" s="345">
        <v>43497</v>
      </c>
      <c r="G1212" s="345">
        <v>47150</v>
      </c>
      <c r="H1212" s="163">
        <v>120</v>
      </c>
      <c r="I1212" s="163">
        <v>0</v>
      </c>
      <c r="J1212" s="163" t="s">
        <v>5503</v>
      </c>
      <c r="L1212" s="163">
        <v>15852</v>
      </c>
      <c r="M1212" s="163">
        <v>5239999.53</v>
      </c>
      <c r="N1212" s="163">
        <v>2029</v>
      </c>
      <c r="O1212" s="345">
        <v>47150</v>
      </c>
      <c r="P1212" s="163">
        <v>120</v>
      </c>
      <c r="T1212" s="163" t="s">
        <v>13</v>
      </c>
      <c r="U1212" s="163" t="s">
        <v>13</v>
      </c>
    </row>
    <row r="1213" spans="1:21" x14ac:dyDescent="0.25">
      <c r="A1213" s="163">
        <v>1200</v>
      </c>
      <c r="B1213" s="163" t="s">
        <v>5414</v>
      </c>
      <c r="C1213" s="163" t="s">
        <v>7412</v>
      </c>
      <c r="D1213" s="163" t="s">
        <v>1121</v>
      </c>
      <c r="E1213" s="163" t="s">
        <v>86</v>
      </c>
      <c r="F1213" s="345">
        <v>43525</v>
      </c>
      <c r="G1213" s="345">
        <v>47178</v>
      </c>
      <c r="H1213" s="163">
        <v>40.1</v>
      </c>
      <c r="I1213" s="163">
        <v>0</v>
      </c>
      <c r="J1213" s="163" t="s">
        <v>5503</v>
      </c>
      <c r="L1213" s="163">
        <v>6646.5</v>
      </c>
      <c r="M1213" s="163">
        <v>1767395.51</v>
      </c>
      <c r="N1213" s="163">
        <v>2029</v>
      </c>
      <c r="O1213" s="345">
        <v>47178</v>
      </c>
      <c r="P1213" s="163">
        <v>40.1</v>
      </c>
      <c r="T1213" s="163" t="s">
        <v>13</v>
      </c>
      <c r="U1213" s="163" t="s">
        <v>13</v>
      </c>
    </row>
    <row r="1214" spans="1:21" x14ac:dyDescent="0.25">
      <c r="A1214" s="163">
        <v>1201</v>
      </c>
      <c r="B1214" s="163" t="s">
        <v>5414</v>
      </c>
      <c r="C1214" s="163" t="s">
        <v>7413</v>
      </c>
      <c r="D1214" s="163" t="s">
        <v>458</v>
      </c>
      <c r="E1214" s="163" t="s">
        <v>86</v>
      </c>
      <c r="F1214" s="345">
        <v>43525</v>
      </c>
      <c r="G1214" s="345">
        <v>47178</v>
      </c>
      <c r="H1214" s="163">
        <v>39.97</v>
      </c>
      <c r="I1214" s="163">
        <v>0</v>
      </c>
      <c r="J1214" s="163" t="s">
        <v>5503</v>
      </c>
      <c r="L1214" s="163">
        <v>5305</v>
      </c>
      <c r="M1214" s="163">
        <v>1758657.78</v>
      </c>
      <c r="N1214" s="163">
        <v>2029</v>
      </c>
      <c r="O1214" s="345">
        <v>47178</v>
      </c>
      <c r="P1214" s="163">
        <v>39.97</v>
      </c>
      <c r="T1214" s="163" t="s">
        <v>13</v>
      </c>
      <c r="U1214" s="163" t="s">
        <v>13</v>
      </c>
    </row>
    <row r="1215" spans="1:21" x14ac:dyDescent="0.25">
      <c r="A1215" s="163">
        <v>1202</v>
      </c>
      <c r="B1215" s="163" t="s">
        <v>5414</v>
      </c>
      <c r="C1215" s="163" t="s">
        <v>7415</v>
      </c>
      <c r="D1215" s="163" t="s">
        <v>1121</v>
      </c>
      <c r="E1215" s="163" t="s">
        <v>86</v>
      </c>
      <c r="F1215" s="345">
        <v>43525</v>
      </c>
      <c r="G1215" s="345">
        <v>47178</v>
      </c>
      <c r="H1215" s="163">
        <v>40.020000000000003</v>
      </c>
      <c r="I1215" s="163">
        <v>0</v>
      </c>
      <c r="J1215" s="163" t="s">
        <v>5503</v>
      </c>
      <c r="L1215" s="163">
        <v>5372.62</v>
      </c>
      <c r="M1215" s="163">
        <v>1803496.63</v>
      </c>
      <c r="N1215" s="163">
        <v>2029</v>
      </c>
      <c r="O1215" s="345">
        <v>47178</v>
      </c>
      <c r="P1215" s="163">
        <v>40.020000000000003</v>
      </c>
      <c r="T1215" s="163" t="s">
        <v>13</v>
      </c>
      <c r="U1215" s="163" t="s">
        <v>13</v>
      </c>
    </row>
    <row r="1216" spans="1:21" x14ac:dyDescent="0.25">
      <c r="A1216" s="163">
        <v>1203</v>
      </c>
      <c r="B1216" s="163" t="s">
        <v>5414</v>
      </c>
      <c r="C1216" s="163" t="s">
        <v>7420</v>
      </c>
      <c r="D1216" s="163" t="s">
        <v>1121</v>
      </c>
      <c r="E1216" s="163" t="s">
        <v>86</v>
      </c>
      <c r="F1216" s="345">
        <v>43525</v>
      </c>
      <c r="G1216" s="345">
        <v>47178</v>
      </c>
      <c r="H1216" s="163">
        <v>80.25</v>
      </c>
      <c r="I1216" s="163">
        <v>0</v>
      </c>
      <c r="J1216" s="163" t="s">
        <v>5503</v>
      </c>
      <c r="L1216" s="163">
        <v>10629.75</v>
      </c>
      <c r="M1216" s="163">
        <v>3530812.85</v>
      </c>
      <c r="N1216" s="163">
        <v>2029</v>
      </c>
      <c r="O1216" s="345">
        <v>47178</v>
      </c>
      <c r="P1216" s="163">
        <v>80.25</v>
      </c>
      <c r="T1216" s="163" t="s">
        <v>13</v>
      </c>
      <c r="U1216" s="163" t="s">
        <v>13</v>
      </c>
    </row>
    <row r="1217" spans="1:21" x14ac:dyDescent="0.25">
      <c r="A1217" s="163">
        <v>1204</v>
      </c>
      <c r="B1217" s="163" t="s">
        <v>5414</v>
      </c>
      <c r="C1217" s="163" t="s">
        <v>7422</v>
      </c>
      <c r="D1217" s="163" t="s">
        <v>376</v>
      </c>
      <c r="E1217" s="163" t="s">
        <v>86</v>
      </c>
      <c r="F1217" s="345">
        <v>43525</v>
      </c>
      <c r="G1217" s="345">
        <v>47178</v>
      </c>
      <c r="H1217" s="163">
        <v>40.65</v>
      </c>
      <c r="I1217" s="163">
        <v>0</v>
      </c>
      <c r="J1217" s="163" t="s">
        <v>5503</v>
      </c>
      <c r="L1217" s="163">
        <v>5305390.8</v>
      </c>
      <c r="M1217" s="163">
        <v>1774577.95</v>
      </c>
      <c r="N1217" s="163">
        <v>2029</v>
      </c>
      <c r="O1217" s="345">
        <v>47178</v>
      </c>
      <c r="P1217" s="163">
        <v>40.65</v>
      </c>
      <c r="T1217" s="163" t="s">
        <v>13</v>
      </c>
      <c r="U1217" s="163" t="s">
        <v>13</v>
      </c>
    </row>
    <row r="1218" spans="1:21" x14ac:dyDescent="0.25">
      <c r="A1218" s="163">
        <v>1205</v>
      </c>
      <c r="B1218" s="163" t="s">
        <v>5414</v>
      </c>
      <c r="C1218" s="163" t="s">
        <v>7424</v>
      </c>
      <c r="D1218" s="163" t="s">
        <v>85</v>
      </c>
      <c r="E1218" s="163" t="s">
        <v>86</v>
      </c>
      <c r="F1218" s="345">
        <v>43525</v>
      </c>
      <c r="G1218" s="345">
        <v>47178</v>
      </c>
      <c r="H1218" s="163">
        <v>77.22</v>
      </c>
      <c r="I1218" s="163">
        <v>0</v>
      </c>
      <c r="J1218" s="163" t="s">
        <v>5503</v>
      </c>
      <c r="L1218" s="163">
        <v>8592.14</v>
      </c>
      <c r="M1218" s="163">
        <v>3395707.14</v>
      </c>
      <c r="N1218" s="163">
        <v>2029</v>
      </c>
      <c r="O1218" s="345">
        <v>47178</v>
      </c>
      <c r="P1218" s="163">
        <v>77.22</v>
      </c>
      <c r="T1218" s="163" t="s">
        <v>13</v>
      </c>
      <c r="U1218" s="163" t="s">
        <v>13</v>
      </c>
    </row>
    <row r="1219" spans="1:21" x14ac:dyDescent="0.25">
      <c r="A1219" s="163">
        <v>1206</v>
      </c>
      <c r="B1219" s="163" t="s">
        <v>5414</v>
      </c>
      <c r="C1219" s="163" t="s">
        <v>7425</v>
      </c>
      <c r="D1219" s="163" t="s">
        <v>684</v>
      </c>
      <c r="E1219" s="163" t="s">
        <v>86</v>
      </c>
      <c r="F1219" s="345">
        <v>43525</v>
      </c>
      <c r="G1219" s="345">
        <v>47178</v>
      </c>
      <c r="H1219" s="163">
        <v>79.97</v>
      </c>
      <c r="I1219" s="163">
        <v>0</v>
      </c>
      <c r="J1219" s="163" t="s">
        <v>5503</v>
      </c>
      <c r="L1219" s="163">
        <v>8130.92</v>
      </c>
      <c r="M1219" s="163">
        <v>3600532.36</v>
      </c>
      <c r="N1219" s="163">
        <v>2029</v>
      </c>
      <c r="O1219" s="345">
        <v>47178</v>
      </c>
      <c r="P1219" s="163">
        <v>79.97</v>
      </c>
      <c r="T1219" s="163" t="s">
        <v>13</v>
      </c>
      <c r="U1219" s="163" t="s">
        <v>13</v>
      </c>
    </row>
    <row r="1220" spans="1:21" x14ac:dyDescent="0.25">
      <c r="A1220" s="163">
        <v>1207</v>
      </c>
      <c r="B1220" s="163" t="s">
        <v>5414</v>
      </c>
      <c r="C1220" s="163" t="s">
        <v>7409</v>
      </c>
      <c r="D1220" s="163" t="s">
        <v>1121</v>
      </c>
      <c r="E1220" s="163" t="s">
        <v>86</v>
      </c>
      <c r="F1220" s="345">
        <v>43525</v>
      </c>
      <c r="G1220" s="345">
        <v>47178</v>
      </c>
      <c r="H1220" s="163">
        <v>119.75</v>
      </c>
      <c r="I1220" s="163">
        <v>0</v>
      </c>
      <c r="J1220" s="163" t="s">
        <v>5503</v>
      </c>
      <c r="L1220" s="163">
        <v>15434.622799999999</v>
      </c>
      <c r="M1220" s="163">
        <v>660823.36600000004</v>
      </c>
      <c r="N1220" s="163">
        <v>2029</v>
      </c>
      <c r="O1220" s="345">
        <v>47178</v>
      </c>
      <c r="P1220" s="163">
        <v>119.75</v>
      </c>
    </row>
    <row r="1221" spans="1:21" x14ac:dyDescent="0.25">
      <c r="A1221" s="163">
        <v>1208</v>
      </c>
      <c r="B1221" s="163" t="s">
        <v>5414</v>
      </c>
      <c r="C1221" s="163" t="s">
        <v>7410</v>
      </c>
      <c r="D1221" s="163" t="s">
        <v>1121</v>
      </c>
      <c r="E1221" s="163" t="s">
        <v>86</v>
      </c>
      <c r="F1221" s="345">
        <v>43525</v>
      </c>
      <c r="G1221" s="345">
        <v>47178</v>
      </c>
      <c r="H1221" s="163">
        <v>80.17</v>
      </c>
      <c r="I1221" s="163">
        <v>0</v>
      </c>
      <c r="J1221" s="163" t="s">
        <v>5503</v>
      </c>
      <c r="L1221" s="163">
        <v>12296.035980000001</v>
      </c>
      <c r="M1221" s="163">
        <v>438939.682868</v>
      </c>
      <c r="N1221" s="163">
        <v>2029</v>
      </c>
      <c r="O1221" s="345">
        <v>47178</v>
      </c>
      <c r="P1221" s="163">
        <v>80.17</v>
      </c>
    </row>
    <row r="1222" spans="1:21" x14ac:dyDescent="0.25">
      <c r="A1222" s="163">
        <v>1209</v>
      </c>
      <c r="B1222" s="163" t="s">
        <v>5414</v>
      </c>
      <c r="C1222" s="163" t="s">
        <v>7411</v>
      </c>
      <c r="D1222" s="163" t="s">
        <v>1121</v>
      </c>
      <c r="E1222" s="163" t="s">
        <v>86</v>
      </c>
      <c r="F1222" s="345">
        <v>43525</v>
      </c>
      <c r="G1222" s="345">
        <v>47178</v>
      </c>
      <c r="H1222" s="163">
        <v>40.450000000000003</v>
      </c>
      <c r="I1222" s="163">
        <v>0</v>
      </c>
      <c r="J1222" s="163" t="s">
        <v>5503</v>
      </c>
      <c r="L1222" s="163">
        <v>6148.0179900000003</v>
      </c>
      <c r="M1222" s="163">
        <v>219469.841434</v>
      </c>
      <c r="N1222" s="163">
        <v>2029</v>
      </c>
      <c r="O1222" s="345">
        <v>47178</v>
      </c>
      <c r="P1222" s="163">
        <v>40.450000000000003</v>
      </c>
    </row>
    <row r="1223" spans="1:21" x14ac:dyDescent="0.25">
      <c r="A1223" s="163">
        <v>1210</v>
      </c>
      <c r="B1223" s="163" t="s">
        <v>5414</v>
      </c>
      <c r="C1223" s="163" t="s">
        <v>7414</v>
      </c>
      <c r="D1223" s="163" t="s">
        <v>1121</v>
      </c>
      <c r="E1223" s="163" t="s">
        <v>86</v>
      </c>
      <c r="F1223" s="345">
        <v>43525</v>
      </c>
      <c r="G1223" s="345">
        <v>47178</v>
      </c>
      <c r="H1223" s="163">
        <v>320.38</v>
      </c>
      <c r="I1223" s="163">
        <v>0</v>
      </c>
      <c r="J1223" s="163" t="s">
        <v>5503</v>
      </c>
      <c r="L1223" s="163">
        <v>40153.656000000003</v>
      </c>
      <c r="M1223" s="163">
        <v>1768778.2688500001</v>
      </c>
      <c r="N1223" s="163">
        <v>2029</v>
      </c>
      <c r="O1223" s="345">
        <v>47178</v>
      </c>
      <c r="P1223" s="163">
        <v>320.38</v>
      </c>
    </row>
    <row r="1224" spans="1:21" x14ac:dyDescent="0.25">
      <c r="A1224" s="163">
        <v>1211</v>
      </c>
      <c r="B1224" s="163" t="s">
        <v>5414</v>
      </c>
      <c r="C1224" s="163" t="s">
        <v>7416</v>
      </c>
      <c r="D1224" s="163" t="s">
        <v>1121</v>
      </c>
      <c r="E1224" s="163" t="s">
        <v>86</v>
      </c>
      <c r="F1224" s="345">
        <v>43525</v>
      </c>
      <c r="G1224" s="345">
        <v>47178</v>
      </c>
      <c r="H1224" s="163">
        <v>40</v>
      </c>
      <c r="J1224" s="163" t="s">
        <v>5503</v>
      </c>
      <c r="L1224" s="163">
        <v>6173.4579400000002</v>
      </c>
      <c r="M1224" s="163">
        <v>221290.98727499999</v>
      </c>
      <c r="N1224" s="163">
        <v>2029</v>
      </c>
      <c r="O1224" s="345">
        <v>47178</v>
      </c>
      <c r="P1224" s="163">
        <v>40</v>
      </c>
    </row>
    <row r="1225" spans="1:21" x14ac:dyDescent="0.25">
      <c r="A1225" s="163">
        <v>1212</v>
      </c>
      <c r="B1225" s="163" t="s">
        <v>5414</v>
      </c>
      <c r="C1225" s="163" t="s">
        <v>7417</v>
      </c>
      <c r="D1225" s="163" t="s">
        <v>1121</v>
      </c>
      <c r="E1225" s="163" t="s">
        <v>86</v>
      </c>
      <c r="F1225" s="345">
        <v>43525</v>
      </c>
      <c r="G1225" s="345">
        <v>47178</v>
      </c>
      <c r="H1225" s="163">
        <v>79.41</v>
      </c>
      <c r="I1225" s="163">
        <v>0</v>
      </c>
      <c r="J1225" s="163" t="s">
        <v>5503</v>
      </c>
      <c r="L1225" s="163">
        <v>9183.1813299999994</v>
      </c>
      <c r="M1225" s="163">
        <v>432315.09591700003</v>
      </c>
      <c r="N1225" s="163">
        <v>2029</v>
      </c>
      <c r="O1225" s="345">
        <v>47178</v>
      </c>
      <c r="P1225" s="163">
        <v>79.41</v>
      </c>
    </row>
    <row r="1226" spans="1:21" x14ac:dyDescent="0.25">
      <c r="A1226" s="163">
        <v>1213</v>
      </c>
      <c r="B1226" s="163" t="s">
        <v>5414</v>
      </c>
      <c r="C1226" s="163" t="s">
        <v>7418</v>
      </c>
      <c r="D1226" s="163" t="s">
        <v>1121</v>
      </c>
      <c r="E1226" s="163" t="s">
        <v>86</v>
      </c>
      <c r="F1226" s="345">
        <v>43525</v>
      </c>
      <c r="G1226" s="345">
        <v>47178</v>
      </c>
      <c r="H1226" s="163">
        <v>120.17</v>
      </c>
      <c r="I1226" s="163">
        <v>0</v>
      </c>
      <c r="J1226" s="163" t="s">
        <v>5503</v>
      </c>
      <c r="L1226" s="163">
        <v>12279.035</v>
      </c>
      <c r="M1226" s="163">
        <v>659693.763683</v>
      </c>
      <c r="N1226" s="163">
        <v>2029</v>
      </c>
      <c r="O1226" s="345">
        <v>47178</v>
      </c>
      <c r="P1226" s="163">
        <v>120.17</v>
      </c>
    </row>
    <row r="1227" spans="1:21" x14ac:dyDescent="0.25">
      <c r="A1227" s="163">
        <v>1214</v>
      </c>
      <c r="B1227" s="163" t="s">
        <v>5414</v>
      </c>
      <c r="C1227" s="163" t="s">
        <v>7419</v>
      </c>
      <c r="D1227" s="163" t="s">
        <v>1121</v>
      </c>
      <c r="E1227" s="163" t="s">
        <v>86</v>
      </c>
      <c r="F1227" s="345">
        <v>43525</v>
      </c>
      <c r="G1227" s="345">
        <v>47178</v>
      </c>
      <c r="H1227" s="163">
        <v>40.15</v>
      </c>
      <c r="I1227" s="163">
        <v>0</v>
      </c>
      <c r="J1227" s="163" t="s">
        <v>5503</v>
      </c>
      <c r="L1227" s="163">
        <v>6218.53</v>
      </c>
      <c r="M1227" s="163">
        <v>224498.317209</v>
      </c>
      <c r="N1227" s="163">
        <v>2029</v>
      </c>
      <c r="O1227" s="345">
        <v>47178</v>
      </c>
      <c r="P1227" s="163">
        <v>40.15</v>
      </c>
    </row>
    <row r="1228" spans="1:21" x14ac:dyDescent="0.25">
      <c r="A1228" s="163">
        <v>1215</v>
      </c>
      <c r="B1228" s="163" t="s">
        <v>5414</v>
      </c>
      <c r="C1228" s="163" t="s">
        <v>7421</v>
      </c>
      <c r="D1228" s="163" t="s">
        <v>1121</v>
      </c>
      <c r="E1228" s="163" t="s">
        <v>86</v>
      </c>
      <c r="F1228" s="345">
        <v>43525</v>
      </c>
      <c r="G1228" s="345">
        <v>47178</v>
      </c>
      <c r="H1228" s="163">
        <v>36.700000000000003</v>
      </c>
      <c r="I1228" s="163">
        <v>0</v>
      </c>
      <c r="J1228" s="163" t="s">
        <v>7496</v>
      </c>
      <c r="L1228" s="163">
        <v>5994.2736000000004</v>
      </c>
      <c r="M1228" s="163">
        <v>208212.172742</v>
      </c>
      <c r="N1228" s="163">
        <v>2029</v>
      </c>
      <c r="O1228" s="345">
        <v>47178</v>
      </c>
      <c r="P1228" s="163">
        <v>36.700000000000003</v>
      </c>
      <c r="T1228" s="163" t="s">
        <v>13</v>
      </c>
      <c r="U1228" s="163" t="s">
        <v>13</v>
      </c>
    </row>
    <row r="1229" spans="1:21" x14ac:dyDescent="0.25">
      <c r="A1229" s="163">
        <v>1216</v>
      </c>
      <c r="B1229" s="163" t="s">
        <v>5414</v>
      </c>
      <c r="C1229" s="163" t="s">
        <v>7423</v>
      </c>
      <c r="D1229" s="163" t="s">
        <v>1121</v>
      </c>
      <c r="E1229" s="163" t="s">
        <v>86</v>
      </c>
      <c r="F1229" s="345">
        <v>43525</v>
      </c>
      <c r="G1229" s="345">
        <v>47178</v>
      </c>
      <c r="H1229" s="163">
        <v>163.37</v>
      </c>
      <c r="I1229" s="163">
        <v>0</v>
      </c>
      <c r="J1229" s="163" t="s">
        <v>5503</v>
      </c>
      <c r="L1229" s="163">
        <v>21949.600750000001</v>
      </c>
      <c r="M1229" s="163">
        <v>911951.39665799995</v>
      </c>
      <c r="N1229" s="163">
        <v>2029</v>
      </c>
      <c r="O1229" s="345">
        <v>47178</v>
      </c>
      <c r="P1229" s="163">
        <v>163.37</v>
      </c>
    </row>
    <row r="1230" spans="1:21" x14ac:dyDescent="0.25">
      <c r="A1230" s="163">
        <v>1217</v>
      </c>
      <c r="B1230" s="163" t="s">
        <v>5414</v>
      </c>
      <c r="C1230" s="163" t="s">
        <v>7469</v>
      </c>
      <c r="D1230" s="163" t="s">
        <v>1675</v>
      </c>
      <c r="E1230" s="163" t="s">
        <v>1050</v>
      </c>
      <c r="F1230" s="345">
        <v>43525</v>
      </c>
      <c r="G1230" s="345">
        <v>47178</v>
      </c>
      <c r="H1230" s="163">
        <v>40</v>
      </c>
      <c r="I1230" s="163">
        <v>0</v>
      </c>
      <c r="J1230" s="163" t="s">
        <v>5503</v>
      </c>
      <c r="L1230" s="163">
        <v>7196.6226749999996</v>
      </c>
      <c r="M1230" s="163">
        <v>301432.89452600002</v>
      </c>
      <c r="N1230" s="163">
        <v>2029</v>
      </c>
      <c r="O1230" s="345">
        <v>47178</v>
      </c>
      <c r="P1230" s="163">
        <v>40</v>
      </c>
    </row>
    <row r="1231" spans="1:21" x14ac:dyDescent="0.25">
      <c r="A1231" s="163">
        <v>1218</v>
      </c>
      <c r="B1231" s="163" t="s">
        <v>5414</v>
      </c>
      <c r="C1231" s="163" t="s">
        <v>7470</v>
      </c>
      <c r="D1231" s="163" t="s">
        <v>2747</v>
      </c>
      <c r="E1231" s="163" t="s">
        <v>2748</v>
      </c>
      <c r="F1231" s="345">
        <v>43525</v>
      </c>
      <c r="G1231" s="345">
        <v>47178</v>
      </c>
      <c r="H1231" s="163">
        <v>40.06</v>
      </c>
      <c r="I1231" s="163">
        <v>0</v>
      </c>
      <c r="J1231" s="163" t="s">
        <v>5503</v>
      </c>
      <c r="L1231" s="163">
        <v>6875.1483049999997</v>
      </c>
      <c r="M1231" s="163">
        <v>274447.12173000001</v>
      </c>
      <c r="N1231" s="163">
        <v>2029</v>
      </c>
      <c r="O1231" s="345">
        <v>47178</v>
      </c>
      <c r="P1231" s="163">
        <v>40.06</v>
      </c>
      <c r="T1231" s="163" t="s">
        <v>13</v>
      </c>
      <c r="U1231" s="163" t="s">
        <v>13</v>
      </c>
    </row>
    <row r="1232" spans="1:21" x14ac:dyDescent="0.25">
      <c r="A1232" s="163">
        <v>1219</v>
      </c>
      <c r="B1232" s="163" t="s">
        <v>5414</v>
      </c>
      <c r="C1232" s="163" t="s">
        <v>7471</v>
      </c>
      <c r="D1232" s="163" t="s">
        <v>2747</v>
      </c>
      <c r="E1232" s="163" t="s">
        <v>2748</v>
      </c>
      <c r="F1232" s="345">
        <v>43525</v>
      </c>
      <c r="G1232" s="345">
        <v>47178</v>
      </c>
      <c r="H1232" s="163">
        <v>35</v>
      </c>
      <c r="I1232" s="163">
        <v>0</v>
      </c>
      <c r="J1232" s="163" t="s">
        <v>5503</v>
      </c>
      <c r="L1232" s="163">
        <v>6836.0605079999996</v>
      </c>
      <c r="M1232" s="163">
        <v>237155.44268000001</v>
      </c>
      <c r="N1232" s="163">
        <v>2029</v>
      </c>
      <c r="O1232" s="345">
        <v>47178</v>
      </c>
      <c r="P1232" s="163">
        <v>35</v>
      </c>
      <c r="T1232" s="163" t="s">
        <v>13</v>
      </c>
      <c r="U1232" s="163" t="s">
        <v>13</v>
      </c>
    </row>
    <row r="1233" spans="1:21" x14ac:dyDescent="0.25">
      <c r="A1233">
        <v>1218</v>
      </c>
      <c r="B1233" t="s">
        <v>5414</v>
      </c>
      <c r="C1233" t="s">
        <v>4643</v>
      </c>
      <c r="D1233" t="s">
        <v>5227</v>
      </c>
      <c r="E1233" t="s">
        <v>1050</v>
      </c>
      <c r="F1233" s="124">
        <v>42705</v>
      </c>
      <c r="G1233" s="124">
        <v>46357</v>
      </c>
      <c r="H1233">
        <v>1675</v>
      </c>
      <c r="J1233" t="s">
        <v>5503</v>
      </c>
      <c r="N1233">
        <v>2026</v>
      </c>
      <c r="O1233" s="124">
        <v>46357</v>
      </c>
      <c r="P1233">
        <v>1675</v>
      </c>
    </row>
    <row r="1234" spans="1:21" x14ac:dyDescent="0.25">
      <c r="A1234">
        <v>1219</v>
      </c>
      <c r="B1234" t="s">
        <v>5414</v>
      </c>
      <c r="C1234" t="s">
        <v>7672</v>
      </c>
      <c r="D1234" t="s">
        <v>5436</v>
      </c>
      <c r="E1234" t="s">
        <v>5437</v>
      </c>
      <c r="F1234" s="124">
        <v>43617</v>
      </c>
      <c r="G1234" s="124">
        <v>47270</v>
      </c>
      <c r="H1234">
        <v>437.17</v>
      </c>
      <c r="J1234" t="s">
        <v>5503</v>
      </c>
      <c r="N1234">
        <v>2029</v>
      </c>
      <c r="O1234" s="124">
        <v>47270</v>
      </c>
      <c r="P1234">
        <v>437.17</v>
      </c>
    </row>
    <row r="1235" spans="1:21" x14ac:dyDescent="0.25">
      <c r="A1235">
        <v>1220</v>
      </c>
      <c r="B1235" t="s">
        <v>5414</v>
      </c>
      <c r="C1235" t="s">
        <v>7673</v>
      </c>
      <c r="D1235" t="s">
        <v>5436</v>
      </c>
      <c r="E1235" t="s">
        <v>5437</v>
      </c>
      <c r="F1235" s="124">
        <v>43617</v>
      </c>
      <c r="G1235" s="124">
        <v>47270</v>
      </c>
      <c r="H1235">
        <v>487.19</v>
      </c>
      <c r="J1235" t="s">
        <v>5503</v>
      </c>
      <c r="N1235">
        <v>2029</v>
      </c>
      <c r="O1235" s="124">
        <v>47270</v>
      </c>
      <c r="P1235">
        <v>487.19</v>
      </c>
    </row>
    <row r="1236" spans="1:21" x14ac:dyDescent="0.25">
      <c r="A1236">
        <v>1221</v>
      </c>
      <c r="B1236" t="s">
        <v>5414</v>
      </c>
      <c r="C1236" t="s">
        <v>7674</v>
      </c>
      <c r="D1236" t="s">
        <v>5436</v>
      </c>
      <c r="E1236" t="s">
        <v>5437</v>
      </c>
      <c r="F1236" s="124">
        <v>43617</v>
      </c>
      <c r="G1236" s="124">
        <v>47270</v>
      </c>
      <c r="H1236">
        <v>163.41</v>
      </c>
      <c r="J1236" t="s">
        <v>5503</v>
      </c>
      <c r="N1236">
        <v>2029</v>
      </c>
      <c r="O1236" s="124">
        <v>47270</v>
      </c>
      <c r="P1236">
        <v>163.41</v>
      </c>
    </row>
    <row r="1237" spans="1:21" x14ac:dyDescent="0.25">
      <c r="A1237">
        <v>1222</v>
      </c>
      <c r="B1237" t="s">
        <v>5414</v>
      </c>
      <c r="C1237" t="s">
        <v>7675</v>
      </c>
      <c r="D1237" t="s">
        <v>5436</v>
      </c>
      <c r="E1237" t="s">
        <v>5437</v>
      </c>
      <c r="F1237" s="124">
        <v>43617</v>
      </c>
      <c r="G1237" s="124">
        <v>47270</v>
      </c>
      <c r="H1237">
        <v>81.88</v>
      </c>
      <c r="I1237">
        <v>0</v>
      </c>
      <c r="J1237" t="s">
        <v>5503</v>
      </c>
      <c r="N1237">
        <v>2029</v>
      </c>
      <c r="O1237" s="124">
        <v>47270</v>
      </c>
      <c r="P1237">
        <v>81.88</v>
      </c>
      <c r="T1237" t="s">
        <v>13</v>
      </c>
      <c r="U1237" t="s">
        <v>13</v>
      </c>
    </row>
    <row r="1238" spans="1:21" x14ac:dyDescent="0.25">
      <c r="A1238">
        <v>1223</v>
      </c>
      <c r="B1238" t="s">
        <v>5414</v>
      </c>
      <c r="C1238" t="s">
        <v>7676</v>
      </c>
      <c r="D1238" t="s">
        <v>5436</v>
      </c>
      <c r="E1238" t="s">
        <v>5437</v>
      </c>
      <c r="F1238" s="124">
        <v>43617</v>
      </c>
      <c r="G1238" s="124">
        <v>47270</v>
      </c>
      <c r="H1238">
        <v>81.150000000000006</v>
      </c>
      <c r="I1238">
        <v>0</v>
      </c>
      <c r="J1238" t="s">
        <v>5503</v>
      </c>
      <c r="N1238">
        <v>2029</v>
      </c>
      <c r="O1238" s="124">
        <v>47270</v>
      </c>
      <c r="P1238">
        <v>81.150000000000006</v>
      </c>
      <c r="T1238" t="s">
        <v>13</v>
      </c>
      <c r="U1238" t="s">
        <v>13</v>
      </c>
    </row>
    <row r="1239" spans="1:21" x14ac:dyDescent="0.25">
      <c r="A1239">
        <v>1224</v>
      </c>
      <c r="B1239" t="s">
        <v>5414</v>
      </c>
      <c r="C1239" t="s">
        <v>7677</v>
      </c>
      <c r="D1239" t="s">
        <v>7682</v>
      </c>
      <c r="E1239" t="s">
        <v>5437</v>
      </c>
      <c r="F1239" s="124">
        <v>43617</v>
      </c>
      <c r="G1239" s="124">
        <v>47270</v>
      </c>
      <c r="H1239">
        <v>1068.57</v>
      </c>
      <c r="I1239">
        <v>0</v>
      </c>
      <c r="J1239" t="s">
        <v>5503</v>
      </c>
      <c r="N1239">
        <v>2029</v>
      </c>
      <c r="O1239" s="124">
        <v>47270</v>
      </c>
      <c r="P1239">
        <v>1068.57</v>
      </c>
      <c r="T1239" t="s">
        <v>13</v>
      </c>
      <c r="U1239" t="s">
        <v>13</v>
      </c>
    </row>
    <row r="1240" spans="1:21" x14ac:dyDescent="0.25">
      <c r="A1240">
        <v>1225</v>
      </c>
      <c r="B1240" t="s">
        <v>5414</v>
      </c>
      <c r="C1240" t="s">
        <v>7678</v>
      </c>
      <c r="D1240" t="s">
        <v>7717</v>
      </c>
      <c r="E1240" t="s">
        <v>5437</v>
      </c>
      <c r="F1240" s="124">
        <v>43617</v>
      </c>
      <c r="G1240" s="124">
        <v>47270</v>
      </c>
      <c r="H1240">
        <v>784.47</v>
      </c>
      <c r="I1240">
        <v>0</v>
      </c>
      <c r="J1240" t="s">
        <v>5503</v>
      </c>
      <c r="N1240">
        <v>2029</v>
      </c>
      <c r="O1240" s="124">
        <v>47270</v>
      </c>
      <c r="P1240">
        <v>784.47</v>
      </c>
      <c r="T1240" t="s">
        <v>13</v>
      </c>
      <c r="U1240" t="s">
        <v>13</v>
      </c>
    </row>
    <row r="1241" spans="1:21" x14ac:dyDescent="0.25">
      <c r="A1241">
        <v>1226</v>
      </c>
      <c r="B1241" t="s">
        <v>5414</v>
      </c>
      <c r="C1241" t="s">
        <v>7679</v>
      </c>
      <c r="D1241" t="s">
        <v>7717</v>
      </c>
      <c r="E1241" t="s">
        <v>5437</v>
      </c>
      <c r="F1241" s="124">
        <v>43617</v>
      </c>
      <c r="G1241" s="124">
        <v>47270</v>
      </c>
      <c r="H1241">
        <v>680</v>
      </c>
      <c r="I1241">
        <v>0</v>
      </c>
      <c r="J1241" t="s">
        <v>5503</v>
      </c>
      <c r="M1241" t="s">
        <v>13</v>
      </c>
      <c r="N1241">
        <v>2029</v>
      </c>
      <c r="O1241" s="124">
        <v>47270</v>
      </c>
      <c r="P1241">
        <v>680</v>
      </c>
      <c r="T1241" t="s">
        <v>13</v>
      </c>
      <c r="U1241" t="s">
        <v>13</v>
      </c>
    </row>
    <row r="1242" spans="1:21" x14ac:dyDescent="0.25">
      <c r="A1242">
        <v>1227</v>
      </c>
      <c r="B1242" t="s">
        <v>5414</v>
      </c>
      <c r="C1242" t="s">
        <v>7680</v>
      </c>
      <c r="D1242" t="s">
        <v>1367</v>
      </c>
      <c r="E1242" t="s">
        <v>5437</v>
      </c>
      <c r="F1242" s="124">
        <v>43617</v>
      </c>
      <c r="G1242" s="124">
        <v>47270</v>
      </c>
      <c r="H1242">
        <v>160</v>
      </c>
      <c r="I1242">
        <v>0</v>
      </c>
      <c r="J1242" t="s">
        <v>5503</v>
      </c>
      <c r="N1242">
        <v>2029</v>
      </c>
      <c r="O1242" s="124">
        <v>47270</v>
      </c>
      <c r="P1242">
        <v>160</v>
      </c>
      <c r="T1242" t="s">
        <v>13</v>
      </c>
      <c r="U1242" t="s">
        <v>13</v>
      </c>
    </row>
    <row r="1243" spans="1:21" x14ac:dyDescent="0.25">
      <c r="A1243">
        <v>1228</v>
      </c>
      <c r="B1243" t="s">
        <v>5414</v>
      </c>
      <c r="C1243" t="s">
        <v>7681</v>
      </c>
      <c r="D1243" t="s">
        <v>7684</v>
      </c>
      <c r="E1243" t="s">
        <v>5437</v>
      </c>
      <c r="F1243" s="124">
        <v>43617</v>
      </c>
      <c r="G1243" s="124">
        <v>47270</v>
      </c>
      <c r="H1243">
        <v>320</v>
      </c>
      <c r="I1243">
        <v>0</v>
      </c>
      <c r="J1243" t="s">
        <v>5503</v>
      </c>
      <c r="N1243">
        <v>2029</v>
      </c>
      <c r="O1243" s="124">
        <v>47270</v>
      </c>
      <c r="P1243">
        <v>320</v>
      </c>
      <c r="T1243" t="s">
        <v>13</v>
      </c>
      <c r="U1243" t="s">
        <v>13</v>
      </c>
    </row>
    <row r="1244" spans="1:21" x14ac:dyDescent="0.25">
      <c r="A1244">
        <v>1229</v>
      </c>
      <c r="B1244" t="s">
        <v>5414</v>
      </c>
      <c r="C1244" t="s">
        <v>3504</v>
      </c>
      <c r="D1244" t="s">
        <v>85</v>
      </c>
      <c r="E1244" t="s">
        <v>86</v>
      </c>
      <c r="F1244" s="124">
        <v>40664</v>
      </c>
      <c r="G1244" s="124">
        <v>44317</v>
      </c>
      <c r="H1244">
        <v>760.76</v>
      </c>
      <c r="I1244">
        <v>0</v>
      </c>
      <c r="J1244" t="s">
        <v>5505</v>
      </c>
      <c r="N1244">
        <v>2021</v>
      </c>
      <c r="O1244" s="124">
        <v>44317</v>
      </c>
      <c r="P1244">
        <v>760.76</v>
      </c>
      <c r="T1244" t="s">
        <v>13</v>
      </c>
      <c r="U1244" t="s">
        <v>13</v>
      </c>
    </row>
    <row r="1245" spans="1:21" x14ac:dyDescent="0.25">
      <c r="A1245">
        <v>1230</v>
      </c>
      <c r="B1245" t="s">
        <v>5414</v>
      </c>
      <c r="C1245" t="s">
        <v>3507</v>
      </c>
      <c r="D1245" t="s">
        <v>85</v>
      </c>
      <c r="E1245" t="s">
        <v>86</v>
      </c>
      <c r="F1245" s="124">
        <v>40664</v>
      </c>
      <c r="G1245" s="124">
        <v>44317</v>
      </c>
      <c r="H1245">
        <v>840.55</v>
      </c>
      <c r="I1245">
        <v>0</v>
      </c>
      <c r="J1245" t="s">
        <v>5505</v>
      </c>
      <c r="N1245">
        <v>2021</v>
      </c>
      <c r="O1245" s="124">
        <v>44317</v>
      </c>
      <c r="P1245">
        <v>840.55</v>
      </c>
      <c r="T1245" t="s">
        <v>13</v>
      </c>
      <c r="U1245" t="s">
        <v>13</v>
      </c>
    </row>
    <row r="1246" spans="1:21" x14ac:dyDescent="0.25">
      <c r="A1246">
        <v>1231</v>
      </c>
      <c r="B1246" t="s">
        <v>5414</v>
      </c>
      <c r="C1246" t="s">
        <v>3509</v>
      </c>
      <c r="D1246" t="s">
        <v>85</v>
      </c>
      <c r="E1246" t="s">
        <v>86</v>
      </c>
      <c r="F1246" s="124">
        <v>40664</v>
      </c>
      <c r="G1246" s="124">
        <v>44317</v>
      </c>
      <c r="H1246">
        <v>40</v>
      </c>
      <c r="I1246">
        <v>0</v>
      </c>
      <c r="J1246" t="s">
        <v>5505</v>
      </c>
      <c r="N1246">
        <v>2021</v>
      </c>
      <c r="O1246" s="124">
        <v>44317</v>
      </c>
      <c r="P1246">
        <v>40</v>
      </c>
      <c r="T1246" t="s">
        <v>13</v>
      </c>
      <c r="U1246" t="s">
        <v>13</v>
      </c>
    </row>
    <row r="1247" spans="1:21" x14ac:dyDescent="0.25">
      <c r="A1247">
        <v>1232</v>
      </c>
      <c r="B1247" t="s">
        <v>5414</v>
      </c>
      <c r="C1247" t="s">
        <v>3512</v>
      </c>
      <c r="D1247" t="s">
        <v>85</v>
      </c>
      <c r="E1247" t="s">
        <v>86</v>
      </c>
      <c r="F1247" s="124">
        <v>40664</v>
      </c>
      <c r="G1247" s="124">
        <v>44317</v>
      </c>
      <c r="H1247">
        <v>800.84</v>
      </c>
      <c r="I1247">
        <v>0</v>
      </c>
      <c r="J1247" t="s">
        <v>5505</v>
      </c>
      <c r="N1247">
        <v>2021</v>
      </c>
      <c r="O1247" s="124">
        <v>44317</v>
      </c>
      <c r="P1247">
        <v>800.84</v>
      </c>
      <c r="T1247" t="s">
        <v>13</v>
      </c>
      <c r="U1247" t="s">
        <v>13</v>
      </c>
    </row>
    <row r="1248" spans="1:21" x14ac:dyDescent="0.25">
      <c r="A1248">
        <v>1233</v>
      </c>
      <c r="B1248" t="s">
        <v>5414</v>
      </c>
      <c r="C1248" t="s">
        <v>3514</v>
      </c>
      <c r="D1248" t="s">
        <v>261</v>
      </c>
      <c r="E1248" t="s">
        <v>86</v>
      </c>
      <c r="F1248" s="124">
        <v>40664</v>
      </c>
      <c r="G1248" s="124">
        <v>44317</v>
      </c>
      <c r="H1248">
        <v>281.58999999999997</v>
      </c>
      <c r="I1248">
        <v>0</v>
      </c>
      <c r="J1248" t="s">
        <v>5505</v>
      </c>
      <c r="N1248">
        <v>2021</v>
      </c>
      <c r="O1248" s="124">
        <v>44317</v>
      </c>
      <c r="P1248">
        <v>281.58999999999997</v>
      </c>
      <c r="T1248" t="s">
        <v>13</v>
      </c>
      <c r="U1248" t="s">
        <v>13</v>
      </c>
    </row>
    <row r="1249" spans="1:21" x14ac:dyDescent="0.25">
      <c r="A1249">
        <v>1234</v>
      </c>
      <c r="B1249" t="s">
        <v>5414</v>
      </c>
      <c r="C1249" t="s">
        <v>3518</v>
      </c>
      <c r="D1249" t="s">
        <v>261</v>
      </c>
      <c r="E1249" t="s">
        <v>86</v>
      </c>
      <c r="F1249" s="124">
        <v>40664</v>
      </c>
      <c r="G1249" s="124">
        <v>44317</v>
      </c>
      <c r="H1249">
        <v>320.14</v>
      </c>
      <c r="I1249">
        <v>0</v>
      </c>
      <c r="J1249" t="s">
        <v>5505</v>
      </c>
      <c r="N1249">
        <v>2021</v>
      </c>
      <c r="O1249" s="124">
        <v>44317</v>
      </c>
      <c r="P1249">
        <v>320.14</v>
      </c>
      <c r="T1249" t="s">
        <v>13</v>
      </c>
      <c r="U1249" t="s">
        <v>13</v>
      </c>
    </row>
    <row r="1250" spans="1:21" x14ac:dyDescent="0.25">
      <c r="A1250">
        <v>1235</v>
      </c>
      <c r="B1250" t="s">
        <v>5414</v>
      </c>
      <c r="C1250" t="s">
        <v>4272</v>
      </c>
      <c r="D1250" t="s">
        <v>85</v>
      </c>
      <c r="E1250" t="s">
        <v>86</v>
      </c>
      <c r="F1250" s="124">
        <v>41122</v>
      </c>
      <c r="G1250" s="124">
        <v>44774</v>
      </c>
      <c r="H1250">
        <v>40</v>
      </c>
      <c r="I1250">
        <v>0</v>
      </c>
      <c r="J1250" t="s">
        <v>5505</v>
      </c>
      <c r="N1250">
        <v>2022</v>
      </c>
      <c r="O1250" s="124">
        <v>44774</v>
      </c>
      <c r="P1250">
        <v>40</v>
      </c>
      <c r="T1250" t="s">
        <v>13</v>
      </c>
      <c r="U1250" t="s">
        <v>13</v>
      </c>
    </row>
    <row r="1251" spans="1:21" x14ac:dyDescent="0.25">
      <c r="A1251">
        <v>1236</v>
      </c>
      <c r="B1251" t="s">
        <v>5414</v>
      </c>
      <c r="C1251" t="s">
        <v>4305</v>
      </c>
      <c r="D1251" t="s">
        <v>85</v>
      </c>
      <c r="E1251" t="s">
        <v>86</v>
      </c>
      <c r="F1251" s="124">
        <v>41122</v>
      </c>
      <c r="G1251" s="124">
        <v>44774</v>
      </c>
      <c r="H1251">
        <v>1640.72</v>
      </c>
      <c r="I1251">
        <v>0</v>
      </c>
      <c r="J1251" t="s">
        <v>5505</v>
      </c>
      <c r="N1251">
        <v>2022</v>
      </c>
      <c r="O1251" s="124">
        <v>44774</v>
      </c>
      <c r="P1251">
        <v>1640.72</v>
      </c>
      <c r="T1251" t="s">
        <v>13</v>
      </c>
      <c r="U1251" t="s">
        <v>13</v>
      </c>
    </row>
    <row r="1252" spans="1:21" x14ac:dyDescent="0.25">
      <c r="A1252">
        <v>1237</v>
      </c>
      <c r="B1252" t="s">
        <v>5414</v>
      </c>
      <c r="C1252" t="s">
        <v>4308</v>
      </c>
      <c r="D1252" t="s">
        <v>85</v>
      </c>
      <c r="E1252" t="s">
        <v>86</v>
      </c>
      <c r="F1252" s="124">
        <v>41122</v>
      </c>
      <c r="G1252" s="124">
        <v>44774</v>
      </c>
      <c r="H1252">
        <v>80</v>
      </c>
      <c r="I1252">
        <v>0</v>
      </c>
      <c r="J1252" t="s">
        <v>5505</v>
      </c>
      <c r="N1252">
        <v>2022</v>
      </c>
      <c r="O1252" s="124">
        <v>44774</v>
      </c>
      <c r="P1252">
        <v>80</v>
      </c>
      <c r="T1252" t="s">
        <v>13</v>
      </c>
      <c r="U1252" t="s">
        <v>13</v>
      </c>
    </row>
    <row r="1253" spans="1:21" x14ac:dyDescent="0.25">
      <c r="A1253">
        <v>1238</v>
      </c>
      <c r="B1253" t="s">
        <v>5414</v>
      </c>
      <c r="C1253" t="s">
        <v>4311</v>
      </c>
      <c r="D1253" t="s">
        <v>85</v>
      </c>
      <c r="E1253" t="s">
        <v>86</v>
      </c>
      <c r="F1253" s="124">
        <v>41122</v>
      </c>
      <c r="G1253" s="124">
        <v>44774</v>
      </c>
      <c r="H1253">
        <v>200</v>
      </c>
      <c r="I1253">
        <v>0</v>
      </c>
      <c r="J1253" t="s">
        <v>5505</v>
      </c>
      <c r="N1253">
        <v>2022</v>
      </c>
      <c r="O1253" s="124">
        <v>44774</v>
      </c>
      <c r="P1253">
        <v>200</v>
      </c>
      <c r="T1253" t="s">
        <v>13</v>
      </c>
      <c r="U1253" t="s">
        <v>13</v>
      </c>
    </row>
    <row r="1254" spans="1:21" x14ac:dyDescent="0.25">
      <c r="A1254">
        <v>1239</v>
      </c>
      <c r="B1254" t="s">
        <v>5414</v>
      </c>
      <c r="C1254" t="s">
        <v>4302</v>
      </c>
      <c r="D1254" t="s">
        <v>85</v>
      </c>
      <c r="E1254" t="s">
        <v>86</v>
      </c>
      <c r="F1254" s="124">
        <v>41122</v>
      </c>
      <c r="G1254" s="124">
        <v>44774</v>
      </c>
      <c r="H1254">
        <v>2414.88</v>
      </c>
      <c r="I1254">
        <v>0</v>
      </c>
      <c r="J1254" t="s">
        <v>5505</v>
      </c>
      <c r="N1254">
        <v>2022</v>
      </c>
      <c r="O1254" s="124">
        <v>44774</v>
      </c>
      <c r="P1254">
        <v>2414.88</v>
      </c>
      <c r="T1254" t="s">
        <v>13</v>
      </c>
      <c r="U1254" t="s">
        <v>13</v>
      </c>
    </row>
    <row r="1255" spans="1:21" x14ac:dyDescent="0.25">
      <c r="A1255">
        <v>1239</v>
      </c>
      <c r="B1255" t="s">
        <v>5414</v>
      </c>
      <c r="C1255" t="s">
        <v>5438</v>
      </c>
      <c r="D1255" t="s">
        <v>5436</v>
      </c>
      <c r="E1255" t="s">
        <v>5437</v>
      </c>
      <c r="F1255" s="124">
        <v>43070</v>
      </c>
      <c r="G1255" s="124">
        <v>46722</v>
      </c>
      <c r="H1255">
        <v>81.31</v>
      </c>
      <c r="I1255">
        <v>0</v>
      </c>
      <c r="J1255" t="s">
        <v>5505</v>
      </c>
      <c r="N1255">
        <v>2027</v>
      </c>
      <c r="O1255" s="124">
        <v>46722</v>
      </c>
      <c r="P1255">
        <v>81.31</v>
      </c>
      <c r="Q1255" t="s">
        <v>7820</v>
      </c>
      <c r="T1255" t="s">
        <v>13</v>
      </c>
    </row>
    <row r="1256" spans="1:21" x14ac:dyDescent="0.25">
      <c r="A1256">
        <v>1240</v>
      </c>
      <c r="B1256" t="s">
        <v>5414</v>
      </c>
      <c r="C1256" t="s">
        <v>7821</v>
      </c>
      <c r="D1256" t="s">
        <v>7822</v>
      </c>
      <c r="E1256" t="s">
        <v>5437</v>
      </c>
      <c r="F1256" s="124">
        <v>43070</v>
      </c>
      <c r="G1256" s="124">
        <v>46722</v>
      </c>
      <c r="H1256">
        <v>1136.6300000000001</v>
      </c>
      <c r="I1256">
        <v>0</v>
      </c>
      <c r="J1256" t="s">
        <v>5505</v>
      </c>
      <c r="N1256">
        <v>2027</v>
      </c>
      <c r="O1256" s="124">
        <v>46722</v>
      </c>
      <c r="P1256">
        <v>1136.6300000000001</v>
      </c>
      <c r="Q1256" t="s">
        <v>7823</v>
      </c>
      <c r="T1256" t="s">
        <v>13</v>
      </c>
    </row>
    <row r="1257" spans="1:21" x14ac:dyDescent="0.25">
      <c r="A1257">
        <v>1241</v>
      </c>
      <c r="B1257" t="s">
        <v>5414</v>
      </c>
      <c r="C1257" t="s">
        <v>7720</v>
      </c>
      <c r="D1257" t="s">
        <v>6088</v>
      </c>
      <c r="E1257" t="s">
        <v>5622</v>
      </c>
      <c r="F1257" s="124">
        <v>43647</v>
      </c>
      <c r="G1257" s="124">
        <v>47300</v>
      </c>
      <c r="H1257">
        <v>338.59</v>
      </c>
      <c r="I1257">
        <v>0</v>
      </c>
      <c r="J1257" t="s">
        <v>5503</v>
      </c>
      <c r="N1257">
        <v>2029</v>
      </c>
      <c r="O1257" s="124">
        <v>47300</v>
      </c>
      <c r="P1257">
        <v>336.59</v>
      </c>
      <c r="T1257" t="s">
        <v>13</v>
      </c>
      <c r="U1257" t="s">
        <v>13</v>
      </c>
    </row>
    <row r="1258" spans="1:21" x14ac:dyDescent="0.25">
      <c r="A1258">
        <v>1242</v>
      </c>
      <c r="B1258" t="s">
        <v>5414</v>
      </c>
      <c r="C1258" t="s">
        <v>7721</v>
      </c>
      <c r="D1258" t="s">
        <v>6088</v>
      </c>
      <c r="E1258" t="s">
        <v>5622</v>
      </c>
      <c r="F1258" s="124">
        <v>43647</v>
      </c>
      <c r="G1258" s="124">
        <v>47300</v>
      </c>
      <c r="H1258">
        <v>770.53</v>
      </c>
      <c r="I1258">
        <v>0</v>
      </c>
      <c r="J1258" t="s">
        <v>5503</v>
      </c>
      <c r="N1258">
        <v>2029</v>
      </c>
      <c r="O1258" s="124">
        <v>47300</v>
      </c>
      <c r="P1258">
        <v>770.53</v>
      </c>
      <c r="T1258" t="s">
        <v>13</v>
      </c>
      <c r="U1258" t="s">
        <v>13</v>
      </c>
    </row>
    <row r="1259" spans="1:21" x14ac:dyDescent="0.25">
      <c r="A1259">
        <v>1243</v>
      </c>
      <c r="B1259" t="s">
        <v>5414</v>
      </c>
      <c r="C1259" t="s">
        <v>7722</v>
      </c>
      <c r="D1259" t="s">
        <v>6088</v>
      </c>
      <c r="E1259" t="s">
        <v>5622</v>
      </c>
      <c r="F1259" s="124">
        <v>43647</v>
      </c>
      <c r="G1259" s="124">
        <v>47300</v>
      </c>
      <c r="H1259">
        <v>240</v>
      </c>
      <c r="I1259">
        <v>0</v>
      </c>
      <c r="J1259" t="s">
        <v>5503</v>
      </c>
      <c r="N1259">
        <v>2029</v>
      </c>
      <c r="O1259" s="124">
        <v>47300</v>
      </c>
      <c r="P1259">
        <v>240</v>
      </c>
      <c r="T1259" t="s">
        <v>13</v>
      </c>
      <c r="U1259" t="s">
        <v>13</v>
      </c>
    </row>
    <row r="1260" spans="1:21" x14ac:dyDescent="0.25">
      <c r="A1260">
        <v>1244</v>
      </c>
      <c r="B1260" t="s">
        <v>5414</v>
      </c>
      <c r="C1260" t="s">
        <v>7733</v>
      </c>
      <c r="D1260" t="s">
        <v>6088</v>
      </c>
      <c r="E1260" t="s">
        <v>5622</v>
      </c>
      <c r="F1260" s="124">
        <v>43647</v>
      </c>
      <c r="G1260" s="124">
        <v>47300</v>
      </c>
      <c r="H1260">
        <v>1124.0899999999999</v>
      </c>
      <c r="I1260">
        <v>0</v>
      </c>
      <c r="J1260" t="s">
        <v>5503</v>
      </c>
      <c r="N1260">
        <v>2029</v>
      </c>
      <c r="O1260" s="124">
        <v>47300</v>
      </c>
      <c r="P1260">
        <v>1124.0899999999999</v>
      </c>
      <c r="T1260" t="s">
        <v>13</v>
      </c>
      <c r="U1260" t="s">
        <v>13</v>
      </c>
    </row>
    <row r="1261" spans="1:21" x14ac:dyDescent="0.25">
      <c r="A1261">
        <v>1245</v>
      </c>
      <c r="B1261" t="s">
        <v>5414</v>
      </c>
      <c r="C1261" t="s">
        <v>7734</v>
      </c>
      <c r="D1261" t="s">
        <v>6088</v>
      </c>
      <c r="E1261" t="s">
        <v>5622</v>
      </c>
      <c r="F1261" s="124">
        <v>43647</v>
      </c>
      <c r="G1261" s="124">
        <v>47300</v>
      </c>
      <c r="H1261">
        <v>327.08</v>
      </c>
      <c r="I1261">
        <v>0</v>
      </c>
      <c r="J1261" t="s">
        <v>5503</v>
      </c>
      <c r="N1261">
        <v>2029</v>
      </c>
      <c r="O1261" s="124">
        <v>47300</v>
      </c>
      <c r="P1261">
        <v>327.08</v>
      </c>
      <c r="T1261" t="s">
        <v>13</v>
      </c>
      <c r="U1261" t="s">
        <v>13</v>
      </c>
    </row>
    <row r="1262" spans="1:21" x14ac:dyDescent="0.25">
      <c r="A1262">
        <v>1246</v>
      </c>
      <c r="B1262" t="s">
        <v>5414</v>
      </c>
      <c r="C1262" t="s">
        <v>7735</v>
      </c>
      <c r="D1262" t="s">
        <v>7742</v>
      </c>
      <c r="E1262" t="s">
        <v>5622</v>
      </c>
      <c r="F1262" s="124">
        <v>43647</v>
      </c>
      <c r="G1262" s="124">
        <v>47300</v>
      </c>
      <c r="H1262">
        <v>40</v>
      </c>
      <c r="I1262">
        <v>0</v>
      </c>
      <c r="J1262" t="s">
        <v>5503</v>
      </c>
      <c r="N1262">
        <v>2029</v>
      </c>
      <c r="O1262" s="124">
        <v>47300</v>
      </c>
      <c r="P1262">
        <v>40</v>
      </c>
      <c r="T1262" t="s">
        <v>13</v>
      </c>
      <c r="U1262" t="s">
        <v>13</v>
      </c>
    </row>
    <row r="1263" spans="1:21" x14ac:dyDescent="0.25">
      <c r="A1263">
        <v>1247</v>
      </c>
      <c r="B1263" t="s">
        <v>5414</v>
      </c>
      <c r="C1263" t="s">
        <v>7736</v>
      </c>
      <c r="D1263" t="s">
        <v>7742</v>
      </c>
      <c r="E1263" t="s">
        <v>5622</v>
      </c>
      <c r="F1263" s="124">
        <v>43647</v>
      </c>
      <c r="G1263" s="124">
        <v>47300</v>
      </c>
      <c r="H1263">
        <v>80</v>
      </c>
      <c r="I1263">
        <v>0</v>
      </c>
      <c r="J1263" t="s">
        <v>5503</v>
      </c>
      <c r="N1263">
        <v>2029</v>
      </c>
      <c r="O1263" s="124">
        <v>47300</v>
      </c>
      <c r="P1263">
        <v>80</v>
      </c>
      <c r="T1263" t="s">
        <v>13</v>
      </c>
      <c r="U1263" t="s">
        <v>13</v>
      </c>
    </row>
    <row r="1264" spans="1:21" x14ac:dyDescent="0.25">
      <c r="A1264">
        <v>1248</v>
      </c>
      <c r="B1264" t="s">
        <v>5414</v>
      </c>
      <c r="C1264" t="s">
        <v>7737</v>
      </c>
      <c r="D1264" t="s">
        <v>7742</v>
      </c>
      <c r="E1264" t="s">
        <v>5622</v>
      </c>
      <c r="F1264" s="124">
        <v>43647</v>
      </c>
      <c r="G1264" s="124">
        <v>47300</v>
      </c>
      <c r="H1264">
        <v>430.5</v>
      </c>
      <c r="I1264">
        <v>0</v>
      </c>
      <c r="J1264" t="s">
        <v>5503</v>
      </c>
      <c r="N1264">
        <v>2029</v>
      </c>
      <c r="O1264" s="124">
        <v>47300</v>
      </c>
      <c r="P1264">
        <v>430.5</v>
      </c>
      <c r="T1264" t="s">
        <v>13</v>
      </c>
      <c r="U1264" t="s">
        <v>13</v>
      </c>
    </row>
    <row r="1265" spans="1:21" x14ac:dyDescent="0.25">
      <c r="A1265">
        <v>1249</v>
      </c>
      <c r="B1265" t="s">
        <v>5414</v>
      </c>
      <c r="C1265" t="s">
        <v>7738</v>
      </c>
      <c r="D1265" t="s">
        <v>6397</v>
      </c>
      <c r="E1265" t="s">
        <v>5622</v>
      </c>
      <c r="F1265" s="124">
        <v>43647</v>
      </c>
      <c r="G1265" s="124">
        <v>47300</v>
      </c>
      <c r="H1265">
        <v>240.92</v>
      </c>
      <c r="I1265">
        <v>0</v>
      </c>
      <c r="J1265" t="s">
        <v>5503</v>
      </c>
      <c r="N1265">
        <v>2029</v>
      </c>
      <c r="O1265" s="124">
        <v>47300</v>
      </c>
      <c r="P1265">
        <v>240.92</v>
      </c>
      <c r="T1265" t="s">
        <v>13</v>
      </c>
      <c r="U1265" t="s">
        <v>13</v>
      </c>
    </row>
    <row r="1266" spans="1:21" x14ac:dyDescent="0.25">
      <c r="A1266">
        <v>1250</v>
      </c>
      <c r="B1266" t="s">
        <v>5414</v>
      </c>
      <c r="C1266" t="s">
        <v>7803</v>
      </c>
      <c r="D1266" t="s">
        <v>5637</v>
      </c>
      <c r="E1266" t="s">
        <v>5622</v>
      </c>
      <c r="F1266" s="124">
        <v>43647</v>
      </c>
      <c r="G1266" s="124">
        <v>47300</v>
      </c>
      <c r="H1266">
        <v>160</v>
      </c>
      <c r="I1266">
        <v>0</v>
      </c>
      <c r="J1266" t="s">
        <v>5503</v>
      </c>
      <c r="N1266">
        <v>2029</v>
      </c>
      <c r="O1266" s="124">
        <v>47300</v>
      </c>
      <c r="P1266">
        <v>160</v>
      </c>
      <c r="T1266" t="s">
        <v>13</v>
      </c>
      <c r="U1266" t="s">
        <v>13</v>
      </c>
    </row>
    <row r="1267" spans="1:21" x14ac:dyDescent="0.25">
      <c r="A1267">
        <v>1251</v>
      </c>
      <c r="B1267" t="s">
        <v>5414</v>
      </c>
      <c r="C1267" t="s">
        <v>7804</v>
      </c>
      <c r="D1267" t="s">
        <v>5637</v>
      </c>
      <c r="E1267" t="s">
        <v>5622</v>
      </c>
      <c r="F1267" s="124">
        <v>43647</v>
      </c>
      <c r="G1267" s="124">
        <v>47300</v>
      </c>
      <c r="H1267">
        <v>480</v>
      </c>
      <c r="I1267">
        <v>0</v>
      </c>
      <c r="J1267" t="s">
        <v>5503</v>
      </c>
      <c r="N1267">
        <v>2029</v>
      </c>
      <c r="O1267" s="124">
        <v>47300</v>
      </c>
      <c r="P1267">
        <v>480</v>
      </c>
      <c r="T1267" t="s">
        <v>13</v>
      </c>
      <c r="U1267" t="s">
        <v>13</v>
      </c>
    </row>
    <row r="1268" spans="1:21" x14ac:dyDescent="0.25">
      <c r="A1268">
        <v>1252</v>
      </c>
      <c r="B1268" t="s">
        <v>5414</v>
      </c>
      <c r="C1268" t="s">
        <v>7805</v>
      </c>
      <c r="D1268" t="s">
        <v>5637</v>
      </c>
      <c r="E1268" t="s">
        <v>5622</v>
      </c>
      <c r="F1268" s="124">
        <v>43647</v>
      </c>
      <c r="G1268" s="124">
        <v>47300</v>
      </c>
      <c r="H1268">
        <v>2080</v>
      </c>
      <c r="I1268">
        <v>0</v>
      </c>
      <c r="J1268" t="s">
        <v>5503</v>
      </c>
      <c r="N1268">
        <v>2029</v>
      </c>
      <c r="O1268" s="124">
        <v>47300</v>
      </c>
      <c r="P1268">
        <v>2080</v>
      </c>
      <c r="T1268" t="s">
        <v>13</v>
      </c>
      <c r="U1268" t="s">
        <v>13</v>
      </c>
    </row>
    <row r="1269" spans="1:21" x14ac:dyDescent="0.25">
      <c r="A1269">
        <v>1253</v>
      </c>
      <c r="B1269" t="s">
        <v>5414</v>
      </c>
      <c r="C1269" t="s">
        <v>7856</v>
      </c>
      <c r="D1269" t="s">
        <v>453</v>
      </c>
      <c r="E1269" t="s">
        <v>86</v>
      </c>
      <c r="F1269" s="124">
        <v>40756</v>
      </c>
      <c r="G1269" s="124">
        <v>44409</v>
      </c>
      <c r="H1269">
        <v>700.94</v>
      </c>
      <c r="I1269">
        <v>0</v>
      </c>
      <c r="J1269" t="s">
        <v>5503</v>
      </c>
      <c r="N1269">
        <v>2021</v>
      </c>
      <c r="O1269" s="124">
        <v>44409</v>
      </c>
      <c r="P1269">
        <v>700.94</v>
      </c>
      <c r="T1269" t="s">
        <v>13</v>
      </c>
      <c r="U1269" t="s">
        <v>13</v>
      </c>
    </row>
    <row r="1270" spans="1:21" x14ac:dyDescent="0.25">
      <c r="A1270">
        <v>1254</v>
      </c>
      <c r="B1270" t="s">
        <v>5414</v>
      </c>
      <c r="C1270" t="s">
        <v>7858</v>
      </c>
      <c r="D1270" t="s">
        <v>453</v>
      </c>
      <c r="E1270" t="s">
        <v>86</v>
      </c>
      <c r="F1270" s="124">
        <v>40756</v>
      </c>
      <c r="G1270" s="124">
        <v>44409</v>
      </c>
      <c r="H1270">
        <v>644.32000000000005</v>
      </c>
      <c r="I1270">
        <v>0</v>
      </c>
      <c r="J1270" t="s">
        <v>5503</v>
      </c>
      <c r="N1270">
        <v>2021</v>
      </c>
      <c r="O1270" s="124">
        <v>44409</v>
      </c>
      <c r="P1270">
        <v>644.32000000000005</v>
      </c>
      <c r="T1270" t="s">
        <v>13</v>
      </c>
      <c r="U1270" t="s">
        <v>13</v>
      </c>
    </row>
    <row r="1271" spans="1:21" x14ac:dyDescent="0.25">
      <c r="A1271">
        <v>1255</v>
      </c>
      <c r="B1271" t="s">
        <v>5414</v>
      </c>
      <c r="C1271" t="s">
        <v>7859</v>
      </c>
      <c r="D1271" t="s">
        <v>453</v>
      </c>
      <c r="E1271" t="s">
        <v>86</v>
      </c>
      <c r="F1271" s="124">
        <v>40756</v>
      </c>
      <c r="G1271" s="124">
        <v>44409</v>
      </c>
      <c r="H1271">
        <v>743.24</v>
      </c>
      <c r="I1271">
        <v>0</v>
      </c>
      <c r="J1271" t="s">
        <v>5503</v>
      </c>
      <c r="N1271">
        <v>2021</v>
      </c>
      <c r="O1271" s="124">
        <v>44409</v>
      </c>
      <c r="P1271">
        <v>743.24</v>
      </c>
      <c r="T1271" t="s">
        <v>13</v>
      </c>
      <c r="U1271" t="s">
        <v>13</v>
      </c>
    </row>
    <row r="1272" spans="1:21" x14ac:dyDescent="0.25">
      <c r="A1272">
        <v>1256</v>
      </c>
      <c r="B1272" t="s">
        <v>5414</v>
      </c>
      <c r="C1272" t="s">
        <v>7857</v>
      </c>
      <c r="D1272" t="s">
        <v>453</v>
      </c>
      <c r="E1272" t="s">
        <v>86</v>
      </c>
      <c r="F1272" s="124">
        <v>40756</v>
      </c>
      <c r="G1272" s="124">
        <v>44409</v>
      </c>
      <c r="H1272">
        <v>160.57</v>
      </c>
      <c r="I1272">
        <v>0</v>
      </c>
      <c r="J1272" t="s">
        <v>5503</v>
      </c>
      <c r="M1272" t="s">
        <v>7891</v>
      </c>
      <c r="N1272">
        <v>2021</v>
      </c>
      <c r="O1272" s="124">
        <v>44409</v>
      </c>
      <c r="P1272">
        <v>160.57</v>
      </c>
      <c r="T1272" t="s">
        <v>13</v>
      </c>
      <c r="U1272" t="s">
        <v>13</v>
      </c>
    </row>
    <row r="1273" spans="1:21" x14ac:dyDescent="0.25">
      <c r="A1273">
        <v>1257</v>
      </c>
      <c r="B1273" t="s">
        <v>5414</v>
      </c>
      <c r="C1273" t="s">
        <v>7860</v>
      </c>
      <c r="D1273" t="s">
        <v>453</v>
      </c>
      <c r="E1273" t="s">
        <v>86</v>
      </c>
      <c r="F1273" s="124">
        <v>40756</v>
      </c>
      <c r="G1273" s="124">
        <v>44409</v>
      </c>
      <c r="H1273">
        <v>639.32000000000005</v>
      </c>
      <c r="I1273">
        <v>0</v>
      </c>
      <c r="J1273" t="s">
        <v>5503</v>
      </c>
      <c r="N1273">
        <v>2021</v>
      </c>
      <c r="O1273" s="124">
        <v>44409</v>
      </c>
      <c r="P1273">
        <v>639.32000000000005</v>
      </c>
      <c r="T1273" t="s">
        <v>13</v>
      </c>
      <c r="U1273" t="s">
        <v>13</v>
      </c>
    </row>
    <row r="1274" spans="1:21" x14ac:dyDescent="0.25">
      <c r="A1274">
        <v>1258</v>
      </c>
      <c r="B1274" t="s">
        <v>5414</v>
      </c>
      <c r="C1274" t="s">
        <v>7861</v>
      </c>
      <c r="D1274" t="s">
        <v>453</v>
      </c>
      <c r="E1274" t="s">
        <v>86</v>
      </c>
      <c r="F1274" s="124">
        <v>40756</v>
      </c>
      <c r="G1274" s="124">
        <v>44409</v>
      </c>
      <c r="H1274">
        <v>701.8</v>
      </c>
      <c r="I1274">
        <v>0</v>
      </c>
      <c r="J1274" t="s">
        <v>5503</v>
      </c>
      <c r="M1274" t="s">
        <v>7891</v>
      </c>
      <c r="N1274">
        <v>2021</v>
      </c>
      <c r="O1274" s="124">
        <v>44409</v>
      </c>
      <c r="P1274">
        <v>701.8</v>
      </c>
      <c r="T1274" t="s">
        <v>13</v>
      </c>
      <c r="U1274" t="s">
        <v>13</v>
      </c>
    </row>
    <row r="1275" spans="1:21" x14ac:dyDescent="0.25">
      <c r="A1275">
        <v>1259</v>
      </c>
      <c r="B1275" t="s">
        <v>5414</v>
      </c>
      <c r="C1275" t="s">
        <v>7862</v>
      </c>
      <c r="D1275" t="s">
        <v>453</v>
      </c>
      <c r="E1275" t="s">
        <v>86</v>
      </c>
      <c r="F1275" s="124">
        <v>40756</v>
      </c>
      <c r="G1275" s="124">
        <v>44409</v>
      </c>
      <c r="H1275">
        <v>311.94</v>
      </c>
      <c r="I1275">
        <v>0</v>
      </c>
      <c r="J1275" t="s">
        <v>5503</v>
      </c>
      <c r="M1275" t="s">
        <v>7891</v>
      </c>
      <c r="N1275">
        <v>2021</v>
      </c>
      <c r="O1275" s="124">
        <v>44409</v>
      </c>
      <c r="P1275">
        <v>311.94</v>
      </c>
      <c r="T1275" t="s">
        <v>13</v>
      </c>
      <c r="U1275" t="s">
        <v>13</v>
      </c>
    </row>
    <row r="1276" spans="1:21" x14ac:dyDescent="0.25">
      <c r="A1276">
        <v>1260</v>
      </c>
      <c r="B1276" t="s">
        <v>5414</v>
      </c>
      <c r="C1276" t="s">
        <v>7863</v>
      </c>
      <c r="D1276" t="s">
        <v>453</v>
      </c>
      <c r="E1276" t="s">
        <v>86</v>
      </c>
      <c r="F1276" s="124">
        <v>40756</v>
      </c>
      <c r="G1276" s="124">
        <v>44409</v>
      </c>
      <c r="H1276">
        <v>644.72</v>
      </c>
      <c r="I1276">
        <v>0</v>
      </c>
      <c r="J1276" t="s">
        <v>5503</v>
      </c>
      <c r="N1276">
        <v>2021</v>
      </c>
      <c r="O1276" s="124">
        <v>44409</v>
      </c>
      <c r="P1276">
        <v>644.72</v>
      </c>
      <c r="T1276" t="s">
        <v>13</v>
      </c>
      <c r="U1276" t="s">
        <v>13</v>
      </c>
    </row>
    <row r="1277" spans="1:21" x14ac:dyDescent="0.25">
      <c r="A1277">
        <v>1261</v>
      </c>
      <c r="B1277" t="s">
        <v>5414</v>
      </c>
      <c r="C1277" t="s">
        <v>7872</v>
      </c>
      <c r="D1277" t="s">
        <v>453</v>
      </c>
      <c r="E1277" t="s">
        <v>86</v>
      </c>
      <c r="F1277" s="124">
        <v>40756</v>
      </c>
      <c r="G1277" s="124">
        <v>44409</v>
      </c>
      <c r="H1277">
        <v>527.52</v>
      </c>
      <c r="I1277">
        <v>0</v>
      </c>
      <c r="J1277" t="s">
        <v>5503</v>
      </c>
      <c r="M1277" t="s">
        <v>7891</v>
      </c>
      <c r="N1277">
        <v>2021</v>
      </c>
      <c r="O1277" s="124">
        <v>44409</v>
      </c>
      <c r="P1277">
        <v>527.52</v>
      </c>
      <c r="T1277" t="s">
        <v>13</v>
      </c>
      <c r="U1277" t="s">
        <v>13</v>
      </c>
    </row>
    <row r="1278" spans="1:21" x14ac:dyDescent="0.25">
      <c r="A1278">
        <v>1262</v>
      </c>
      <c r="B1278" t="s">
        <v>5414</v>
      </c>
      <c r="C1278" t="s">
        <v>7864</v>
      </c>
      <c r="D1278" t="s">
        <v>453</v>
      </c>
      <c r="E1278" t="s">
        <v>86</v>
      </c>
      <c r="F1278" s="124">
        <v>40756</v>
      </c>
      <c r="G1278" s="124">
        <v>44409</v>
      </c>
      <c r="H1278">
        <v>860.39</v>
      </c>
      <c r="I1278">
        <v>0</v>
      </c>
      <c r="J1278" t="s">
        <v>5503</v>
      </c>
      <c r="M1278" t="s">
        <v>7891</v>
      </c>
      <c r="N1278">
        <v>2021</v>
      </c>
      <c r="O1278" s="124">
        <v>44409</v>
      </c>
      <c r="P1278">
        <v>860.39</v>
      </c>
      <c r="T1278" t="s">
        <v>13</v>
      </c>
      <c r="U1278" t="s">
        <v>13</v>
      </c>
    </row>
    <row r="1279" spans="1:21" x14ac:dyDescent="0.25">
      <c r="A1279">
        <v>1263</v>
      </c>
      <c r="B1279" t="s">
        <v>5414</v>
      </c>
      <c r="C1279" t="s">
        <v>7865</v>
      </c>
      <c r="D1279" t="s">
        <v>453</v>
      </c>
      <c r="E1279" t="s">
        <v>86</v>
      </c>
      <c r="F1279" s="124">
        <v>40756</v>
      </c>
      <c r="G1279" s="124">
        <v>44409</v>
      </c>
      <c r="H1279">
        <v>241.22</v>
      </c>
      <c r="I1279">
        <v>0</v>
      </c>
      <c r="J1279" t="s">
        <v>5503</v>
      </c>
      <c r="M1279" t="s">
        <v>7891</v>
      </c>
      <c r="N1279">
        <v>2021</v>
      </c>
      <c r="O1279" s="124">
        <v>44409</v>
      </c>
      <c r="P1279">
        <v>241.22</v>
      </c>
      <c r="T1279" t="s">
        <v>13</v>
      </c>
      <c r="U1279" t="s">
        <v>13</v>
      </c>
    </row>
    <row r="1280" spans="1:21" x14ac:dyDescent="0.25">
      <c r="A1280">
        <v>1264</v>
      </c>
      <c r="B1280" t="s">
        <v>5414</v>
      </c>
      <c r="C1280" t="s">
        <v>7866</v>
      </c>
      <c r="D1280" t="s">
        <v>453</v>
      </c>
      <c r="E1280" t="s">
        <v>86</v>
      </c>
      <c r="F1280" s="124">
        <v>40756</v>
      </c>
      <c r="G1280" s="124">
        <v>44409</v>
      </c>
      <c r="H1280">
        <v>636.03</v>
      </c>
      <c r="I1280">
        <v>0</v>
      </c>
      <c r="J1280" t="s">
        <v>5503</v>
      </c>
      <c r="M1280" t="s">
        <v>7891</v>
      </c>
      <c r="N1280">
        <v>2021</v>
      </c>
      <c r="O1280" s="124">
        <v>44409</v>
      </c>
      <c r="P1280">
        <v>636.03</v>
      </c>
      <c r="T1280" t="s">
        <v>13</v>
      </c>
      <c r="U1280" t="s">
        <v>13</v>
      </c>
    </row>
    <row r="1281" spans="1:21" x14ac:dyDescent="0.25">
      <c r="A1281">
        <v>1265</v>
      </c>
      <c r="B1281" t="s">
        <v>5414</v>
      </c>
      <c r="C1281" t="s">
        <v>7867</v>
      </c>
      <c r="D1281" t="s">
        <v>453</v>
      </c>
      <c r="E1281" t="s">
        <v>86</v>
      </c>
      <c r="F1281" s="124">
        <v>40756</v>
      </c>
      <c r="G1281" s="124">
        <v>44409</v>
      </c>
      <c r="H1281">
        <v>392.74</v>
      </c>
      <c r="I1281">
        <v>0</v>
      </c>
      <c r="J1281" t="s">
        <v>5503</v>
      </c>
      <c r="M1281" t="s">
        <v>7891</v>
      </c>
      <c r="N1281">
        <v>2021</v>
      </c>
      <c r="O1281" s="124">
        <v>44409</v>
      </c>
      <c r="P1281">
        <v>392.74</v>
      </c>
      <c r="T1281" t="s">
        <v>13</v>
      </c>
      <c r="U1281" t="s">
        <v>13</v>
      </c>
    </row>
    <row r="1282" spans="1:21" x14ac:dyDescent="0.25">
      <c r="A1282">
        <v>1266</v>
      </c>
      <c r="B1282" t="s">
        <v>5414</v>
      </c>
      <c r="C1282" t="s">
        <v>7868</v>
      </c>
      <c r="D1282" t="s">
        <v>453</v>
      </c>
      <c r="E1282" t="s">
        <v>86</v>
      </c>
      <c r="F1282" s="124">
        <v>40756</v>
      </c>
      <c r="G1282" s="124">
        <v>44409</v>
      </c>
      <c r="H1282">
        <v>41.17</v>
      </c>
      <c r="I1282">
        <v>0</v>
      </c>
      <c r="J1282" t="s">
        <v>5503</v>
      </c>
      <c r="M1282" t="s">
        <v>7891</v>
      </c>
      <c r="N1282">
        <v>2021</v>
      </c>
      <c r="O1282" s="124">
        <v>44409</v>
      </c>
      <c r="P1282">
        <v>41.17</v>
      </c>
      <c r="T1282" t="s">
        <v>13</v>
      </c>
      <c r="U1282" t="s">
        <v>13</v>
      </c>
    </row>
    <row r="1283" spans="1:21" x14ac:dyDescent="0.25">
      <c r="A1283">
        <v>1267</v>
      </c>
      <c r="B1283" t="s">
        <v>5414</v>
      </c>
      <c r="C1283" t="s">
        <v>7870</v>
      </c>
      <c r="D1283" t="s">
        <v>453</v>
      </c>
      <c r="E1283" t="s">
        <v>86</v>
      </c>
      <c r="F1283" s="124">
        <v>40756</v>
      </c>
      <c r="G1283" s="124">
        <v>44409</v>
      </c>
      <c r="H1283">
        <v>955.5</v>
      </c>
      <c r="I1283">
        <v>0</v>
      </c>
      <c r="J1283" t="s">
        <v>5503</v>
      </c>
      <c r="M1283" t="s">
        <v>7891</v>
      </c>
      <c r="N1283">
        <v>2021</v>
      </c>
      <c r="O1283" s="124">
        <v>44409</v>
      </c>
      <c r="P1283">
        <v>955.5</v>
      </c>
      <c r="T1283" t="s">
        <v>13</v>
      </c>
      <c r="U1283" t="s">
        <v>13</v>
      </c>
    </row>
    <row r="1284" spans="1:21" x14ac:dyDescent="0.25">
      <c r="A1284">
        <v>1268</v>
      </c>
      <c r="B1284" t="s">
        <v>5414</v>
      </c>
      <c r="C1284" t="s">
        <v>7871</v>
      </c>
      <c r="D1284" t="s">
        <v>453</v>
      </c>
      <c r="E1284" t="s">
        <v>86</v>
      </c>
      <c r="F1284" s="124">
        <v>40756</v>
      </c>
      <c r="G1284" s="124">
        <v>44409</v>
      </c>
      <c r="H1284">
        <v>40</v>
      </c>
      <c r="I1284">
        <v>0</v>
      </c>
      <c r="J1284" t="s">
        <v>5503</v>
      </c>
      <c r="M1284" t="s">
        <v>7891</v>
      </c>
      <c r="N1284">
        <v>2021</v>
      </c>
      <c r="O1284" s="124">
        <v>44409</v>
      </c>
      <c r="P1284">
        <v>40</v>
      </c>
      <c r="T1284" t="s">
        <v>13</v>
      </c>
      <c r="U1284" t="s">
        <v>13</v>
      </c>
    </row>
    <row r="1285" spans="1:21" x14ac:dyDescent="0.25">
      <c r="A1285">
        <v>1269</v>
      </c>
      <c r="B1285" t="s">
        <v>5414</v>
      </c>
      <c r="C1285" t="s">
        <v>4573</v>
      </c>
      <c r="D1285" t="s">
        <v>287</v>
      </c>
      <c r="E1285" t="s">
        <v>86</v>
      </c>
      <c r="F1285" s="124">
        <v>42705</v>
      </c>
      <c r="G1285" s="124">
        <v>46357</v>
      </c>
      <c r="H1285">
        <v>727.52</v>
      </c>
      <c r="I1285">
        <v>0</v>
      </c>
      <c r="J1285" t="s">
        <v>5503</v>
      </c>
      <c r="N1285">
        <v>2026</v>
      </c>
      <c r="O1285" s="124">
        <v>46357</v>
      </c>
      <c r="P1285">
        <v>727.52</v>
      </c>
      <c r="T1285" t="s">
        <v>13</v>
      </c>
      <c r="U1285" t="s">
        <v>13</v>
      </c>
    </row>
    <row r="1286" spans="1:21" x14ac:dyDescent="0.25">
      <c r="A1286">
        <v>1270</v>
      </c>
      <c r="B1286" t="s">
        <v>5414</v>
      </c>
      <c r="C1286" t="s">
        <v>3471</v>
      </c>
      <c r="D1286" t="s">
        <v>458</v>
      </c>
      <c r="E1286" t="s">
        <v>86</v>
      </c>
      <c r="F1286" s="124">
        <v>40664</v>
      </c>
      <c r="G1286" s="124">
        <v>44317</v>
      </c>
      <c r="H1286">
        <v>1918.38</v>
      </c>
      <c r="I1286">
        <v>0</v>
      </c>
      <c r="J1286" t="s">
        <v>5503</v>
      </c>
      <c r="N1286">
        <v>2021</v>
      </c>
      <c r="O1286" s="124">
        <v>44317</v>
      </c>
      <c r="P1286">
        <v>1918.38</v>
      </c>
      <c r="T1286" t="s">
        <v>13</v>
      </c>
      <c r="U1286" t="s">
        <v>13</v>
      </c>
    </row>
    <row r="1287" spans="1:21" x14ac:dyDescent="0.25">
      <c r="A1287">
        <v>1271</v>
      </c>
      <c r="B1287" t="s">
        <v>5414</v>
      </c>
      <c r="C1287" t="s">
        <v>3476</v>
      </c>
      <c r="D1287" t="s">
        <v>458</v>
      </c>
      <c r="E1287" t="s">
        <v>86</v>
      </c>
      <c r="F1287" s="124">
        <v>40664</v>
      </c>
      <c r="G1287" s="124">
        <v>44317</v>
      </c>
      <c r="H1287">
        <v>1040.6500000000001</v>
      </c>
      <c r="I1287">
        <v>0</v>
      </c>
      <c r="J1287" t="s">
        <v>5503</v>
      </c>
      <c r="N1287">
        <v>2021</v>
      </c>
      <c r="O1287" s="124">
        <v>44317</v>
      </c>
      <c r="P1287">
        <v>1040.6500000000001</v>
      </c>
      <c r="T1287" t="s">
        <v>13</v>
      </c>
      <c r="U1287" t="s">
        <v>13</v>
      </c>
    </row>
    <row r="1288" spans="1:21" x14ac:dyDescent="0.25">
      <c r="A1288">
        <v>1272</v>
      </c>
      <c r="B1288" t="s">
        <v>5414</v>
      </c>
      <c r="C1288" t="s">
        <v>3478</v>
      </c>
      <c r="D1288" t="s">
        <v>458</v>
      </c>
      <c r="E1288" t="s">
        <v>86</v>
      </c>
      <c r="F1288" s="124">
        <v>40664</v>
      </c>
      <c r="G1288" s="124">
        <v>44317</v>
      </c>
      <c r="H1288">
        <v>1280.4000000000001</v>
      </c>
      <c r="I1288">
        <v>0</v>
      </c>
      <c r="J1288" t="s">
        <v>5503</v>
      </c>
      <c r="N1288">
        <v>2021</v>
      </c>
      <c r="O1288" s="124">
        <v>44317</v>
      </c>
      <c r="P1288">
        <v>1280.4000000000001</v>
      </c>
      <c r="T1288" t="s">
        <v>13</v>
      </c>
      <c r="U1288" t="s">
        <v>13</v>
      </c>
    </row>
    <row r="1289" spans="1:21" x14ac:dyDescent="0.25">
      <c r="A1289">
        <v>1273</v>
      </c>
      <c r="B1289" t="s">
        <v>5414</v>
      </c>
      <c r="C1289" t="s">
        <v>3480</v>
      </c>
      <c r="D1289" t="s">
        <v>458</v>
      </c>
      <c r="E1289" t="s">
        <v>86</v>
      </c>
      <c r="F1289" s="124">
        <v>40664</v>
      </c>
      <c r="G1289" s="124">
        <v>44317</v>
      </c>
      <c r="H1289">
        <v>1280.4000000000001</v>
      </c>
      <c r="I1289">
        <v>0</v>
      </c>
      <c r="J1289" t="s">
        <v>5503</v>
      </c>
      <c r="N1289">
        <v>2021</v>
      </c>
      <c r="O1289" s="124">
        <v>44317</v>
      </c>
      <c r="P1289">
        <v>1280.4000000000001</v>
      </c>
      <c r="T1289" t="s">
        <v>13</v>
      </c>
      <c r="U1289" t="s">
        <v>13</v>
      </c>
    </row>
    <row r="1290" spans="1:21" x14ac:dyDescent="0.25">
      <c r="A1290">
        <v>1274</v>
      </c>
      <c r="B1290" t="s">
        <v>5414</v>
      </c>
      <c r="C1290" t="s">
        <v>3482</v>
      </c>
      <c r="D1290" t="s">
        <v>458</v>
      </c>
      <c r="E1290" t="s">
        <v>86</v>
      </c>
      <c r="F1290" s="124">
        <v>40664</v>
      </c>
      <c r="G1290" s="124">
        <v>44317</v>
      </c>
      <c r="H1290">
        <v>1080.28</v>
      </c>
      <c r="I1290">
        <v>0</v>
      </c>
      <c r="J1290" t="s">
        <v>5503</v>
      </c>
      <c r="N1290">
        <v>2021</v>
      </c>
      <c r="O1290" s="124">
        <v>44317</v>
      </c>
      <c r="P1290">
        <v>1080.28</v>
      </c>
      <c r="T1290" t="s">
        <v>13</v>
      </c>
      <c r="U1290" t="s">
        <v>13</v>
      </c>
    </row>
    <row r="1291" spans="1:21" x14ac:dyDescent="0.25">
      <c r="A1291">
        <v>1275</v>
      </c>
      <c r="B1291" t="s">
        <v>5414</v>
      </c>
      <c r="C1291" t="s">
        <v>3484</v>
      </c>
      <c r="D1291" t="s">
        <v>458</v>
      </c>
      <c r="E1291" t="s">
        <v>86</v>
      </c>
      <c r="F1291" s="124">
        <v>40664</v>
      </c>
      <c r="G1291" s="124">
        <v>44317</v>
      </c>
      <c r="H1291">
        <v>1198.4000000000001</v>
      </c>
      <c r="I1291">
        <v>0</v>
      </c>
      <c r="J1291" t="s">
        <v>5503</v>
      </c>
      <c r="M1291" t="s">
        <v>7891</v>
      </c>
      <c r="N1291">
        <v>2021</v>
      </c>
      <c r="O1291" s="124">
        <v>44317</v>
      </c>
      <c r="P1291">
        <v>1198.4000000000001</v>
      </c>
      <c r="T1291" t="s">
        <v>13</v>
      </c>
      <c r="U1291" t="s">
        <v>13</v>
      </c>
    </row>
    <row r="1292" spans="1:21" x14ac:dyDescent="0.25">
      <c r="A1292">
        <v>1276</v>
      </c>
      <c r="B1292" t="s">
        <v>5414</v>
      </c>
      <c r="C1292" t="s">
        <v>3487</v>
      </c>
      <c r="D1292" t="s">
        <v>458</v>
      </c>
      <c r="E1292" t="s">
        <v>86</v>
      </c>
      <c r="F1292" s="124">
        <v>40664</v>
      </c>
      <c r="G1292" s="124">
        <v>44317</v>
      </c>
      <c r="H1292">
        <v>915.46</v>
      </c>
      <c r="I1292">
        <v>0</v>
      </c>
      <c r="J1292" t="s">
        <v>5503</v>
      </c>
      <c r="M1292" t="s">
        <v>7891</v>
      </c>
      <c r="N1292">
        <v>2021</v>
      </c>
      <c r="O1292" s="124">
        <v>44317</v>
      </c>
      <c r="P1292">
        <v>915.46</v>
      </c>
      <c r="T1292" t="s">
        <v>13</v>
      </c>
      <c r="U1292" t="s">
        <v>13</v>
      </c>
    </row>
    <row r="1293" spans="1:21" x14ac:dyDescent="0.25">
      <c r="A1293">
        <v>1277</v>
      </c>
      <c r="B1293" t="s">
        <v>5414</v>
      </c>
      <c r="C1293" t="s">
        <v>3488</v>
      </c>
      <c r="D1293" t="s">
        <v>458</v>
      </c>
      <c r="E1293" t="s">
        <v>86</v>
      </c>
      <c r="F1293" s="124">
        <v>40664</v>
      </c>
      <c r="G1293" s="124">
        <v>44317</v>
      </c>
      <c r="H1293">
        <v>1280</v>
      </c>
      <c r="I1293">
        <v>0</v>
      </c>
      <c r="J1293" t="s">
        <v>5503</v>
      </c>
      <c r="N1293">
        <v>2021</v>
      </c>
      <c r="O1293" s="124">
        <v>44317</v>
      </c>
      <c r="P1293">
        <v>1280</v>
      </c>
      <c r="T1293" t="s">
        <v>13</v>
      </c>
      <c r="U1293" t="s">
        <v>13</v>
      </c>
    </row>
    <row r="1294" spans="1:21" x14ac:dyDescent="0.25">
      <c r="A1294">
        <v>1278</v>
      </c>
      <c r="B1294" t="s">
        <v>5414</v>
      </c>
      <c r="C1294" t="s">
        <v>3490</v>
      </c>
      <c r="D1294" t="s">
        <v>458</v>
      </c>
      <c r="E1294" t="s">
        <v>86</v>
      </c>
      <c r="F1294" s="124">
        <v>40664</v>
      </c>
      <c r="G1294" s="124">
        <v>44317</v>
      </c>
      <c r="H1294">
        <v>1204.8019999999999</v>
      </c>
      <c r="I1294">
        <v>0</v>
      </c>
      <c r="J1294" t="s">
        <v>5503</v>
      </c>
      <c r="M1294" t="s">
        <v>7891</v>
      </c>
      <c r="N1294">
        <v>2021</v>
      </c>
      <c r="O1294" s="124">
        <v>44317</v>
      </c>
      <c r="P1294">
        <v>1204.8019999999999</v>
      </c>
      <c r="T1294" t="s">
        <v>13</v>
      </c>
      <c r="U1294" t="s">
        <v>13</v>
      </c>
    </row>
    <row r="1295" spans="1:21" x14ac:dyDescent="0.25">
      <c r="A1295">
        <v>1279</v>
      </c>
      <c r="B1295" t="s">
        <v>5414</v>
      </c>
      <c r="C1295" t="s">
        <v>3492</v>
      </c>
      <c r="D1295" t="s">
        <v>458</v>
      </c>
      <c r="E1295" t="s">
        <v>86</v>
      </c>
      <c r="F1295" s="124">
        <v>40664</v>
      </c>
      <c r="G1295" s="124">
        <v>44317</v>
      </c>
      <c r="H1295">
        <v>40</v>
      </c>
      <c r="I1295">
        <v>0</v>
      </c>
      <c r="J1295" t="s">
        <v>5503</v>
      </c>
      <c r="N1295">
        <v>2021</v>
      </c>
      <c r="O1295" s="124">
        <v>44317</v>
      </c>
      <c r="P1295">
        <v>40</v>
      </c>
      <c r="T1295" t="s">
        <v>13</v>
      </c>
      <c r="U1295" t="s">
        <v>13</v>
      </c>
    </row>
    <row r="1296" spans="1:21" x14ac:dyDescent="0.25">
      <c r="A1296">
        <v>1280</v>
      </c>
      <c r="B1296" t="s">
        <v>5414</v>
      </c>
      <c r="C1296" t="s">
        <v>3495</v>
      </c>
      <c r="D1296" t="s">
        <v>458</v>
      </c>
      <c r="E1296" t="s">
        <v>86</v>
      </c>
      <c r="F1296" s="124">
        <v>40664</v>
      </c>
      <c r="G1296" s="124">
        <v>44317</v>
      </c>
      <c r="H1296">
        <v>1030</v>
      </c>
      <c r="I1296">
        <v>0</v>
      </c>
      <c r="J1296" t="s">
        <v>5503</v>
      </c>
      <c r="M1296" t="s">
        <v>7891</v>
      </c>
      <c r="N1296">
        <v>2021</v>
      </c>
      <c r="O1296" s="124">
        <v>44317</v>
      </c>
      <c r="P1296">
        <v>1030</v>
      </c>
      <c r="T1296" t="s">
        <v>13</v>
      </c>
      <c r="U1296" t="s">
        <v>13</v>
      </c>
    </row>
    <row r="1297" spans="1:21" x14ac:dyDescent="0.25">
      <c r="A1297">
        <v>1281</v>
      </c>
      <c r="B1297" t="s">
        <v>5414</v>
      </c>
      <c r="C1297" t="s">
        <v>3496</v>
      </c>
      <c r="D1297" t="s">
        <v>458</v>
      </c>
      <c r="E1297" t="s">
        <v>86</v>
      </c>
      <c r="F1297" s="124">
        <v>40664</v>
      </c>
      <c r="G1297" s="124">
        <v>44317</v>
      </c>
      <c r="H1297">
        <v>921.24</v>
      </c>
      <c r="I1297">
        <v>0</v>
      </c>
      <c r="J1297" t="s">
        <v>5503</v>
      </c>
      <c r="N1297">
        <v>2021</v>
      </c>
      <c r="O1297" s="124">
        <v>44317</v>
      </c>
      <c r="P1297">
        <v>921.24</v>
      </c>
      <c r="T1297" t="s">
        <v>13</v>
      </c>
      <c r="U1297" t="s">
        <v>13</v>
      </c>
    </row>
    <row r="1298" spans="1:21" x14ac:dyDescent="0.25">
      <c r="A1298">
        <v>1282</v>
      </c>
      <c r="B1298" t="s">
        <v>5414</v>
      </c>
      <c r="C1298" t="s">
        <v>3498</v>
      </c>
      <c r="D1298" t="s">
        <v>458</v>
      </c>
      <c r="E1298" t="s">
        <v>86</v>
      </c>
      <c r="F1298" s="124">
        <v>40664</v>
      </c>
      <c r="G1298" s="124">
        <v>44317</v>
      </c>
      <c r="H1298">
        <v>692.28899999999999</v>
      </c>
      <c r="I1298">
        <v>0</v>
      </c>
      <c r="J1298" t="s">
        <v>5503</v>
      </c>
      <c r="M1298" t="s">
        <v>7891</v>
      </c>
      <c r="N1298">
        <v>2021</v>
      </c>
      <c r="O1298" s="124">
        <v>44317</v>
      </c>
      <c r="P1298">
        <v>692.28899999999999</v>
      </c>
      <c r="T1298" t="s">
        <v>13</v>
      </c>
      <c r="U1298" t="s">
        <v>13</v>
      </c>
    </row>
    <row r="1299" spans="1:21" x14ac:dyDescent="0.25">
      <c r="A1299">
        <v>1283</v>
      </c>
      <c r="B1299" t="s">
        <v>5414</v>
      </c>
      <c r="C1299" t="s">
        <v>3499</v>
      </c>
      <c r="D1299" t="s">
        <v>458</v>
      </c>
      <c r="E1299" t="s">
        <v>86</v>
      </c>
      <c r="F1299" s="124">
        <v>40664</v>
      </c>
      <c r="G1299" s="124">
        <v>44317</v>
      </c>
      <c r="H1299">
        <v>64.281000000000006</v>
      </c>
      <c r="I1299">
        <v>0</v>
      </c>
      <c r="J1299" t="s">
        <v>5503</v>
      </c>
      <c r="M1299" t="s">
        <v>7891</v>
      </c>
      <c r="N1299">
        <v>2021</v>
      </c>
      <c r="O1299" s="124">
        <v>44317</v>
      </c>
      <c r="P1299">
        <v>64.281000000000006</v>
      </c>
      <c r="T1299" t="s">
        <v>13</v>
      </c>
      <c r="U1299" t="s">
        <v>13</v>
      </c>
    </row>
    <row r="1300" spans="1:21" x14ac:dyDescent="0.25">
      <c r="A1300">
        <v>1284</v>
      </c>
      <c r="B1300" t="s">
        <v>5414</v>
      </c>
      <c r="C1300" t="s">
        <v>3502</v>
      </c>
      <c r="D1300" t="s">
        <v>458</v>
      </c>
      <c r="E1300" t="s">
        <v>86</v>
      </c>
      <c r="F1300" s="124">
        <v>40664</v>
      </c>
      <c r="G1300" s="124">
        <v>44317</v>
      </c>
      <c r="H1300">
        <v>40</v>
      </c>
      <c r="I1300">
        <v>0</v>
      </c>
      <c r="J1300" t="s">
        <v>5503</v>
      </c>
      <c r="N1300">
        <v>2021</v>
      </c>
      <c r="O1300" s="124">
        <v>44317</v>
      </c>
      <c r="P1300">
        <v>40</v>
      </c>
      <c r="T1300" t="s">
        <v>13</v>
      </c>
      <c r="U1300" t="s">
        <v>13</v>
      </c>
    </row>
    <row r="1301" spans="1:21" x14ac:dyDescent="0.25">
      <c r="A1301">
        <v>1285</v>
      </c>
      <c r="B1301" t="s">
        <v>5414</v>
      </c>
      <c r="C1301" t="s">
        <v>3501</v>
      </c>
      <c r="D1301" t="s">
        <v>458</v>
      </c>
      <c r="E1301" t="s">
        <v>86</v>
      </c>
      <c r="F1301" s="124">
        <v>40664</v>
      </c>
      <c r="G1301" s="124">
        <v>44317</v>
      </c>
      <c r="H1301">
        <v>914.11</v>
      </c>
      <c r="I1301">
        <v>0</v>
      </c>
      <c r="J1301" t="s">
        <v>5503</v>
      </c>
      <c r="M1301" t="s">
        <v>7891</v>
      </c>
      <c r="N1301">
        <v>2021</v>
      </c>
      <c r="O1301" s="124">
        <v>44317</v>
      </c>
      <c r="P1301">
        <v>914.11</v>
      </c>
      <c r="T1301" t="s">
        <v>13</v>
      </c>
      <c r="U1301" t="s">
        <v>13</v>
      </c>
    </row>
    <row r="1302" spans="1:21" x14ac:dyDescent="0.25">
      <c r="A1302">
        <v>1286</v>
      </c>
      <c r="B1302" t="s">
        <v>5414</v>
      </c>
      <c r="C1302" t="s">
        <v>3690</v>
      </c>
      <c r="D1302" t="s">
        <v>202</v>
      </c>
      <c r="E1302" t="s">
        <v>86</v>
      </c>
      <c r="F1302" s="124">
        <v>40787</v>
      </c>
      <c r="G1302" s="124">
        <v>44440</v>
      </c>
      <c r="H1302">
        <v>640.6</v>
      </c>
      <c r="I1302">
        <v>0</v>
      </c>
      <c r="J1302" t="s">
        <v>5503</v>
      </c>
      <c r="N1302">
        <v>2021</v>
      </c>
      <c r="O1302" s="124">
        <v>44440</v>
      </c>
      <c r="P1302">
        <v>640.6</v>
      </c>
      <c r="T1302" t="s">
        <v>13</v>
      </c>
      <c r="U1302" t="s">
        <v>13</v>
      </c>
    </row>
    <row r="1303" spans="1:21" x14ac:dyDescent="0.25">
      <c r="A1303">
        <v>1287</v>
      </c>
      <c r="B1303" t="s">
        <v>5414</v>
      </c>
      <c r="C1303" t="s">
        <v>3694</v>
      </c>
      <c r="D1303" t="s">
        <v>202</v>
      </c>
      <c r="E1303" t="s">
        <v>86</v>
      </c>
      <c r="F1303" s="124">
        <v>40756</v>
      </c>
      <c r="G1303" s="124">
        <v>44409</v>
      </c>
      <c r="H1303">
        <v>640</v>
      </c>
      <c r="I1303">
        <v>0</v>
      </c>
      <c r="J1303" t="s">
        <v>5503</v>
      </c>
      <c r="N1303">
        <v>2021</v>
      </c>
      <c r="O1303" s="124">
        <v>44409</v>
      </c>
      <c r="P1303">
        <v>640</v>
      </c>
      <c r="T1303" t="s">
        <v>13</v>
      </c>
      <c r="U1303" t="s">
        <v>13</v>
      </c>
    </row>
    <row r="1304" spans="1:21" x14ac:dyDescent="0.25">
      <c r="A1304">
        <v>1288</v>
      </c>
      <c r="B1304" t="s">
        <v>5414</v>
      </c>
      <c r="C1304" t="s">
        <v>3697</v>
      </c>
      <c r="D1304" t="s">
        <v>202</v>
      </c>
      <c r="E1304" t="s">
        <v>86</v>
      </c>
      <c r="F1304" s="124">
        <v>40756</v>
      </c>
      <c r="G1304" s="124">
        <v>44409</v>
      </c>
      <c r="H1304">
        <v>537.44000000000005</v>
      </c>
      <c r="I1304">
        <v>0</v>
      </c>
      <c r="J1304" t="s">
        <v>5503</v>
      </c>
      <c r="N1304">
        <v>2021</v>
      </c>
      <c r="O1304" s="124">
        <v>44409</v>
      </c>
      <c r="P1304">
        <v>537.44000000000005</v>
      </c>
      <c r="T1304" t="s">
        <v>13</v>
      </c>
      <c r="U1304" t="s">
        <v>13</v>
      </c>
    </row>
    <row r="1305" spans="1:21" x14ac:dyDescent="0.25">
      <c r="A1305">
        <v>1289</v>
      </c>
      <c r="B1305" t="s">
        <v>5414</v>
      </c>
      <c r="C1305" t="s">
        <v>3700</v>
      </c>
      <c r="D1305" t="s">
        <v>782</v>
      </c>
      <c r="E1305" t="s">
        <v>86</v>
      </c>
      <c r="F1305" s="124">
        <v>40756</v>
      </c>
      <c r="G1305" s="124">
        <v>44409</v>
      </c>
      <c r="H1305">
        <v>359.33</v>
      </c>
      <c r="I1305">
        <v>0</v>
      </c>
      <c r="J1305" t="s">
        <v>5503</v>
      </c>
      <c r="N1305">
        <v>2021</v>
      </c>
      <c r="O1305" s="124">
        <v>44409</v>
      </c>
      <c r="P1305">
        <v>359.33</v>
      </c>
      <c r="T1305" t="s">
        <v>13</v>
      </c>
      <c r="U1305" t="s">
        <v>13</v>
      </c>
    </row>
    <row r="1306" spans="1:21" x14ac:dyDescent="0.25">
      <c r="A1306">
        <v>1290</v>
      </c>
      <c r="B1306" t="s">
        <v>5414</v>
      </c>
      <c r="C1306" t="s">
        <v>3703</v>
      </c>
      <c r="D1306" t="s">
        <v>782</v>
      </c>
      <c r="E1306" t="s">
        <v>86</v>
      </c>
      <c r="F1306" s="124">
        <v>40756</v>
      </c>
      <c r="G1306" s="124">
        <v>44409</v>
      </c>
      <c r="H1306">
        <v>399.53</v>
      </c>
      <c r="I1306">
        <v>0</v>
      </c>
      <c r="J1306" t="s">
        <v>5503</v>
      </c>
      <c r="N1306">
        <v>2021</v>
      </c>
      <c r="O1306" s="124">
        <v>44409</v>
      </c>
      <c r="P1306">
        <v>399.53</v>
      </c>
      <c r="T1306" t="s">
        <v>13</v>
      </c>
      <c r="U1306" t="s">
        <v>13</v>
      </c>
    </row>
    <row r="1307" spans="1:21" x14ac:dyDescent="0.25">
      <c r="A1307">
        <v>1291</v>
      </c>
      <c r="B1307" t="s">
        <v>5414</v>
      </c>
      <c r="C1307" t="s">
        <v>3706</v>
      </c>
      <c r="D1307" t="s">
        <v>782</v>
      </c>
      <c r="E1307" t="s">
        <v>86</v>
      </c>
      <c r="F1307" s="124">
        <v>40756</v>
      </c>
      <c r="G1307" s="124">
        <v>44409</v>
      </c>
      <c r="H1307">
        <v>1236.33</v>
      </c>
      <c r="I1307">
        <v>0</v>
      </c>
      <c r="J1307" t="s">
        <v>5503</v>
      </c>
      <c r="N1307">
        <v>2021</v>
      </c>
      <c r="O1307" s="124">
        <v>44409</v>
      </c>
      <c r="P1307">
        <v>1236.33</v>
      </c>
      <c r="T1307" t="s">
        <v>13</v>
      </c>
      <c r="U1307" t="s">
        <v>13</v>
      </c>
    </row>
    <row r="1308" spans="1:21" x14ac:dyDescent="0.25">
      <c r="A1308">
        <v>1292</v>
      </c>
      <c r="B1308" t="s">
        <v>5414</v>
      </c>
      <c r="C1308" t="s">
        <v>3708</v>
      </c>
      <c r="D1308" t="s">
        <v>202</v>
      </c>
      <c r="E1308" t="s">
        <v>86</v>
      </c>
      <c r="F1308" s="124">
        <v>40756</v>
      </c>
      <c r="G1308" s="124">
        <v>44409</v>
      </c>
      <c r="H1308">
        <v>1154.53</v>
      </c>
      <c r="I1308">
        <v>0</v>
      </c>
      <c r="J1308" t="s">
        <v>5503</v>
      </c>
      <c r="N1308">
        <v>2021</v>
      </c>
      <c r="O1308" s="124">
        <v>44409</v>
      </c>
      <c r="P1308">
        <v>1154.53</v>
      </c>
      <c r="T1308" t="s">
        <v>13</v>
      </c>
      <c r="U1308" t="s">
        <v>13</v>
      </c>
    </row>
    <row r="1309" spans="1:21" x14ac:dyDescent="0.25">
      <c r="A1309">
        <v>1293</v>
      </c>
      <c r="B1309" t="s">
        <v>5414</v>
      </c>
      <c r="C1309" t="s">
        <v>3710</v>
      </c>
      <c r="D1309" t="s">
        <v>202</v>
      </c>
      <c r="E1309" t="s">
        <v>86</v>
      </c>
      <c r="F1309" s="124">
        <v>40756</v>
      </c>
      <c r="G1309" s="124">
        <v>44409</v>
      </c>
      <c r="H1309">
        <v>804.76</v>
      </c>
      <c r="I1309">
        <v>0</v>
      </c>
      <c r="J1309" t="s">
        <v>5503</v>
      </c>
      <c r="N1309">
        <v>2021</v>
      </c>
      <c r="O1309" s="124">
        <v>44409</v>
      </c>
      <c r="P1309">
        <v>804.76</v>
      </c>
      <c r="T1309" t="s">
        <v>13</v>
      </c>
      <c r="U1309" t="s">
        <v>13</v>
      </c>
    </row>
    <row r="1310" spans="1:21" x14ac:dyDescent="0.25">
      <c r="A1310">
        <v>1294</v>
      </c>
      <c r="B1310" t="s">
        <v>5414</v>
      </c>
      <c r="C1310" t="s">
        <v>3713</v>
      </c>
      <c r="D1310" t="s">
        <v>202</v>
      </c>
      <c r="E1310" t="s">
        <v>86</v>
      </c>
      <c r="F1310" s="124">
        <v>40756</v>
      </c>
      <c r="G1310" s="124">
        <v>44409</v>
      </c>
      <c r="H1310">
        <v>957.28</v>
      </c>
      <c r="I1310">
        <v>0</v>
      </c>
      <c r="J1310" t="s">
        <v>5503</v>
      </c>
      <c r="N1310">
        <v>2021</v>
      </c>
      <c r="O1310" s="124">
        <v>44409</v>
      </c>
      <c r="P1310">
        <v>957.28</v>
      </c>
      <c r="T1310" t="s">
        <v>13</v>
      </c>
      <c r="U1310" t="s">
        <v>13</v>
      </c>
    </row>
    <row r="1311" spans="1:21" x14ac:dyDescent="0.25">
      <c r="A1311">
        <v>1295</v>
      </c>
      <c r="B1311" t="s">
        <v>5414</v>
      </c>
      <c r="C1311" t="s">
        <v>3716</v>
      </c>
      <c r="D1311" t="s">
        <v>782</v>
      </c>
      <c r="E1311" t="s">
        <v>86</v>
      </c>
      <c r="F1311" s="124">
        <v>40756</v>
      </c>
      <c r="G1311" s="124">
        <v>44409</v>
      </c>
      <c r="H1311">
        <v>1278</v>
      </c>
      <c r="I1311">
        <v>0</v>
      </c>
      <c r="J1311" t="s">
        <v>5503</v>
      </c>
      <c r="N1311">
        <v>2021</v>
      </c>
      <c r="O1311" s="124">
        <v>44409</v>
      </c>
      <c r="P1311">
        <v>1278</v>
      </c>
      <c r="T1311" t="s">
        <v>13</v>
      </c>
      <c r="U1311" t="s">
        <v>13</v>
      </c>
    </row>
    <row r="1312" spans="1:21" x14ac:dyDescent="0.25">
      <c r="A1312">
        <v>1296</v>
      </c>
      <c r="B1312" t="s">
        <v>5414</v>
      </c>
      <c r="C1312" t="s">
        <v>3719</v>
      </c>
      <c r="D1312" t="s">
        <v>782</v>
      </c>
      <c r="E1312" t="s">
        <v>86</v>
      </c>
      <c r="F1312" s="124">
        <v>40756</v>
      </c>
      <c r="G1312" s="124">
        <v>44409</v>
      </c>
      <c r="H1312">
        <v>1277.4000000000001</v>
      </c>
      <c r="I1312">
        <v>0</v>
      </c>
      <c r="J1312" t="s">
        <v>5503</v>
      </c>
      <c r="N1312">
        <v>2021</v>
      </c>
      <c r="O1312" s="124">
        <v>44409</v>
      </c>
      <c r="P1312">
        <v>1277.4000000000001</v>
      </c>
      <c r="T1312" t="s">
        <v>13</v>
      </c>
      <c r="U1312" t="s">
        <v>13</v>
      </c>
    </row>
    <row r="1313" spans="1:21" x14ac:dyDescent="0.25">
      <c r="A1313">
        <v>1297</v>
      </c>
      <c r="B1313" t="s">
        <v>5414</v>
      </c>
      <c r="C1313" t="s">
        <v>3722</v>
      </c>
      <c r="D1313" t="s">
        <v>4865</v>
      </c>
      <c r="E1313" t="s">
        <v>86</v>
      </c>
      <c r="F1313" s="124">
        <v>40756</v>
      </c>
      <c r="G1313" s="124">
        <v>44409</v>
      </c>
      <c r="H1313">
        <v>1324.52</v>
      </c>
      <c r="I1313">
        <v>0</v>
      </c>
      <c r="J1313" t="s">
        <v>5503</v>
      </c>
      <c r="N1313">
        <v>2021</v>
      </c>
      <c r="O1313" s="124">
        <v>44409</v>
      </c>
      <c r="P1313">
        <v>1324.52</v>
      </c>
      <c r="T1313" t="s">
        <v>13</v>
      </c>
      <c r="U1313" t="s">
        <v>13</v>
      </c>
    </row>
    <row r="1314" spans="1:21" x14ac:dyDescent="0.25">
      <c r="A1314">
        <v>1298</v>
      </c>
      <c r="B1314" t="s">
        <v>5414</v>
      </c>
      <c r="C1314" t="s">
        <v>3725</v>
      </c>
      <c r="D1314" t="s">
        <v>202</v>
      </c>
      <c r="E1314" t="s">
        <v>86</v>
      </c>
      <c r="F1314" s="124">
        <v>40756</v>
      </c>
      <c r="G1314" s="124">
        <v>44409</v>
      </c>
      <c r="H1314">
        <v>1002.97</v>
      </c>
      <c r="I1314">
        <v>0</v>
      </c>
      <c r="J1314" t="s">
        <v>5503</v>
      </c>
      <c r="N1314">
        <v>2021</v>
      </c>
      <c r="O1314" s="124">
        <v>44409</v>
      </c>
      <c r="P1314">
        <v>1002.97</v>
      </c>
      <c r="T1314" t="s">
        <v>13</v>
      </c>
      <c r="U1314" t="s">
        <v>13</v>
      </c>
    </row>
    <row r="1315" spans="1:21" x14ac:dyDescent="0.25">
      <c r="A1315">
        <v>1299</v>
      </c>
      <c r="B1315" t="s">
        <v>5414</v>
      </c>
      <c r="C1315" t="s">
        <v>3728</v>
      </c>
      <c r="D1315" t="s">
        <v>4865</v>
      </c>
      <c r="E1315" t="s">
        <v>86</v>
      </c>
      <c r="F1315" s="124">
        <v>40756</v>
      </c>
      <c r="G1315" s="124">
        <v>44409</v>
      </c>
      <c r="H1315">
        <v>834.25</v>
      </c>
      <c r="I1315">
        <v>0</v>
      </c>
      <c r="J1315" t="s">
        <v>5503</v>
      </c>
      <c r="N1315">
        <v>2021</v>
      </c>
      <c r="O1315" s="124">
        <v>44409</v>
      </c>
      <c r="P1315">
        <v>834.25</v>
      </c>
      <c r="T1315" t="s">
        <v>13</v>
      </c>
      <c r="U1315" t="s">
        <v>13</v>
      </c>
    </row>
    <row r="1316" spans="1:21" x14ac:dyDescent="0.25">
      <c r="A1316">
        <v>1300</v>
      </c>
      <c r="B1316" t="s">
        <v>5414</v>
      </c>
      <c r="C1316" t="s">
        <v>3731</v>
      </c>
      <c r="D1316" t="s">
        <v>782</v>
      </c>
      <c r="E1316" t="s">
        <v>86</v>
      </c>
      <c r="F1316" s="124">
        <v>40756</v>
      </c>
      <c r="G1316" s="124">
        <v>44409</v>
      </c>
      <c r="H1316">
        <v>1101.6500000000001</v>
      </c>
      <c r="I1316">
        <v>0</v>
      </c>
      <c r="J1316" t="s">
        <v>5503</v>
      </c>
      <c r="N1316">
        <v>2021</v>
      </c>
      <c r="O1316" s="124">
        <v>44409</v>
      </c>
      <c r="P1316">
        <v>1101.6500000000001</v>
      </c>
      <c r="T1316" t="s">
        <v>13</v>
      </c>
      <c r="U1316" t="s">
        <v>13</v>
      </c>
    </row>
    <row r="1317" spans="1:21" x14ac:dyDescent="0.25">
      <c r="A1317">
        <v>1301</v>
      </c>
      <c r="B1317" t="s">
        <v>5414</v>
      </c>
      <c r="C1317" t="s">
        <v>3734</v>
      </c>
      <c r="D1317" t="s">
        <v>782</v>
      </c>
      <c r="E1317" t="s">
        <v>86</v>
      </c>
      <c r="F1317" s="124">
        <v>40756</v>
      </c>
      <c r="G1317" s="124">
        <v>44409</v>
      </c>
      <c r="H1317">
        <v>635.04999999999995</v>
      </c>
      <c r="I1317">
        <v>0</v>
      </c>
      <c r="J1317" t="s">
        <v>5503</v>
      </c>
      <c r="N1317">
        <v>2021</v>
      </c>
      <c r="O1317" s="124">
        <v>44409</v>
      </c>
      <c r="P1317">
        <v>635.04999999999995</v>
      </c>
      <c r="T1317" t="s">
        <v>13</v>
      </c>
      <c r="U1317" t="s">
        <v>13</v>
      </c>
    </row>
    <row r="1318" spans="1:21" x14ac:dyDescent="0.25">
      <c r="A1318">
        <v>1302</v>
      </c>
      <c r="B1318" t="s">
        <v>5414</v>
      </c>
      <c r="C1318" t="s">
        <v>3737</v>
      </c>
      <c r="D1318" t="s">
        <v>202</v>
      </c>
      <c r="E1318" t="s">
        <v>86</v>
      </c>
      <c r="F1318" s="124">
        <v>40756</v>
      </c>
      <c r="G1318" s="124">
        <v>44409</v>
      </c>
      <c r="H1318">
        <v>993.08</v>
      </c>
      <c r="I1318">
        <v>0</v>
      </c>
      <c r="J1318" t="s">
        <v>5503</v>
      </c>
      <c r="N1318">
        <v>2021</v>
      </c>
      <c r="O1318" s="124">
        <v>44409</v>
      </c>
      <c r="P1318">
        <v>993.08</v>
      </c>
      <c r="T1318" t="s">
        <v>13</v>
      </c>
      <c r="U1318" t="s">
        <v>13</v>
      </c>
    </row>
    <row r="1319" spans="1:21" x14ac:dyDescent="0.25">
      <c r="A1319">
        <v>1303</v>
      </c>
      <c r="B1319" t="s">
        <v>5414</v>
      </c>
      <c r="C1319" t="s">
        <v>2308</v>
      </c>
      <c r="D1319" t="s">
        <v>85</v>
      </c>
      <c r="E1319" t="s">
        <v>86</v>
      </c>
      <c r="F1319" s="124">
        <v>39692</v>
      </c>
      <c r="G1319" s="124">
        <v>43344</v>
      </c>
      <c r="H1319">
        <v>80</v>
      </c>
      <c r="I1319">
        <v>0</v>
      </c>
      <c r="J1319" t="s">
        <v>5503</v>
      </c>
      <c r="N1319">
        <v>2018</v>
      </c>
      <c r="O1319" s="124">
        <v>43344</v>
      </c>
      <c r="P1319">
        <v>80</v>
      </c>
      <c r="T1319" t="s">
        <v>13</v>
      </c>
      <c r="U1319" t="s">
        <v>13</v>
      </c>
    </row>
    <row r="1320" spans="1:21" x14ac:dyDescent="0.25">
      <c r="A1320">
        <v>1304</v>
      </c>
      <c r="B1320" t="s">
        <v>5414</v>
      </c>
      <c r="C1320" t="s">
        <v>4920</v>
      </c>
      <c r="D1320" t="s">
        <v>5049</v>
      </c>
      <c r="E1320" t="s">
        <v>72</v>
      </c>
      <c r="F1320" s="124">
        <v>42705</v>
      </c>
      <c r="G1320" s="124">
        <v>46357</v>
      </c>
      <c r="H1320">
        <v>20</v>
      </c>
      <c r="I1320">
        <v>0</v>
      </c>
      <c r="J1320" t="s">
        <v>5503</v>
      </c>
      <c r="M1320" t="s">
        <v>7891</v>
      </c>
      <c r="N1320">
        <v>2026</v>
      </c>
      <c r="O1320" s="124">
        <v>46357</v>
      </c>
      <c r="P1320">
        <v>20</v>
      </c>
      <c r="T1320" t="s">
        <v>13</v>
      </c>
      <c r="U1320" t="s">
        <v>13</v>
      </c>
    </row>
    <row r="1321" spans="1:21" x14ac:dyDescent="0.25">
      <c r="A1321">
        <v>1309</v>
      </c>
      <c r="B1321" t="s">
        <v>5414</v>
      </c>
      <c r="C1321" t="s">
        <v>8019</v>
      </c>
      <c r="D1321" t="s">
        <v>453</v>
      </c>
      <c r="E1321" t="s">
        <v>86</v>
      </c>
      <c r="F1321" t="s">
        <v>13</v>
      </c>
      <c r="G1321" t="s">
        <v>7977</v>
      </c>
      <c r="H1321" t="s">
        <v>7977</v>
      </c>
      <c r="I1321">
        <v>0</v>
      </c>
      <c r="J1321" t="s">
        <v>5503</v>
      </c>
      <c r="N1321">
        <v>0</v>
      </c>
      <c r="O1321">
        <v>0</v>
      </c>
      <c r="P1321">
        <v>9.58</v>
      </c>
      <c r="Q1321" t="s">
        <v>8103</v>
      </c>
      <c r="T1321" t="s">
        <v>13</v>
      </c>
    </row>
    <row r="1322" spans="1:21" x14ac:dyDescent="0.25">
      <c r="A1322">
        <v>1310</v>
      </c>
      <c r="B1322" t="s">
        <v>5414</v>
      </c>
      <c r="C1322" t="s">
        <v>8020</v>
      </c>
      <c r="D1322" t="s">
        <v>453</v>
      </c>
      <c r="E1322" t="s">
        <v>86</v>
      </c>
      <c r="F1322" t="s">
        <v>13</v>
      </c>
      <c r="G1322" t="s">
        <v>7977</v>
      </c>
      <c r="H1322" t="s">
        <v>7977</v>
      </c>
      <c r="I1322">
        <v>0</v>
      </c>
      <c r="J1322" t="s">
        <v>5503</v>
      </c>
      <c r="N1322">
        <v>0</v>
      </c>
      <c r="O1322">
        <v>0</v>
      </c>
      <c r="P1322">
        <v>122.39</v>
      </c>
      <c r="Q1322" t="s">
        <v>8103</v>
      </c>
      <c r="T1322" t="s">
        <v>13</v>
      </c>
    </row>
    <row r="1323" spans="1:21" x14ac:dyDescent="0.25">
      <c r="A1323">
        <v>1311</v>
      </c>
      <c r="B1323" t="s">
        <v>5414</v>
      </c>
      <c r="C1323" t="s">
        <v>8022</v>
      </c>
      <c r="D1323" t="s">
        <v>453</v>
      </c>
      <c r="E1323" t="s">
        <v>86</v>
      </c>
      <c r="F1323" t="s">
        <v>13</v>
      </c>
      <c r="G1323" t="s">
        <v>7977</v>
      </c>
      <c r="H1323" t="s">
        <v>7977</v>
      </c>
      <c r="I1323">
        <v>0</v>
      </c>
      <c r="J1323" t="s">
        <v>5503</v>
      </c>
      <c r="N1323">
        <v>0</v>
      </c>
      <c r="O1323">
        <v>0</v>
      </c>
      <c r="P1323">
        <v>133.38999999999999</v>
      </c>
      <c r="Q1323" t="s">
        <v>8103</v>
      </c>
      <c r="T1323" t="s">
        <v>13</v>
      </c>
    </row>
    <row r="1324" spans="1:21" x14ac:dyDescent="0.25">
      <c r="A1324">
        <v>1312</v>
      </c>
      <c r="B1324" t="s">
        <v>5414</v>
      </c>
      <c r="C1324" t="s">
        <v>8023</v>
      </c>
      <c r="D1324" t="s">
        <v>453</v>
      </c>
      <c r="E1324" t="s">
        <v>86</v>
      </c>
      <c r="F1324" t="s">
        <v>13</v>
      </c>
      <c r="G1324" t="s">
        <v>7977</v>
      </c>
      <c r="H1324" t="s">
        <v>7977</v>
      </c>
      <c r="I1324">
        <v>0</v>
      </c>
      <c r="J1324" t="s">
        <v>5503</v>
      </c>
      <c r="N1324">
        <v>0</v>
      </c>
      <c r="O1324">
        <v>0</v>
      </c>
      <c r="P1324">
        <v>79.36</v>
      </c>
      <c r="Q1324" t="s">
        <v>8103</v>
      </c>
      <c r="T1324" t="s">
        <v>13</v>
      </c>
    </row>
    <row r="1325" spans="1:21" x14ac:dyDescent="0.25">
      <c r="A1325">
        <v>1313</v>
      </c>
      <c r="B1325" t="s">
        <v>5414</v>
      </c>
      <c r="C1325" t="s">
        <v>8021</v>
      </c>
      <c r="D1325" t="s">
        <v>453</v>
      </c>
      <c r="E1325" t="s">
        <v>86</v>
      </c>
      <c r="F1325" t="s">
        <v>13</v>
      </c>
      <c r="G1325" t="s">
        <v>7977</v>
      </c>
      <c r="H1325" t="s">
        <v>7977</v>
      </c>
      <c r="I1325">
        <v>0</v>
      </c>
      <c r="J1325" t="s">
        <v>5503</v>
      </c>
      <c r="N1325">
        <v>0</v>
      </c>
      <c r="O1325">
        <v>0</v>
      </c>
      <c r="P1325">
        <v>565.95000000000005</v>
      </c>
      <c r="Q1325" t="s">
        <v>8103</v>
      </c>
    </row>
    <row r="1326" spans="1:21" x14ac:dyDescent="0.25">
      <c r="A1326">
        <v>1314</v>
      </c>
      <c r="B1326" t="s">
        <v>5414</v>
      </c>
      <c r="C1326" t="s">
        <v>8024</v>
      </c>
      <c r="D1326" t="s">
        <v>684</v>
      </c>
      <c r="E1326" t="s">
        <v>86</v>
      </c>
      <c r="F1326" t="s">
        <v>13</v>
      </c>
      <c r="G1326" t="s">
        <v>7977</v>
      </c>
      <c r="H1326" t="s">
        <v>7977</v>
      </c>
      <c r="I1326">
        <v>0</v>
      </c>
      <c r="J1326" t="s">
        <v>5503</v>
      </c>
      <c r="N1326">
        <v>0</v>
      </c>
      <c r="O1326">
        <v>0</v>
      </c>
      <c r="P1326">
        <v>77.760000000000005</v>
      </c>
      <c r="Q1326" t="s">
        <v>8103</v>
      </c>
      <c r="T1326" t="s">
        <v>13</v>
      </c>
    </row>
    <row r="1327" spans="1:21" x14ac:dyDescent="0.25">
      <c r="A1327">
        <v>1314</v>
      </c>
      <c r="B1327" t="s">
        <v>5414</v>
      </c>
      <c r="C1327" t="s">
        <v>8025</v>
      </c>
      <c r="D1327" t="s">
        <v>684</v>
      </c>
      <c r="E1327" t="s">
        <v>86</v>
      </c>
      <c r="F1327" t="s">
        <v>13</v>
      </c>
      <c r="G1327" t="s">
        <v>7977</v>
      </c>
      <c r="H1327" t="s">
        <v>7977</v>
      </c>
      <c r="I1327">
        <v>0</v>
      </c>
      <c r="J1327" t="s">
        <v>5503</v>
      </c>
      <c r="N1327">
        <v>0</v>
      </c>
      <c r="O1327">
        <v>0</v>
      </c>
      <c r="P1327">
        <v>79.680000000000007</v>
      </c>
      <c r="Q1327" t="s">
        <v>8103</v>
      </c>
      <c r="T1327" t="s">
        <v>13</v>
      </c>
    </row>
    <row r="1328" spans="1:21" x14ac:dyDescent="0.25">
      <c r="A1328">
        <v>1315</v>
      </c>
      <c r="B1328" t="s">
        <v>5414</v>
      </c>
      <c r="C1328" t="s">
        <v>8027</v>
      </c>
      <c r="D1328" t="s">
        <v>2747</v>
      </c>
      <c r="E1328" t="s">
        <v>2748</v>
      </c>
      <c r="F1328" t="s">
        <v>13</v>
      </c>
      <c r="G1328" t="s">
        <v>7977</v>
      </c>
      <c r="H1328" t="s">
        <v>7977</v>
      </c>
      <c r="I1328">
        <v>0</v>
      </c>
      <c r="J1328" t="s">
        <v>5503</v>
      </c>
      <c r="N1328">
        <v>0</v>
      </c>
      <c r="O1328">
        <v>0</v>
      </c>
      <c r="P1328">
        <v>42.25</v>
      </c>
      <c r="Q1328" t="s">
        <v>8103</v>
      </c>
    </row>
    <row r="1329" spans="1:20" x14ac:dyDescent="0.25">
      <c r="A1329">
        <v>1316</v>
      </c>
      <c r="B1329" t="s">
        <v>5414</v>
      </c>
      <c r="C1329" t="s">
        <v>8026</v>
      </c>
      <c r="D1329" t="s">
        <v>2397</v>
      </c>
      <c r="E1329" t="s">
        <v>79</v>
      </c>
      <c r="F1329" t="s">
        <v>13</v>
      </c>
      <c r="G1329" t="s">
        <v>7977</v>
      </c>
      <c r="H1329" t="s">
        <v>7977</v>
      </c>
      <c r="I1329">
        <v>0</v>
      </c>
      <c r="J1329" t="s">
        <v>5503</v>
      </c>
      <c r="N1329">
        <v>0</v>
      </c>
      <c r="O1329">
        <v>0</v>
      </c>
      <c r="P1329">
        <v>40.4</v>
      </c>
      <c r="Q1329" t="s">
        <v>8103</v>
      </c>
      <c r="T1329" t="s">
        <v>13</v>
      </c>
    </row>
    <row r="1332" spans="1:20" x14ac:dyDescent="0.25">
      <c r="A1332" t="s">
        <v>7973</v>
      </c>
      <c r="B1332" t="s">
        <v>5404</v>
      </c>
      <c r="C1332" t="s">
        <v>5405</v>
      </c>
      <c r="D1332" t="s">
        <v>8</v>
      </c>
      <c r="E1332" t="s">
        <v>9</v>
      </c>
      <c r="F1332" t="s">
        <v>5406</v>
      </c>
      <c r="H1332" t="s">
        <v>6220</v>
      </c>
      <c r="J1332" t="s">
        <v>7974</v>
      </c>
      <c r="K1332" t="s">
        <v>5411</v>
      </c>
      <c r="L1332" t="s">
        <v>5412</v>
      </c>
      <c r="M1332" t="s">
        <v>5413</v>
      </c>
      <c r="N1332" t="s">
        <v>7975</v>
      </c>
    </row>
    <row r="1333" spans="1:20" x14ac:dyDescent="0.25">
      <c r="A1333">
        <v>1</v>
      </c>
      <c r="B1333" t="s">
        <v>7976</v>
      </c>
      <c r="C1333" t="s">
        <v>7924</v>
      </c>
      <c r="D1333" t="s">
        <v>511</v>
      </c>
      <c r="E1333" t="s">
        <v>512</v>
      </c>
      <c r="H1333">
        <v>930.8</v>
      </c>
      <c r="J1333" t="s">
        <v>5503</v>
      </c>
      <c r="K1333" t="s">
        <v>7977</v>
      </c>
      <c r="L1333" t="s">
        <v>7977</v>
      </c>
      <c r="M1333" t="s">
        <v>7978</v>
      </c>
      <c r="N1333">
        <v>24388.278048</v>
      </c>
    </row>
    <row r="1334" spans="1:20" x14ac:dyDescent="0.25">
      <c r="A1334">
        <v>2</v>
      </c>
      <c r="B1334" t="s">
        <v>7976</v>
      </c>
      <c r="C1334" t="s">
        <v>7925</v>
      </c>
      <c r="D1334" t="s">
        <v>511</v>
      </c>
      <c r="E1334" t="s">
        <v>512</v>
      </c>
      <c r="H1334">
        <v>640</v>
      </c>
      <c r="J1334" t="s">
        <v>5503</v>
      </c>
      <c r="K1334" t="s">
        <v>7977</v>
      </c>
      <c r="L1334" t="s">
        <v>7977</v>
      </c>
      <c r="M1334" t="s">
        <v>7978</v>
      </c>
      <c r="N1334">
        <v>7627.4986849999996</v>
      </c>
    </row>
    <row r="1335" spans="1:20" x14ac:dyDescent="0.25">
      <c r="A1335">
        <v>3</v>
      </c>
      <c r="B1335" t="s">
        <v>7976</v>
      </c>
      <c r="C1335" t="s">
        <v>7926</v>
      </c>
      <c r="D1335" t="s">
        <v>511</v>
      </c>
      <c r="E1335" t="s">
        <v>512</v>
      </c>
      <c r="H1335">
        <v>160</v>
      </c>
      <c r="J1335" t="s">
        <v>5503</v>
      </c>
      <c r="K1335" t="s">
        <v>7977</v>
      </c>
      <c r="L1335" t="s">
        <v>7977</v>
      </c>
      <c r="M1335" t="s">
        <v>7978</v>
      </c>
      <c r="N1335">
        <v>3826.0079019999998</v>
      </c>
    </row>
    <row r="1336" spans="1:20" x14ac:dyDescent="0.25">
      <c r="A1336">
        <v>4</v>
      </c>
      <c r="B1336" t="s">
        <v>7976</v>
      </c>
      <c r="C1336" t="s">
        <v>7927</v>
      </c>
      <c r="D1336" t="s">
        <v>892</v>
      </c>
      <c r="E1336" t="s">
        <v>512</v>
      </c>
      <c r="H1336">
        <v>640</v>
      </c>
      <c r="J1336" t="s">
        <v>5503</v>
      </c>
      <c r="K1336" t="s">
        <v>7977</v>
      </c>
      <c r="L1336" t="s">
        <v>7977</v>
      </c>
      <c r="M1336" t="s">
        <v>7978</v>
      </c>
      <c r="N1336">
        <v>7710.7880450000002</v>
      </c>
    </row>
    <row r="1337" spans="1:20" x14ac:dyDescent="0.25">
      <c r="A1337">
        <v>5</v>
      </c>
      <c r="B1337" t="s">
        <v>7976</v>
      </c>
      <c r="C1337" t="s">
        <v>7928</v>
      </c>
      <c r="D1337" t="s">
        <v>892</v>
      </c>
      <c r="E1337" t="s">
        <v>512</v>
      </c>
      <c r="H1337">
        <v>950.58</v>
      </c>
      <c r="I1337" t="s">
        <v>7977</v>
      </c>
      <c r="J1337" t="s">
        <v>5503</v>
      </c>
      <c r="M1337" t="s">
        <v>7978</v>
      </c>
      <c r="N1337">
        <v>9590.1627140000001</v>
      </c>
    </row>
    <row r="1338" spans="1:20" x14ac:dyDescent="0.25">
      <c r="A1338">
        <v>6</v>
      </c>
      <c r="B1338" t="s">
        <v>7976</v>
      </c>
      <c r="C1338" t="s">
        <v>7929</v>
      </c>
      <c r="D1338" t="s">
        <v>899</v>
      </c>
      <c r="E1338" t="s">
        <v>512</v>
      </c>
      <c r="H1338">
        <v>320</v>
      </c>
      <c r="I1338" t="s">
        <v>7977</v>
      </c>
      <c r="J1338" t="s">
        <v>5503</v>
      </c>
      <c r="M1338" t="s">
        <v>7978</v>
      </c>
      <c r="N1338">
        <v>11469.129486</v>
      </c>
    </row>
    <row r="1339" spans="1:20" x14ac:dyDescent="0.25">
      <c r="A1339">
        <v>7</v>
      </c>
      <c r="B1339" t="s">
        <v>7976</v>
      </c>
      <c r="C1339" t="s">
        <v>7930</v>
      </c>
      <c r="D1339" t="s">
        <v>7979</v>
      </c>
      <c r="E1339" t="s">
        <v>198</v>
      </c>
      <c r="H1339">
        <v>10</v>
      </c>
      <c r="I1339" t="s">
        <v>7891</v>
      </c>
      <c r="J1339" t="s">
        <v>5503</v>
      </c>
      <c r="M1339" t="s">
        <v>7978</v>
      </c>
      <c r="N1339">
        <v>2185.492495</v>
      </c>
    </row>
    <row r="1340" spans="1:20" x14ac:dyDescent="0.25">
      <c r="A1340">
        <v>8</v>
      </c>
      <c r="B1340" t="s">
        <v>7976</v>
      </c>
      <c r="C1340" t="s">
        <v>7931</v>
      </c>
      <c r="D1340" t="s">
        <v>935</v>
      </c>
      <c r="E1340" t="s">
        <v>198</v>
      </c>
      <c r="H1340">
        <v>38.450000000000003</v>
      </c>
      <c r="I1340" t="s">
        <v>7977</v>
      </c>
      <c r="J1340" t="s">
        <v>5503</v>
      </c>
      <c r="M1340" t="s">
        <v>7978</v>
      </c>
      <c r="N1340">
        <v>2091.9034200000001</v>
      </c>
    </row>
    <row r="1341" spans="1:20" x14ac:dyDescent="0.25">
      <c r="A1341">
        <v>9</v>
      </c>
      <c r="B1341" t="s">
        <v>7976</v>
      </c>
      <c r="C1341" t="s">
        <v>7932</v>
      </c>
      <c r="D1341" t="s">
        <v>973</v>
      </c>
      <c r="E1341" t="s">
        <v>198</v>
      </c>
      <c r="H1341">
        <v>40</v>
      </c>
      <c r="I1341" t="s">
        <v>7977</v>
      </c>
      <c r="J1341" t="s">
        <v>5503</v>
      </c>
      <c r="M1341" t="s">
        <v>7978</v>
      </c>
      <c r="N1341">
        <v>2008.0537039999999</v>
      </c>
    </row>
    <row r="1342" spans="1:20" x14ac:dyDescent="0.25">
      <c r="A1342">
        <v>10</v>
      </c>
      <c r="B1342" t="s">
        <v>7976</v>
      </c>
      <c r="C1342" t="s">
        <v>7933</v>
      </c>
      <c r="D1342" t="s">
        <v>951</v>
      </c>
      <c r="E1342" t="s">
        <v>198</v>
      </c>
      <c r="H1342">
        <v>40</v>
      </c>
      <c r="I1342" t="s">
        <v>7977</v>
      </c>
      <c r="J1342" t="s">
        <v>5503</v>
      </c>
      <c r="M1342" t="s">
        <v>7978</v>
      </c>
      <c r="N1342">
        <v>1989.310524</v>
      </c>
    </row>
    <row r="1343" spans="1:20" x14ac:dyDescent="0.25">
      <c r="A1343">
        <v>11</v>
      </c>
      <c r="B1343" t="s">
        <v>7976</v>
      </c>
      <c r="C1343" t="s">
        <v>7934</v>
      </c>
      <c r="D1343" t="s">
        <v>1393</v>
      </c>
      <c r="E1343" t="s">
        <v>198</v>
      </c>
      <c r="H1343">
        <v>632.16999999999996</v>
      </c>
      <c r="I1343" t="s">
        <v>7977</v>
      </c>
      <c r="J1343" t="s">
        <v>5503</v>
      </c>
      <c r="M1343" t="s">
        <v>7978</v>
      </c>
      <c r="N1343">
        <v>8554.0379539999994</v>
      </c>
    </row>
    <row r="1344" spans="1:20" x14ac:dyDescent="0.25">
      <c r="A1344">
        <v>12</v>
      </c>
      <c r="B1344" t="s">
        <v>7976</v>
      </c>
      <c r="C1344" t="s">
        <v>8053</v>
      </c>
      <c r="D1344" t="s">
        <v>559</v>
      </c>
      <c r="E1344" t="s">
        <v>512</v>
      </c>
      <c r="H1344">
        <v>40</v>
      </c>
      <c r="J1344" t="s">
        <v>5503</v>
      </c>
      <c r="L1344" t="s">
        <v>13</v>
      </c>
      <c r="M1344" t="s">
        <v>7978</v>
      </c>
    </row>
    <row r="1345" spans="1:13" x14ac:dyDescent="0.25">
      <c r="A1345">
        <v>13</v>
      </c>
      <c r="B1345" t="s">
        <v>7976</v>
      </c>
      <c r="C1345" t="s">
        <v>8054</v>
      </c>
      <c r="D1345" t="s">
        <v>522</v>
      </c>
      <c r="E1345" t="s">
        <v>512</v>
      </c>
      <c r="H1345">
        <v>160</v>
      </c>
      <c r="J1345" t="s">
        <v>5503</v>
      </c>
      <c r="L1345" t="s">
        <v>13</v>
      </c>
      <c r="M1345" t="s">
        <v>7978</v>
      </c>
    </row>
    <row r="1346" spans="1:13" x14ac:dyDescent="0.25">
      <c r="A1346">
        <v>14</v>
      </c>
      <c r="B1346" t="s">
        <v>7976</v>
      </c>
      <c r="C1346" t="s">
        <v>8055</v>
      </c>
      <c r="D1346" t="s">
        <v>522</v>
      </c>
      <c r="E1346" t="s">
        <v>512</v>
      </c>
      <c r="H1346">
        <v>320</v>
      </c>
      <c r="J1346" t="s">
        <v>5503</v>
      </c>
      <c r="L1346" t="s">
        <v>13</v>
      </c>
      <c r="M1346" t="s">
        <v>7978</v>
      </c>
    </row>
    <row r="1347" spans="1:13" x14ac:dyDescent="0.25">
      <c r="A1347">
        <v>15</v>
      </c>
      <c r="B1347" t="s">
        <v>7976</v>
      </c>
      <c r="C1347" t="s">
        <v>8056</v>
      </c>
      <c r="D1347" t="s">
        <v>522</v>
      </c>
      <c r="E1347" t="s">
        <v>512</v>
      </c>
      <c r="H1347">
        <v>240</v>
      </c>
      <c r="J1347" t="s">
        <v>5503</v>
      </c>
      <c r="L1347" t="s">
        <v>13</v>
      </c>
      <c r="M1347" t="s">
        <v>7978</v>
      </c>
    </row>
    <row r="1348" spans="1:13" x14ac:dyDescent="0.25">
      <c r="A1348">
        <v>16</v>
      </c>
      <c r="B1348" t="s">
        <v>7976</v>
      </c>
      <c r="C1348" t="s">
        <v>8057</v>
      </c>
      <c r="D1348" t="s">
        <v>522</v>
      </c>
      <c r="E1348" t="s">
        <v>512</v>
      </c>
      <c r="H1348">
        <v>709.29</v>
      </c>
      <c r="J1348" t="s">
        <v>5503</v>
      </c>
      <c r="L1348" t="s">
        <v>13</v>
      </c>
      <c r="M1348" t="s">
        <v>7978</v>
      </c>
    </row>
    <row r="1349" spans="1:13" x14ac:dyDescent="0.25">
      <c r="A1349">
        <v>17</v>
      </c>
      <c r="B1349" t="s">
        <v>7976</v>
      </c>
      <c r="C1349" t="s">
        <v>8058</v>
      </c>
      <c r="D1349" t="s">
        <v>522</v>
      </c>
      <c r="E1349" t="s">
        <v>512</v>
      </c>
      <c r="H1349">
        <v>712.28</v>
      </c>
      <c r="J1349" t="s">
        <v>5503</v>
      </c>
      <c r="L1349" t="s">
        <v>13</v>
      </c>
      <c r="M1349" t="s">
        <v>7978</v>
      </c>
    </row>
    <row r="1350" spans="1:13" x14ac:dyDescent="0.25">
      <c r="A1350">
        <v>18</v>
      </c>
      <c r="B1350" t="s">
        <v>7976</v>
      </c>
      <c r="C1350" t="s">
        <v>8059</v>
      </c>
      <c r="D1350" t="s">
        <v>522</v>
      </c>
      <c r="E1350" t="s">
        <v>512</v>
      </c>
      <c r="H1350">
        <v>714.6</v>
      </c>
      <c r="J1350" t="s">
        <v>5503</v>
      </c>
      <c r="L1350" t="s">
        <v>13</v>
      </c>
      <c r="M1350" t="s">
        <v>7978</v>
      </c>
    </row>
    <row r="1351" spans="1:13" x14ac:dyDescent="0.25">
      <c r="A1351">
        <v>19</v>
      </c>
      <c r="B1351" t="s">
        <v>7976</v>
      </c>
      <c r="C1351" t="s">
        <v>8060</v>
      </c>
      <c r="D1351" t="s">
        <v>522</v>
      </c>
      <c r="E1351" t="s">
        <v>512</v>
      </c>
      <c r="H1351">
        <v>160</v>
      </c>
      <c r="J1351" t="s">
        <v>5503</v>
      </c>
      <c r="L1351" t="s">
        <v>13</v>
      </c>
      <c r="M1351" t="s">
        <v>7978</v>
      </c>
    </row>
    <row r="1352" spans="1:13" x14ac:dyDescent="0.25">
      <c r="A1352">
        <v>20</v>
      </c>
      <c r="B1352" t="s">
        <v>7976</v>
      </c>
      <c r="C1352" t="s">
        <v>8078</v>
      </c>
      <c r="D1352" t="s">
        <v>892</v>
      </c>
      <c r="E1352" t="s">
        <v>512</v>
      </c>
      <c r="H1352">
        <v>161.28</v>
      </c>
      <c r="J1352" t="s">
        <v>5503</v>
      </c>
      <c r="L1352" t="s">
        <v>13</v>
      </c>
      <c r="M1352" t="s">
        <v>7978</v>
      </c>
    </row>
    <row r="1353" spans="1:13" x14ac:dyDescent="0.25">
      <c r="A1353">
        <v>21</v>
      </c>
      <c r="B1353" t="s">
        <v>7976</v>
      </c>
      <c r="C1353" t="s">
        <v>8079</v>
      </c>
      <c r="D1353" t="s">
        <v>892</v>
      </c>
      <c r="E1353" t="s">
        <v>512</v>
      </c>
      <c r="H1353">
        <v>160</v>
      </c>
      <c r="J1353" t="s">
        <v>5503</v>
      </c>
      <c r="L1353" t="s">
        <v>13</v>
      </c>
      <c r="M1353" t="s">
        <v>7978</v>
      </c>
    </row>
    <row r="1354" spans="1:13" x14ac:dyDescent="0.25">
      <c r="A1354">
        <v>21</v>
      </c>
      <c r="B1354" t="s">
        <v>7976</v>
      </c>
      <c r="C1354" t="s">
        <v>8077</v>
      </c>
      <c r="D1354" t="s">
        <v>8084</v>
      </c>
      <c r="E1354" t="s">
        <v>548</v>
      </c>
      <c r="F1354" t="s">
        <v>7977</v>
      </c>
      <c r="G1354" t="s">
        <v>7977</v>
      </c>
      <c r="H1354">
        <v>320</v>
      </c>
      <c r="J1354" t="s">
        <v>5503</v>
      </c>
      <c r="L1354" t="s">
        <v>13</v>
      </c>
      <c r="M1354" t="s">
        <v>7978</v>
      </c>
    </row>
    <row r="1355" spans="1:13" x14ac:dyDescent="0.25">
      <c r="A1355">
        <v>22</v>
      </c>
      <c r="B1355" t="s">
        <v>7976</v>
      </c>
      <c r="C1355" t="s">
        <v>8002</v>
      </c>
      <c r="D1355" t="s">
        <v>6267</v>
      </c>
      <c r="E1355" t="s">
        <v>5437</v>
      </c>
      <c r="F1355" t="s">
        <v>7977</v>
      </c>
      <c r="G1355" t="s">
        <v>7977</v>
      </c>
      <c r="H1355">
        <v>400</v>
      </c>
      <c r="J1355" t="s">
        <v>5503</v>
      </c>
      <c r="L1355" t="s">
        <v>13</v>
      </c>
      <c r="M1355" t="s">
        <v>7978</v>
      </c>
    </row>
  </sheetData>
  <phoneticPr fontId="4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3" tint="0.59999389629810485"/>
  </sheetPr>
  <dimension ref="A5:Q38"/>
  <sheetViews>
    <sheetView workbookViewId="0">
      <selection activeCell="U16" sqref="U16"/>
    </sheetView>
  </sheetViews>
  <sheetFormatPr defaultRowHeight="15" x14ac:dyDescent="0.25"/>
  <cols>
    <col min="1" max="1" width="13.5703125" customWidth="1"/>
    <col min="5" max="5" width="12.140625" customWidth="1"/>
    <col min="6" max="6" width="11.7109375" customWidth="1"/>
    <col min="10" max="10" width="12.7109375" customWidth="1"/>
    <col min="11" max="11" width="12.5703125" customWidth="1"/>
    <col min="14" max="14" width="12.140625" customWidth="1"/>
    <col min="17" max="17" width="21.42578125" customWidth="1"/>
  </cols>
  <sheetData>
    <row r="5" spans="1:17" x14ac:dyDescent="0.25">
      <c r="A5" s="79" t="s">
        <v>492</v>
      </c>
      <c r="B5" s="33">
        <v>0.5</v>
      </c>
      <c r="C5" s="33"/>
      <c r="D5" s="33"/>
      <c r="E5" s="34">
        <v>38253</v>
      </c>
      <c r="F5" s="35">
        <v>38292</v>
      </c>
      <c r="G5" s="36" t="s">
        <v>3539</v>
      </c>
      <c r="H5" s="37"/>
      <c r="I5" s="37"/>
      <c r="J5" s="23"/>
      <c r="K5" s="37"/>
      <c r="L5" s="38" t="s">
        <v>3540</v>
      </c>
      <c r="M5" s="39"/>
      <c r="N5" s="40"/>
      <c r="O5" s="41"/>
      <c r="P5" s="37" t="s">
        <v>3541</v>
      </c>
      <c r="Q5" s="42" t="s">
        <v>3542</v>
      </c>
    </row>
    <row r="6" spans="1:17" x14ac:dyDescent="0.25">
      <c r="A6" s="79" t="s">
        <v>1225</v>
      </c>
      <c r="B6" s="33">
        <v>0.5</v>
      </c>
      <c r="C6" s="33"/>
      <c r="D6" s="33"/>
      <c r="E6" s="34">
        <v>39156</v>
      </c>
      <c r="F6" s="35">
        <v>39234</v>
      </c>
      <c r="G6" s="36" t="s">
        <v>3543</v>
      </c>
      <c r="H6" s="37"/>
      <c r="I6" s="37"/>
      <c r="J6" s="23">
        <v>-2426</v>
      </c>
      <c r="K6" s="37"/>
      <c r="L6" s="43" t="s">
        <v>3544</v>
      </c>
      <c r="M6" s="39"/>
      <c r="N6" s="40"/>
      <c r="O6" s="41"/>
      <c r="P6" s="37" t="s">
        <v>3545</v>
      </c>
      <c r="Q6" s="42" t="s">
        <v>3546</v>
      </c>
    </row>
    <row r="7" spans="1:17" x14ac:dyDescent="0.25">
      <c r="A7" s="79" t="s">
        <v>1229</v>
      </c>
      <c r="B7" s="33">
        <v>0.5</v>
      </c>
      <c r="C7" s="33"/>
      <c r="D7" s="33"/>
      <c r="E7" s="34">
        <v>39156</v>
      </c>
      <c r="F7" s="35">
        <v>39234</v>
      </c>
      <c r="G7" s="36" t="s">
        <v>3547</v>
      </c>
      <c r="H7" s="37"/>
      <c r="I7" s="37"/>
      <c r="J7" s="23">
        <v>-2370</v>
      </c>
      <c r="K7" s="37"/>
      <c r="L7" s="43" t="s">
        <v>3548</v>
      </c>
      <c r="M7" s="39"/>
      <c r="N7" s="40"/>
      <c r="O7" s="41"/>
      <c r="P7" s="37" t="s">
        <v>3549</v>
      </c>
      <c r="Q7" s="42" t="s">
        <v>3546</v>
      </c>
    </row>
    <row r="8" spans="1:17" x14ac:dyDescent="0.25">
      <c r="A8" s="79" t="s">
        <v>624</v>
      </c>
      <c r="B8" s="44">
        <v>0.5</v>
      </c>
      <c r="C8" s="44"/>
      <c r="D8" s="44"/>
      <c r="E8" s="45">
        <v>39071</v>
      </c>
      <c r="F8" s="46">
        <v>39142</v>
      </c>
      <c r="G8" s="47" t="s">
        <v>3550</v>
      </c>
      <c r="H8" s="16"/>
      <c r="I8" s="16"/>
      <c r="J8" s="16">
        <v>-1905</v>
      </c>
      <c r="K8" s="47"/>
      <c r="L8" s="16" t="s">
        <v>3551</v>
      </c>
      <c r="M8" s="48"/>
      <c r="N8" s="49"/>
      <c r="O8" s="15"/>
      <c r="P8" s="16" t="s">
        <v>3552</v>
      </c>
      <c r="Q8" s="50" t="s">
        <v>3553</v>
      </c>
    </row>
    <row r="9" spans="1:17" x14ac:dyDescent="0.25">
      <c r="A9" s="79" t="s">
        <v>2723</v>
      </c>
      <c r="B9" s="33">
        <v>0</v>
      </c>
      <c r="C9" s="18">
        <v>0.1</v>
      </c>
      <c r="D9" s="51"/>
      <c r="E9" s="34">
        <v>40255</v>
      </c>
      <c r="F9" s="35">
        <v>40330</v>
      </c>
      <c r="G9" s="36" t="s">
        <v>3554</v>
      </c>
      <c r="H9" s="37"/>
      <c r="I9" s="37"/>
      <c r="J9" s="23">
        <v>-310</v>
      </c>
      <c r="K9" s="37"/>
      <c r="L9" s="37" t="s">
        <v>3555</v>
      </c>
      <c r="M9" s="39"/>
      <c r="N9" s="40"/>
      <c r="O9" s="41"/>
      <c r="P9" s="37" t="s">
        <v>3556</v>
      </c>
      <c r="Q9" s="42" t="s">
        <v>3557</v>
      </c>
    </row>
    <row r="10" spans="1:17" x14ac:dyDescent="0.25">
      <c r="A10" s="79" t="s">
        <v>2794</v>
      </c>
      <c r="B10" s="33">
        <v>0</v>
      </c>
      <c r="C10" s="18">
        <v>0.1</v>
      </c>
      <c r="D10" s="51"/>
      <c r="E10" s="34">
        <v>40255</v>
      </c>
      <c r="F10" s="35">
        <v>40330</v>
      </c>
      <c r="G10" s="36" t="s">
        <v>3558</v>
      </c>
      <c r="H10" s="37"/>
      <c r="I10" s="37"/>
      <c r="J10" s="23">
        <v>-236.5</v>
      </c>
      <c r="K10" s="37"/>
      <c r="L10" s="37" t="s">
        <v>3559</v>
      </c>
      <c r="M10" s="39"/>
      <c r="N10" s="40"/>
      <c r="O10" s="41"/>
      <c r="P10" s="37" t="s">
        <v>3560</v>
      </c>
      <c r="Q10" s="36" t="s">
        <v>3561</v>
      </c>
    </row>
    <row r="11" spans="1:17" x14ac:dyDescent="0.25">
      <c r="A11" s="79" t="s">
        <v>2764</v>
      </c>
      <c r="B11" s="52">
        <v>0</v>
      </c>
      <c r="C11" s="53">
        <v>0.18179999999999999</v>
      </c>
      <c r="D11" s="53"/>
      <c r="E11" s="54">
        <v>40255</v>
      </c>
      <c r="F11" s="55">
        <v>40330</v>
      </c>
      <c r="G11" s="56" t="s">
        <v>3562</v>
      </c>
      <c r="H11" s="57"/>
      <c r="I11" s="57"/>
      <c r="J11" s="57">
        <v>-160</v>
      </c>
      <c r="K11" s="57"/>
      <c r="L11" s="57" t="s">
        <v>3563</v>
      </c>
      <c r="M11" s="58"/>
      <c r="N11" s="56" t="s">
        <v>3564</v>
      </c>
      <c r="O11" s="59"/>
      <c r="P11" s="57" t="s">
        <v>3565</v>
      </c>
      <c r="Q11" s="60" t="s">
        <v>3566</v>
      </c>
    </row>
    <row r="12" spans="1:17" x14ac:dyDescent="0.25">
      <c r="A12" s="79" t="s">
        <v>2562</v>
      </c>
      <c r="B12" s="18">
        <v>0.45</v>
      </c>
      <c r="C12" s="18">
        <v>0.1</v>
      </c>
      <c r="D12" s="18"/>
      <c r="E12" s="19">
        <v>39800</v>
      </c>
      <c r="F12" s="24">
        <v>39845</v>
      </c>
      <c r="G12" s="25" t="s">
        <v>3567</v>
      </c>
      <c r="H12" s="23"/>
      <c r="I12" s="23"/>
      <c r="J12" s="23">
        <v>-488</v>
      </c>
      <c r="K12" s="23"/>
      <c r="L12" s="23" t="s">
        <v>3568</v>
      </c>
      <c r="M12" s="20"/>
      <c r="N12" s="21"/>
      <c r="O12" s="22"/>
      <c r="P12" s="23" t="s">
        <v>3569</v>
      </c>
      <c r="Q12" s="25" t="s">
        <v>3570</v>
      </c>
    </row>
    <row r="13" spans="1:17" x14ac:dyDescent="0.25">
      <c r="A13" s="79" t="s">
        <v>2449</v>
      </c>
      <c r="B13" s="18">
        <v>0.45</v>
      </c>
      <c r="C13" s="18">
        <v>0.1</v>
      </c>
      <c r="D13" s="18"/>
      <c r="E13" s="19">
        <v>39770</v>
      </c>
      <c r="F13" s="24">
        <v>39783</v>
      </c>
      <c r="G13" s="25" t="s">
        <v>3571</v>
      </c>
      <c r="H13" s="23"/>
      <c r="I13" s="23"/>
      <c r="J13" s="61">
        <v>-1440</v>
      </c>
      <c r="K13" s="25"/>
      <c r="L13" s="23" t="s">
        <v>3572</v>
      </c>
      <c r="M13" s="20"/>
      <c r="N13" s="21"/>
      <c r="O13" s="22"/>
      <c r="P13" s="23" t="s">
        <v>3573</v>
      </c>
      <c r="Q13" s="62" t="s">
        <v>3574</v>
      </c>
    </row>
    <row r="14" spans="1:17" x14ac:dyDescent="0.25">
      <c r="A14" s="79" t="s">
        <v>3575</v>
      </c>
      <c r="B14" s="18"/>
      <c r="C14" s="18">
        <v>0.1</v>
      </c>
      <c r="D14" s="63">
        <v>0.09</v>
      </c>
      <c r="E14" s="19">
        <v>40710</v>
      </c>
      <c r="F14" s="24">
        <v>40817</v>
      </c>
      <c r="G14" s="25" t="s">
        <v>3576</v>
      </c>
      <c r="H14" s="23"/>
      <c r="I14" s="23"/>
      <c r="J14" s="64">
        <v>-1476</v>
      </c>
      <c r="K14" s="23"/>
      <c r="L14" s="23" t="s">
        <v>3577</v>
      </c>
      <c r="M14" s="20"/>
      <c r="N14" s="21"/>
      <c r="O14" s="22"/>
      <c r="P14" s="23" t="s">
        <v>3578</v>
      </c>
      <c r="Q14" s="25" t="s">
        <v>3579</v>
      </c>
    </row>
    <row r="15" spans="1:17" x14ac:dyDescent="0.25">
      <c r="A15" s="79" t="s">
        <v>3580</v>
      </c>
      <c r="B15" s="18"/>
      <c r="C15" s="18">
        <v>0.1</v>
      </c>
      <c r="D15" s="63">
        <v>0.09</v>
      </c>
      <c r="E15" s="19">
        <v>40710</v>
      </c>
      <c r="F15" s="24">
        <v>40817</v>
      </c>
      <c r="G15" s="25" t="s">
        <v>3581</v>
      </c>
      <c r="H15" s="23"/>
      <c r="I15" s="23"/>
      <c r="J15" s="64">
        <v>-536</v>
      </c>
      <c r="K15" s="23"/>
      <c r="L15" s="23" t="s">
        <v>3582</v>
      </c>
      <c r="M15" s="20"/>
      <c r="N15" s="21"/>
      <c r="O15" s="22"/>
      <c r="P15" s="23" t="s">
        <v>3583</v>
      </c>
      <c r="Q15" s="25" t="s">
        <v>3579</v>
      </c>
    </row>
    <row r="16" spans="1:17" x14ac:dyDescent="0.25">
      <c r="A16" s="79" t="s">
        <v>3584</v>
      </c>
      <c r="B16" s="18"/>
      <c r="C16" s="18">
        <v>0.1</v>
      </c>
      <c r="D16" s="63">
        <v>0.09</v>
      </c>
      <c r="E16" s="19">
        <v>40710</v>
      </c>
      <c r="F16" s="24">
        <v>40817</v>
      </c>
      <c r="G16" s="25" t="s">
        <v>3585</v>
      </c>
      <c r="H16" s="23"/>
      <c r="I16" s="23"/>
      <c r="J16" s="64">
        <v>-2508</v>
      </c>
      <c r="K16" s="23"/>
      <c r="L16" s="23" t="s">
        <v>3586</v>
      </c>
      <c r="M16" s="20"/>
      <c r="N16" s="21"/>
      <c r="O16" s="22"/>
      <c r="P16" s="23" t="s">
        <v>3587</v>
      </c>
      <c r="Q16" s="25" t="s">
        <v>3579</v>
      </c>
    </row>
    <row r="17" spans="1:17" x14ac:dyDescent="0.25">
      <c r="A17" s="79" t="s">
        <v>3588</v>
      </c>
      <c r="B17" s="18"/>
      <c r="C17" s="18"/>
      <c r="D17" s="18"/>
      <c r="E17" s="19">
        <v>40744</v>
      </c>
      <c r="F17" s="24">
        <v>40787</v>
      </c>
      <c r="G17" s="25" t="s">
        <v>3589</v>
      </c>
      <c r="H17" s="25"/>
      <c r="I17" s="23"/>
      <c r="J17" s="23"/>
      <c r="K17" s="23"/>
      <c r="L17" s="23" t="s">
        <v>3590</v>
      </c>
      <c r="M17" s="20"/>
      <c r="N17" s="21"/>
      <c r="O17" s="22"/>
      <c r="P17" s="23" t="s">
        <v>3591</v>
      </c>
      <c r="Q17" s="25" t="s">
        <v>3592</v>
      </c>
    </row>
    <row r="18" spans="1:17" x14ac:dyDescent="0.25">
      <c r="A18" s="79" t="s">
        <v>3593</v>
      </c>
      <c r="B18" s="18"/>
      <c r="C18" s="18"/>
      <c r="D18" s="18"/>
      <c r="E18" s="19">
        <v>40744</v>
      </c>
      <c r="F18" s="24">
        <v>40787</v>
      </c>
      <c r="G18" s="25" t="s">
        <v>3594</v>
      </c>
      <c r="H18" s="25"/>
      <c r="I18" s="23"/>
      <c r="J18" s="23"/>
      <c r="K18" s="23"/>
      <c r="L18" s="23" t="s">
        <v>3590</v>
      </c>
      <c r="M18" s="20"/>
      <c r="N18" s="21"/>
      <c r="O18" s="22"/>
      <c r="P18" s="23" t="s">
        <v>3595</v>
      </c>
      <c r="Q18" s="25" t="s">
        <v>3592</v>
      </c>
    </row>
    <row r="19" spans="1:17" x14ac:dyDescent="0.25">
      <c r="A19" s="79" t="s">
        <v>3596</v>
      </c>
      <c r="B19" s="18"/>
      <c r="C19" s="18"/>
      <c r="D19" s="18"/>
      <c r="E19" s="19">
        <v>40884</v>
      </c>
      <c r="F19" s="65">
        <v>40940</v>
      </c>
      <c r="G19" s="66" t="s">
        <v>3597</v>
      </c>
      <c r="H19" s="66"/>
      <c r="I19" s="67"/>
      <c r="J19" s="68"/>
      <c r="K19" s="68"/>
      <c r="L19" s="67" t="s">
        <v>3598</v>
      </c>
      <c r="M19" s="69"/>
      <c r="N19" s="70"/>
      <c r="O19" s="71"/>
      <c r="P19" s="67" t="s">
        <v>3599</v>
      </c>
      <c r="Q19" s="66" t="s">
        <v>3600</v>
      </c>
    </row>
    <row r="20" spans="1:17" x14ac:dyDescent="0.25">
      <c r="A20" s="79" t="s">
        <v>1450</v>
      </c>
      <c r="B20" s="18"/>
      <c r="C20" s="18"/>
      <c r="D20" s="18"/>
      <c r="E20" s="19">
        <v>39338</v>
      </c>
      <c r="F20" s="24">
        <v>39417</v>
      </c>
      <c r="G20" s="25" t="s">
        <v>3601</v>
      </c>
      <c r="H20" s="25"/>
      <c r="I20" s="23"/>
      <c r="J20" s="72" t="s">
        <v>3602</v>
      </c>
      <c r="K20" s="72"/>
      <c r="L20" s="23" t="s">
        <v>3603</v>
      </c>
      <c r="M20" s="20"/>
      <c r="N20" s="21"/>
      <c r="O20" s="22"/>
      <c r="P20" s="23" t="s">
        <v>3604</v>
      </c>
      <c r="Q20" s="25" t="s">
        <v>3605</v>
      </c>
    </row>
    <row r="21" spans="1:17" x14ac:dyDescent="0.25">
      <c r="A21" s="79"/>
      <c r="B21" s="1"/>
      <c r="C21" s="1"/>
      <c r="D21" s="1"/>
      <c r="E21" s="4"/>
      <c r="F21" s="2"/>
      <c r="G21" s="7"/>
      <c r="H21" s="7"/>
      <c r="I21" s="3"/>
      <c r="J21" s="3"/>
      <c r="K21" s="3"/>
      <c r="L21" s="3"/>
      <c r="M21" s="5"/>
      <c r="N21" s="6"/>
      <c r="O21" s="10"/>
      <c r="P21" s="3" t="s">
        <v>13</v>
      </c>
      <c r="Q21" s="7"/>
    </row>
    <row r="22" spans="1:17" x14ac:dyDescent="0.25">
      <c r="A22" s="79"/>
      <c r="B22" s="1"/>
      <c r="C22" s="1"/>
      <c r="D22" s="1"/>
      <c r="E22" s="4"/>
      <c r="F22" s="2"/>
      <c r="G22" s="7"/>
      <c r="H22" s="7"/>
      <c r="I22" s="3"/>
      <c r="J22" s="3"/>
      <c r="K22" s="3"/>
      <c r="L22" s="3"/>
      <c r="M22" s="5"/>
      <c r="N22" s="6"/>
      <c r="O22" s="10"/>
      <c r="P22" s="3"/>
      <c r="Q22" s="7"/>
    </row>
    <row r="23" spans="1:17" x14ac:dyDescent="0.25">
      <c r="A23" s="79"/>
      <c r="B23" s="1"/>
      <c r="C23" s="1"/>
      <c r="D23" s="1"/>
      <c r="E23" s="4"/>
      <c r="F23" s="2"/>
      <c r="G23" s="7"/>
      <c r="H23" s="7"/>
      <c r="I23" s="3"/>
      <c r="J23" s="3"/>
      <c r="K23" s="3"/>
      <c r="L23" s="3"/>
      <c r="M23" s="5"/>
      <c r="N23" s="6"/>
      <c r="O23" s="10"/>
      <c r="P23" s="3"/>
      <c r="Q23" s="7"/>
    </row>
    <row r="24" spans="1:17" x14ac:dyDescent="0.25">
      <c r="A24" s="79"/>
      <c r="B24" s="1"/>
      <c r="C24" s="1"/>
      <c r="D24" s="1"/>
      <c r="E24" s="4"/>
      <c r="F24" s="2"/>
      <c r="G24" s="7"/>
      <c r="H24" s="7"/>
      <c r="I24" s="3"/>
      <c r="J24" s="3"/>
      <c r="K24" s="3"/>
      <c r="L24" s="3"/>
      <c r="M24" s="5"/>
      <c r="N24" s="6"/>
      <c r="O24" s="10"/>
      <c r="P24" s="3"/>
      <c r="Q24" s="7"/>
    </row>
    <row r="25" spans="1:17" x14ac:dyDescent="0.25">
      <c r="A25" s="79"/>
      <c r="B25" s="1"/>
      <c r="C25" s="1"/>
      <c r="D25" s="1"/>
      <c r="E25" s="7"/>
      <c r="F25" s="8"/>
      <c r="G25" s="7"/>
      <c r="H25" s="3"/>
      <c r="I25" s="3"/>
      <c r="J25" s="3"/>
      <c r="K25" s="3"/>
      <c r="L25" s="3"/>
      <c r="M25" s="5" t="s">
        <v>3606</v>
      </c>
      <c r="N25" s="6">
        <v>68897.284999999989</v>
      </c>
      <c r="O25" s="10">
        <v>125807</v>
      </c>
      <c r="P25" s="3"/>
      <c r="Q25" s="7">
        <v>137</v>
      </c>
    </row>
    <row r="26" spans="1:17" x14ac:dyDescent="0.25">
      <c r="A26" s="79"/>
      <c r="B26" s="1"/>
      <c r="C26" s="1"/>
      <c r="D26" s="1"/>
      <c r="E26" s="7"/>
      <c r="F26" s="8"/>
      <c r="G26" s="7"/>
      <c r="H26" s="3"/>
      <c r="I26" s="3"/>
      <c r="J26" s="3"/>
      <c r="K26" s="3"/>
      <c r="L26" s="3"/>
      <c r="M26" s="5" t="s">
        <v>3607</v>
      </c>
      <c r="N26" s="6">
        <v>29606.010000000002</v>
      </c>
      <c r="O26" s="10">
        <v>58592.5</v>
      </c>
      <c r="P26" s="3"/>
      <c r="Q26" s="7"/>
    </row>
    <row r="27" spans="1:17" x14ac:dyDescent="0.25">
      <c r="A27" s="79"/>
      <c r="B27" s="1"/>
      <c r="C27" s="1"/>
      <c r="D27" s="1"/>
      <c r="E27" s="7"/>
      <c r="F27" s="8"/>
      <c r="G27" s="7"/>
      <c r="H27" s="3"/>
      <c r="I27" s="3"/>
      <c r="J27" s="3"/>
      <c r="K27" s="3"/>
      <c r="L27" s="3"/>
      <c r="M27" s="5" t="s">
        <v>3608</v>
      </c>
      <c r="N27" s="6">
        <v>121569.95999999995</v>
      </c>
      <c r="O27" s="10">
        <v>241229.5</v>
      </c>
      <c r="P27" s="3"/>
      <c r="Q27" s="7"/>
    </row>
    <row r="28" spans="1:17" x14ac:dyDescent="0.25">
      <c r="A28" s="79"/>
      <c r="B28" s="1"/>
      <c r="C28" s="1"/>
      <c r="D28" s="1"/>
      <c r="E28" s="7"/>
      <c r="F28" s="8"/>
      <c r="G28" s="7"/>
      <c r="H28" s="3"/>
      <c r="I28" s="3"/>
      <c r="J28" s="3"/>
      <c r="K28" s="3"/>
      <c r="L28" s="3"/>
      <c r="M28" s="5" t="s">
        <v>3609</v>
      </c>
      <c r="N28" s="6">
        <v>20338.649999999998</v>
      </c>
      <c r="O28" s="10">
        <v>40578.5</v>
      </c>
      <c r="P28" s="3"/>
      <c r="Q28" s="7"/>
    </row>
    <row r="29" spans="1:17" x14ac:dyDescent="0.25">
      <c r="A29" s="79"/>
      <c r="B29" s="1"/>
      <c r="C29" s="1"/>
      <c r="D29" s="1"/>
      <c r="E29" s="7"/>
      <c r="F29" s="8"/>
      <c r="G29" s="7"/>
      <c r="H29" s="3"/>
      <c r="I29" s="3"/>
      <c r="J29" s="3"/>
      <c r="K29" s="3"/>
      <c r="L29" s="3"/>
      <c r="M29" s="5" t="s">
        <v>3610</v>
      </c>
      <c r="N29" s="6">
        <v>33040.5</v>
      </c>
      <c r="O29" s="10">
        <v>58743</v>
      </c>
      <c r="P29" s="3"/>
      <c r="Q29" s="7"/>
    </row>
    <row r="30" spans="1:17" x14ac:dyDescent="0.25">
      <c r="A30" s="79"/>
      <c r="B30" s="1"/>
      <c r="C30" s="1"/>
      <c r="D30" s="1"/>
      <c r="E30" s="7"/>
      <c r="F30" s="8"/>
      <c r="G30" s="7"/>
      <c r="H30" s="3"/>
      <c r="I30" s="3"/>
      <c r="J30" s="3"/>
      <c r="K30" s="3"/>
      <c r="L30" s="3"/>
      <c r="M30" s="5" t="s">
        <v>3611</v>
      </c>
      <c r="N30" s="6">
        <v>45733.278999999973</v>
      </c>
      <c r="O30" s="10">
        <v>77450.5</v>
      </c>
      <c r="P30" s="3"/>
      <c r="Q30" s="7"/>
    </row>
    <row r="31" spans="1:17" x14ac:dyDescent="0.25">
      <c r="A31" s="79"/>
      <c r="B31" s="1"/>
      <c r="C31" s="1"/>
      <c r="D31" s="1"/>
      <c r="E31" s="7"/>
      <c r="F31" s="8"/>
      <c r="G31" s="7"/>
      <c r="H31" s="3"/>
      <c r="I31" s="3"/>
      <c r="J31" s="3"/>
      <c r="K31" s="3"/>
      <c r="L31" s="3"/>
      <c r="M31" s="5" t="s">
        <v>3612</v>
      </c>
      <c r="N31" s="6">
        <v>91875.05700000003</v>
      </c>
      <c r="O31" s="10">
        <v>170102.5</v>
      </c>
      <c r="P31" s="3"/>
      <c r="Q31" s="7"/>
    </row>
    <row r="32" spans="1:17" x14ac:dyDescent="0.25">
      <c r="A32" s="79"/>
      <c r="B32" s="1"/>
      <c r="C32" s="1"/>
      <c r="D32" s="1"/>
      <c r="E32" s="7"/>
      <c r="F32" s="8"/>
      <c r="G32" s="7"/>
      <c r="H32" s="3"/>
      <c r="I32" s="3"/>
      <c r="J32" s="3"/>
      <c r="K32" s="3"/>
      <c r="L32" s="3"/>
      <c r="M32" s="5" t="s">
        <v>3613</v>
      </c>
      <c r="N32" s="6">
        <v>29162.620000000006</v>
      </c>
      <c r="O32" s="10">
        <v>58348</v>
      </c>
      <c r="P32" s="3"/>
      <c r="Q32" s="7"/>
    </row>
    <row r="33" spans="1:17" x14ac:dyDescent="0.25">
      <c r="A33" s="79"/>
      <c r="B33" s="1"/>
      <c r="C33" s="1"/>
      <c r="D33" s="1"/>
      <c r="E33" s="7"/>
      <c r="F33" s="8"/>
      <c r="G33" s="7"/>
      <c r="H33" s="3"/>
      <c r="I33" s="3"/>
      <c r="J33" s="3"/>
      <c r="K33" s="3"/>
      <c r="L33" s="3"/>
      <c r="M33" s="5" t="s">
        <v>3614</v>
      </c>
      <c r="N33" s="6">
        <v>2923.1200000000003</v>
      </c>
      <c r="O33" s="10">
        <v>5771</v>
      </c>
      <c r="P33" s="3"/>
      <c r="Q33" s="7"/>
    </row>
    <row r="34" spans="1:17" x14ac:dyDescent="0.25">
      <c r="A34" s="79"/>
      <c r="B34" s="1"/>
      <c r="C34" s="1"/>
      <c r="D34" s="1"/>
      <c r="E34" s="7"/>
      <c r="F34" s="8"/>
      <c r="G34" s="7"/>
      <c r="H34" s="3"/>
      <c r="I34" s="3"/>
      <c r="J34" s="3"/>
      <c r="K34" s="3"/>
      <c r="L34" s="3"/>
      <c r="M34" s="5" t="s">
        <v>3615</v>
      </c>
      <c r="N34" s="6">
        <v>10098.120000000001</v>
      </c>
      <c r="O34" s="10">
        <v>20202</v>
      </c>
      <c r="P34" s="3"/>
      <c r="Q34" s="7"/>
    </row>
    <row r="35" spans="1:17" x14ac:dyDescent="0.25">
      <c r="A35" s="79"/>
      <c r="B35" s="1"/>
      <c r="C35" s="1"/>
      <c r="D35" s="1"/>
      <c r="E35" s="7"/>
      <c r="F35" s="8"/>
      <c r="G35" s="7"/>
      <c r="H35" s="3"/>
      <c r="I35" s="3"/>
      <c r="J35" s="3"/>
      <c r="K35" s="3"/>
      <c r="L35" s="3"/>
      <c r="M35" s="5" t="s">
        <v>3616</v>
      </c>
      <c r="N35" s="6">
        <v>145</v>
      </c>
      <c r="O35" s="10">
        <v>290</v>
      </c>
      <c r="P35" s="3"/>
      <c r="Q35" s="7"/>
    </row>
    <row r="36" spans="1:17" x14ac:dyDescent="0.25">
      <c r="A36" s="79"/>
      <c r="B36" s="1"/>
      <c r="C36" s="1"/>
      <c r="D36" s="1"/>
      <c r="E36" s="7"/>
      <c r="F36" s="8"/>
      <c r="G36" s="7"/>
      <c r="H36" s="3"/>
      <c r="I36" s="73">
        <v>5903.04</v>
      </c>
      <c r="J36" s="3">
        <v>1803.7066666666667</v>
      </c>
      <c r="K36" s="3">
        <v>3607.4133333333334</v>
      </c>
      <c r="L36" s="29">
        <v>0</v>
      </c>
      <c r="M36" s="5"/>
      <c r="N36" s="6">
        <v>453389.60099999991</v>
      </c>
      <c r="O36" s="10">
        <v>857114.5</v>
      </c>
      <c r="P36" s="3"/>
      <c r="Q36" s="7"/>
    </row>
    <row r="37" spans="1:17" x14ac:dyDescent="0.25">
      <c r="A37" s="79"/>
      <c r="B37" s="1"/>
      <c r="C37" s="1"/>
      <c r="D37" s="1"/>
      <c r="E37" s="7"/>
      <c r="F37" s="8"/>
      <c r="G37" s="7"/>
      <c r="H37" s="3"/>
      <c r="I37" s="3"/>
      <c r="J37" s="3"/>
      <c r="K37" s="3">
        <v>3075.96</v>
      </c>
      <c r="L37" s="3"/>
      <c r="M37" s="5"/>
      <c r="N37" s="6"/>
      <c r="O37" s="10"/>
      <c r="P37" s="3"/>
      <c r="Q37" s="7"/>
    </row>
    <row r="38" spans="1:17" x14ac:dyDescent="0.25">
      <c r="A38" s="79"/>
      <c r="B38" s="1"/>
      <c r="C38" s="1"/>
      <c r="D38" s="1"/>
      <c r="E38" s="7"/>
      <c r="F38" s="8"/>
      <c r="G38" s="7"/>
      <c r="H38" s="3"/>
      <c r="I38" s="3"/>
      <c r="J38" s="3"/>
      <c r="K38" s="3">
        <v>3769422.5599999996</v>
      </c>
      <c r="L38" s="3"/>
      <c r="M38" s="5"/>
      <c r="N38" s="6">
        <v>461749.48099999991</v>
      </c>
      <c r="O38" s="10">
        <v>869657.5</v>
      </c>
      <c r="P38" s="3"/>
      <c r="Q3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135"/>
  <sheetViews>
    <sheetView topLeftCell="A4" workbookViewId="0">
      <selection activeCell="D44" sqref="D44"/>
    </sheetView>
  </sheetViews>
  <sheetFormatPr defaultRowHeight="15" x14ac:dyDescent="0.25"/>
  <cols>
    <col min="2" max="2" width="34.140625" bestFit="1" customWidth="1"/>
  </cols>
  <sheetData>
    <row r="2" spans="2:2" x14ac:dyDescent="0.25">
      <c r="B2" t="s">
        <v>6213</v>
      </c>
    </row>
    <row r="3" spans="2:2" x14ac:dyDescent="0.25">
      <c r="B3" s="314" t="s">
        <v>2901</v>
      </c>
    </row>
    <row r="4" spans="2:2" x14ac:dyDescent="0.25">
      <c r="B4" s="314" t="s">
        <v>2904</v>
      </c>
    </row>
    <row r="5" spans="2:2" x14ac:dyDescent="0.25">
      <c r="B5" s="314" t="s">
        <v>2908</v>
      </c>
    </row>
    <row r="6" spans="2:2" x14ac:dyDescent="0.25">
      <c r="B6" s="314" t="s">
        <v>2911</v>
      </c>
    </row>
    <row r="7" spans="2:2" x14ac:dyDescent="0.25">
      <c r="B7" s="314" t="s">
        <v>2914</v>
      </c>
    </row>
    <row r="8" spans="2:2" x14ac:dyDescent="0.25">
      <c r="B8" s="314" t="s">
        <v>2917</v>
      </c>
    </row>
    <row r="9" spans="2:2" x14ac:dyDescent="0.25">
      <c r="B9" s="314" t="s">
        <v>2920</v>
      </c>
    </row>
    <row r="10" spans="2:2" x14ac:dyDescent="0.25">
      <c r="B10" s="314" t="s">
        <v>2924</v>
      </c>
    </row>
    <row r="11" spans="2:2" x14ac:dyDescent="0.25">
      <c r="B11" s="314" t="s">
        <v>2927</v>
      </c>
    </row>
    <row r="12" spans="2:2" x14ac:dyDescent="0.25">
      <c r="B12" s="314" t="s">
        <v>2931</v>
      </c>
    </row>
    <row r="13" spans="2:2" x14ac:dyDescent="0.25">
      <c r="B13" s="314" t="s">
        <v>2934</v>
      </c>
    </row>
    <row r="14" spans="2:2" x14ac:dyDescent="0.25">
      <c r="B14" s="314" t="s">
        <v>2936</v>
      </c>
    </row>
    <row r="15" spans="2:2" x14ac:dyDescent="0.25">
      <c r="B15" s="314" t="s">
        <v>2939</v>
      </c>
    </row>
    <row r="16" spans="2:2" x14ac:dyDescent="0.25">
      <c r="B16" s="314" t="s">
        <v>2941</v>
      </c>
    </row>
    <row r="17" spans="2:2" x14ac:dyDescent="0.25">
      <c r="B17" s="314" t="s">
        <v>2943</v>
      </c>
    </row>
    <row r="18" spans="2:2" x14ac:dyDescent="0.25">
      <c r="B18" s="314" t="s">
        <v>2946</v>
      </c>
    </row>
    <row r="19" spans="2:2" x14ac:dyDescent="0.25">
      <c r="B19" s="314" t="s">
        <v>2948</v>
      </c>
    </row>
    <row r="20" spans="2:2" x14ac:dyDescent="0.25">
      <c r="B20" s="314" t="s">
        <v>2950</v>
      </c>
    </row>
    <row r="21" spans="2:2" x14ac:dyDescent="0.25">
      <c r="B21" s="314" t="s">
        <v>2953</v>
      </c>
    </row>
    <row r="22" spans="2:2" x14ac:dyDescent="0.25">
      <c r="B22" s="314" t="s">
        <v>2955</v>
      </c>
    </row>
    <row r="23" spans="2:2" x14ac:dyDescent="0.25">
      <c r="B23" s="314" t="s">
        <v>2957</v>
      </c>
    </row>
    <row r="24" spans="2:2" x14ac:dyDescent="0.25">
      <c r="B24" s="314" t="s">
        <v>2960</v>
      </c>
    </row>
    <row r="25" spans="2:2" x14ac:dyDescent="0.25">
      <c r="B25" s="314" t="s">
        <v>2962</v>
      </c>
    </row>
    <row r="26" spans="2:2" x14ac:dyDescent="0.25">
      <c r="B26" s="314" t="s">
        <v>2964</v>
      </c>
    </row>
    <row r="27" spans="2:2" x14ac:dyDescent="0.25">
      <c r="B27" s="314" t="s">
        <v>2966</v>
      </c>
    </row>
    <row r="28" spans="2:2" x14ac:dyDescent="0.25">
      <c r="B28" s="314" t="s">
        <v>2968</v>
      </c>
    </row>
    <row r="29" spans="2:2" x14ac:dyDescent="0.25">
      <c r="B29" s="314" t="s">
        <v>2971</v>
      </c>
    </row>
    <row r="30" spans="2:2" x14ac:dyDescent="0.25">
      <c r="B30" s="314" t="s">
        <v>2973</v>
      </c>
    </row>
    <row r="31" spans="2:2" x14ac:dyDescent="0.25">
      <c r="B31" s="314" t="s">
        <v>2976</v>
      </c>
    </row>
    <row r="32" spans="2:2" x14ac:dyDescent="0.25">
      <c r="B32" s="314" t="s">
        <v>2978</v>
      </c>
    </row>
    <row r="33" spans="2:2" x14ac:dyDescent="0.25">
      <c r="B33" s="314" t="s">
        <v>2980</v>
      </c>
    </row>
    <row r="34" spans="2:2" x14ac:dyDescent="0.25">
      <c r="B34" s="314" t="s">
        <v>2983</v>
      </c>
    </row>
    <row r="35" spans="2:2" x14ac:dyDescent="0.25">
      <c r="B35" s="314" t="s">
        <v>2986</v>
      </c>
    </row>
    <row r="36" spans="2:2" x14ac:dyDescent="0.25">
      <c r="B36" s="314" t="s">
        <v>2989</v>
      </c>
    </row>
    <row r="37" spans="2:2" x14ac:dyDescent="0.25">
      <c r="B37" s="314" t="s">
        <v>2991</v>
      </c>
    </row>
    <row r="38" spans="2:2" x14ac:dyDescent="0.25">
      <c r="B38" s="314" t="s">
        <v>2993</v>
      </c>
    </row>
    <row r="39" spans="2:2" x14ac:dyDescent="0.25">
      <c r="B39" s="314" t="s">
        <v>2996</v>
      </c>
    </row>
    <row r="40" spans="2:2" x14ac:dyDescent="0.25">
      <c r="B40" s="314" t="s">
        <v>2998</v>
      </c>
    </row>
    <row r="41" spans="2:2" x14ac:dyDescent="0.25">
      <c r="B41" s="314" t="s">
        <v>3000</v>
      </c>
    </row>
    <row r="42" spans="2:2" x14ac:dyDescent="0.25">
      <c r="B42" s="314" t="s">
        <v>3003</v>
      </c>
    </row>
    <row r="43" spans="2:2" x14ac:dyDescent="0.25">
      <c r="B43" s="314" t="s">
        <v>3006</v>
      </c>
    </row>
    <row r="44" spans="2:2" x14ac:dyDescent="0.25">
      <c r="B44" s="314" t="s">
        <v>3009</v>
      </c>
    </row>
    <row r="45" spans="2:2" x14ac:dyDescent="0.25">
      <c r="B45" s="314" t="s">
        <v>3012</v>
      </c>
    </row>
    <row r="46" spans="2:2" x14ac:dyDescent="0.25">
      <c r="B46" s="314" t="s">
        <v>3014</v>
      </c>
    </row>
    <row r="47" spans="2:2" x14ac:dyDescent="0.25">
      <c r="B47" s="314" t="s">
        <v>3016</v>
      </c>
    </row>
    <row r="48" spans="2:2" x14ac:dyDescent="0.25">
      <c r="B48" s="314" t="s">
        <v>3018</v>
      </c>
    </row>
    <row r="49" spans="2:2" x14ac:dyDescent="0.25">
      <c r="B49" s="314" t="s">
        <v>3020</v>
      </c>
    </row>
    <row r="50" spans="2:2" x14ac:dyDescent="0.25">
      <c r="B50" s="314" t="s">
        <v>3032</v>
      </c>
    </row>
    <row r="51" spans="2:2" x14ac:dyDescent="0.25">
      <c r="B51" s="314" t="s">
        <v>3035</v>
      </c>
    </row>
    <row r="52" spans="2:2" x14ac:dyDescent="0.25">
      <c r="B52" s="314" t="s">
        <v>3038</v>
      </c>
    </row>
    <row r="53" spans="2:2" x14ac:dyDescent="0.25">
      <c r="B53" s="314" t="s">
        <v>3041</v>
      </c>
    </row>
    <row r="54" spans="2:2" x14ac:dyDescent="0.25">
      <c r="B54" s="314" t="s">
        <v>3043</v>
      </c>
    </row>
    <row r="55" spans="2:2" x14ac:dyDescent="0.25">
      <c r="B55" s="314" t="s">
        <v>3045</v>
      </c>
    </row>
    <row r="56" spans="2:2" x14ac:dyDescent="0.25">
      <c r="B56" s="314" t="s">
        <v>3047</v>
      </c>
    </row>
    <row r="57" spans="2:2" x14ac:dyDescent="0.25">
      <c r="B57" s="314" t="s">
        <v>3049</v>
      </c>
    </row>
    <row r="58" spans="2:2" x14ac:dyDescent="0.25">
      <c r="B58" s="314" t="s">
        <v>3051</v>
      </c>
    </row>
    <row r="59" spans="2:2" x14ac:dyDescent="0.25">
      <c r="B59" s="314" t="s">
        <v>3053</v>
      </c>
    </row>
    <row r="60" spans="2:2" x14ac:dyDescent="0.25">
      <c r="B60" s="314" t="s">
        <v>3057</v>
      </c>
    </row>
    <row r="61" spans="2:2" x14ac:dyDescent="0.25">
      <c r="B61" s="314" t="s">
        <v>3068</v>
      </c>
    </row>
    <row r="62" spans="2:2" x14ac:dyDescent="0.25">
      <c r="B62" s="314" t="s">
        <v>3071</v>
      </c>
    </row>
    <row r="63" spans="2:2" x14ac:dyDescent="0.25">
      <c r="B63" s="284"/>
    </row>
    <row r="64" spans="2:2" x14ac:dyDescent="0.25">
      <c r="B64" s="285"/>
    </row>
    <row r="65" spans="2:2" x14ac:dyDescent="0.25">
      <c r="B65" s="284"/>
    </row>
    <row r="66" spans="2:2" x14ac:dyDescent="0.25">
      <c r="B66" s="285"/>
    </row>
    <row r="67" spans="2:2" x14ac:dyDescent="0.25">
      <c r="B67" s="284"/>
    </row>
    <row r="68" spans="2:2" x14ac:dyDescent="0.25">
      <c r="B68" s="285"/>
    </row>
    <row r="69" spans="2:2" x14ac:dyDescent="0.25">
      <c r="B69" s="284"/>
    </row>
    <row r="70" spans="2:2" x14ac:dyDescent="0.25">
      <c r="B70" s="285"/>
    </row>
    <row r="71" spans="2:2" x14ac:dyDescent="0.25">
      <c r="B71" s="284"/>
    </row>
    <row r="72" spans="2:2" x14ac:dyDescent="0.25">
      <c r="B72" s="285"/>
    </row>
    <row r="73" spans="2:2" x14ac:dyDescent="0.25">
      <c r="B73" s="284"/>
    </row>
    <row r="74" spans="2:2" x14ac:dyDescent="0.25">
      <c r="B74" s="285"/>
    </row>
    <row r="75" spans="2:2" x14ac:dyDescent="0.25">
      <c r="B75" s="284"/>
    </row>
    <row r="76" spans="2:2" x14ac:dyDescent="0.25">
      <c r="B76" s="285"/>
    </row>
    <row r="77" spans="2:2" x14ac:dyDescent="0.25">
      <c r="B77" s="284"/>
    </row>
    <row r="78" spans="2:2" x14ac:dyDescent="0.25">
      <c r="B78" s="285"/>
    </row>
    <row r="79" spans="2:2" x14ac:dyDescent="0.25">
      <c r="B79" s="284"/>
    </row>
    <row r="80" spans="2:2" x14ac:dyDescent="0.25">
      <c r="B80" s="285"/>
    </row>
    <row r="81" spans="2:2" x14ac:dyDescent="0.25">
      <c r="B81" s="284"/>
    </row>
    <row r="82" spans="2:2" x14ac:dyDescent="0.25">
      <c r="B82" s="285"/>
    </row>
    <row r="83" spans="2:2" x14ac:dyDescent="0.25">
      <c r="B83" s="284"/>
    </row>
    <row r="84" spans="2:2" x14ac:dyDescent="0.25">
      <c r="B84" s="285"/>
    </row>
    <row r="85" spans="2:2" x14ac:dyDescent="0.25">
      <c r="B85" s="284"/>
    </row>
    <row r="86" spans="2:2" x14ac:dyDescent="0.25">
      <c r="B86" s="285"/>
    </row>
    <row r="87" spans="2:2" x14ac:dyDescent="0.25">
      <c r="B87" s="284"/>
    </row>
    <row r="88" spans="2:2" x14ac:dyDescent="0.25">
      <c r="B88" s="285"/>
    </row>
    <row r="89" spans="2:2" x14ac:dyDescent="0.25">
      <c r="B89" s="284"/>
    </row>
    <row r="90" spans="2:2" x14ac:dyDescent="0.25">
      <c r="B90" s="285"/>
    </row>
    <row r="91" spans="2:2" x14ac:dyDescent="0.25">
      <c r="B91" s="284"/>
    </row>
    <row r="92" spans="2:2" x14ac:dyDescent="0.25">
      <c r="B92" s="285"/>
    </row>
    <row r="93" spans="2:2" x14ac:dyDescent="0.25">
      <c r="B93" s="284"/>
    </row>
    <row r="94" spans="2:2" x14ac:dyDescent="0.25">
      <c r="B94" s="285"/>
    </row>
    <row r="95" spans="2:2" x14ac:dyDescent="0.25">
      <c r="B95" s="284"/>
    </row>
    <row r="96" spans="2:2" x14ac:dyDescent="0.25">
      <c r="B96" s="285"/>
    </row>
    <row r="97" spans="2:2" x14ac:dyDescent="0.25">
      <c r="B97" s="284"/>
    </row>
    <row r="98" spans="2:2" x14ac:dyDescent="0.25">
      <c r="B98" s="285"/>
    </row>
    <row r="99" spans="2:2" x14ac:dyDescent="0.25">
      <c r="B99" s="284"/>
    </row>
    <row r="100" spans="2:2" x14ac:dyDescent="0.25">
      <c r="B100" s="285"/>
    </row>
    <row r="101" spans="2:2" x14ac:dyDescent="0.25">
      <c r="B101" s="284"/>
    </row>
    <row r="102" spans="2:2" x14ac:dyDescent="0.25">
      <c r="B102" s="285"/>
    </row>
    <row r="103" spans="2:2" x14ac:dyDescent="0.25">
      <c r="B103" s="284"/>
    </row>
    <row r="104" spans="2:2" x14ac:dyDescent="0.25">
      <c r="B104" s="285"/>
    </row>
    <row r="105" spans="2:2" x14ac:dyDescent="0.25">
      <c r="B105" s="284"/>
    </row>
    <row r="106" spans="2:2" x14ac:dyDescent="0.25">
      <c r="B106" s="285"/>
    </row>
    <row r="107" spans="2:2" x14ac:dyDescent="0.25">
      <c r="B107" s="284"/>
    </row>
    <row r="108" spans="2:2" x14ac:dyDescent="0.25">
      <c r="B108" s="285"/>
    </row>
    <row r="109" spans="2:2" x14ac:dyDescent="0.25">
      <c r="B109" s="284"/>
    </row>
    <row r="110" spans="2:2" x14ac:dyDescent="0.25">
      <c r="B110" s="285"/>
    </row>
    <row r="111" spans="2:2" x14ac:dyDescent="0.25">
      <c r="B111" s="284"/>
    </row>
    <row r="112" spans="2:2" x14ac:dyDescent="0.25">
      <c r="B112" s="285"/>
    </row>
    <row r="113" spans="2:2" x14ac:dyDescent="0.25">
      <c r="B113" s="284"/>
    </row>
    <row r="114" spans="2:2" x14ac:dyDescent="0.25">
      <c r="B114" s="285"/>
    </row>
    <row r="115" spans="2:2" x14ac:dyDescent="0.25">
      <c r="B115" s="284"/>
    </row>
    <row r="116" spans="2:2" x14ac:dyDescent="0.25">
      <c r="B116" s="285"/>
    </row>
    <row r="117" spans="2:2" x14ac:dyDescent="0.25">
      <c r="B117" s="284"/>
    </row>
    <row r="118" spans="2:2" x14ac:dyDescent="0.25">
      <c r="B118" s="285"/>
    </row>
    <row r="119" spans="2:2" x14ac:dyDescent="0.25">
      <c r="B119" s="284"/>
    </row>
    <row r="120" spans="2:2" x14ac:dyDescent="0.25">
      <c r="B120" s="285"/>
    </row>
    <row r="121" spans="2:2" x14ac:dyDescent="0.25">
      <c r="B121" s="284"/>
    </row>
    <row r="122" spans="2:2" x14ac:dyDescent="0.25">
      <c r="B122" s="285"/>
    </row>
    <row r="123" spans="2:2" x14ac:dyDescent="0.25">
      <c r="B123" s="284"/>
    </row>
    <row r="124" spans="2:2" x14ac:dyDescent="0.25">
      <c r="B124" s="285"/>
    </row>
    <row r="125" spans="2:2" x14ac:dyDescent="0.25">
      <c r="B125" s="284"/>
    </row>
    <row r="126" spans="2:2" x14ac:dyDescent="0.25">
      <c r="B126" s="285"/>
    </row>
    <row r="127" spans="2:2" x14ac:dyDescent="0.25">
      <c r="B127" s="284"/>
    </row>
    <row r="128" spans="2:2" x14ac:dyDescent="0.25">
      <c r="B128" s="285"/>
    </row>
    <row r="129" spans="2:2" x14ac:dyDescent="0.25">
      <c r="B129" s="284"/>
    </row>
    <row r="130" spans="2:2" x14ac:dyDescent="0.25">
      <c r="B130" s="285"/>
    </row>
    <row r="131" spans="2:2" x14ac:dyDescent="0.25">
      <c r="B131" s="284"/>
    </row>
    <row r="132" spans="2:2" x14ac:dyDescent="0.25">
      <c r="B132" s="285"/>
    </row>
    <row r="133" spans="2:2" x14ac:dyDescent="0.25">
      <c r="B133" s="284"/>
    </row>
    <row r="134" spans="2:2" x14ac:dyDescent="0.25">
      <c r="B134" s="285"/>
    </row>
    <row r="135" spans="2:2" x14ac:dyDescent="0.25">
      <c r="B135" s="28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26370-9239-4166-B002-980A8D7909AC}">
  <sheetPr codeName="Sheet7"/>
  <dimension ref="C5:H35"/>
  <sheetViews>
    <sheetView workbookViewId="0">
      <selection activeCell="T18" sqref="T18"/>
    </sheetView>
  </sheetViews>
  <sheetFormatPr defaultRowHeight="15" x14ac:dyDescent="0.25"/>
  <cols>
    <col min="3" max="3" width="10.5703125" bestFit="1" customWidth="1"/>
    <col min="8" max="8" width="12.5703125" bestFit="1" customWidth="1"/>
  </cols>
  <sheetData>
    <row r="5" spans="3:8" x14ac:dyDescent="0.25">
      <c r="C5" s="6">
        <v>119.75</v>
      </c>
    </row>
    <row r="6" spans="3:8" x14ac:dyDescent="0.25">
      <c r="C6" s="6">
        <v>80.17</v>
      </c>
      <c r="H6" s="322" t="s">
        <v>3748</v>
      </c>
    </row>
    <row r="7" spans="3:8" x14ac:dyDescent="0.25">
      <c r="C7" s="6">
        <v>40.450000000000003</v>
      </c>
      <c r="H7" s="322" t="s">
        <v>3752</v>
      </c>
    </row>
    <row r="8" spans="3:8" x14ac:dyDescent="0.25">
      <c r="C8" s="6">
        <v>40.1</v>
      </c>
      <c r="H8" s="322" t="s">
        <v>3755</v>
      </c>
    </row>
    <row r="9" spans="3:8" x14ac:dyDescent="0.25">
      <c r="C9" s="6">
        <v>320.38</v>
      </c>
      <c r="H9" s="322" t="s">
        <v>3931</v>
      </c>
    </row>
    <row r="10" spans="3:8" x14ac:dyDescent="0.25">
      <c r="C10" s="6">
        <v>40.020000000000003</v>
      </c>
      <c r="H10" s="322" t="s">
        <v>3934</v>
      </c>
    </row>
    <row r="11" spans="3:8" x14ac:dyDescent="0.25">
      <c r="C11" s="6">
        <v>40</v>
      </c>
      <c r="H11" s="322" t="s">
        <v>3937</v>
      </c>
    </row>
    <row r="12" spans="3:8" x14ac:dyDescent="0.25">
      <c r="C12" s="6">
        <v>79.41</v>
      </c>
      <c r="H12" s="322" t="s">
        <v>3940</v>
      </c>
    </row>
    <row r="13" spans="3:8" x14ac:dyDescent="0.25">
      <c r="C13" s="6">
        <v>120.17</v>
      </c>
      <c r="H13" s="322" t="s">
        <v>3943</v>
      </c>
    </row>
    <row r="14" spans="3:8" x14ac:dyDescent="0.25">
      <c r="C14" s="6">
        <v>40.15</v>
      </c>
      <c r="H14" s="322" t="s">
        <v>3946</v>
      </c>
    </row>
    <row r="15" spans="3:8" x14ac:dyDescent="0.25">
      <c r="C15" s="6">
        <v>80.25</v>
      </c>
      <c r="H15" s="322" t="s">
        <v>3949</v>
      </c>
    </row>
    <row r="16" spans="3:8" x14ac:dyDescent="0.25">
      <c r="C16" s="6">
        <v>36.700000000000003</v>
      </c>
      <c r="H16" s="322" t="s">
        <v>3952</v>
      </c>
    </row>
    <row r="17" spans="3:8" x14ac:dyDescent="0.25">
      <c r="C17" s="6">
        <v>163.37</v>
      </c>
      <c r="H17" s="322" t="s">
        <v>3955</v>
      </c>
    </row>
    <row r="18" spans="3:8" x14ac:dyDescent="0.25">
      <c r="C18" s="435">
        <f>SUM(C5:C17)</f>
        <v>1200.92</v>
      </c>
      <c r="D18">
        <f>PRODUCT(C18,0.03)</f>
        <v>36.0276</v>
      </c>
      <c r="H18" s="322" t="s">
        <v>3958</v>
      </c>
    </row>
    <row r="19" spans="3:8" x14ac:dyDescent="0.25">
      <c r="H19" s="322" t="s">
        <v>3961</v>
      </c>
    </row>
    <row r="20" spans="3:8" x14ac:dyDescent="0.25">
      <c r="H20" s="322" t="s">
        <v>3964</v>
      </c>
    </row>
    <row r="21" spans="3:8" x14ac:dyDescent="0.25">
      <c r="H21" s="322" t="s">
        <v>3967</v>
      </c>
    </row>
    <row r="22" spans="3:8" x14ac:dyDescent="0.25">
      <c r="H22" s="322" t="s">
        <v>3970</v>
      </c>
    </row>
    <row r="23" spans="3:8" x14ac:dyDescent="0.25">
      <c r="H23" s="322" t="s">
        <v>3973</v>
      </c>
    </row>
    <row r="24" spans="3:8" x14ac:dyDescent="0.25">
      <c r="H24" s="322" t="s">
        <v>3976</v>
      </c>
    </row>
    <row r="25" spans="3:8" x14ac:dyDescent="0.25">
      <c r="H25" s="322" t="s">
        <v>3979</v>
      </c>
    </row>
    <row r="26" spans="3:8" x14ac:dyDescent="0.25">
      <c r="H26" s="322" t="s">
        <v>3982</v>
      </c>
    </row>
    <row r="27" spans="3:8" x14ac:dyDescent="0.25">
      <c r="H27" s="322" t="s">
        <v>3985</v>
      </c>
    </row>
    <row r="28" spans="3:8" x14ac:dyDescent="0.25">
      <c r="H28" s="322" t="s">
        <v>3988</v>
      </c>
    </row>
    <row r="29" spans="3:8" x14ac:dyDescent="0.25">
      <c r="H29" s="322" t="s">
        <v>3991</v>
      </c>
    </row>
    <row r="30" spans="3:8" x14ac:dyDescent="0.25">
      <c r="H30" s="322" t="s">
        <v>3994</v>
      </c>
    </row>
    <row r="31" spans="3:8" x14ac:dyDescent="0.25">
      <c r="H31" s="322" t="s">
        <v>4612</v>
      </c>
    </row>
    <row r="32" spans="3:8" x14ac:dyDescent="0.25">
      <c r="H32" s="322" t="s">
        <v>4615</v>
      </c>
    </row>
    <row r="33" spans="8:8" x14ac:dyDescent="0.25">
      <c r="H33" s="322" t="s">
        <v>4618</v>
      </c>
    </row>
    <row r="34" spans="8:8" x14ac:dyDescent="0.25">
      <c r="H34" s="322" t="s">
        <v>4621</v>
      </c>
    </row>
    <row r="35" spans="8:8" x14ac:dyDescent="0.25">
      <c r="H35" s="332" t="s">
        <v>5839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1</vt:i4>
      </vt:variant>
      <vt:variant>
        <vt:lpstr>Named Ranges</vt:lpstr>
      </vt:variant>
      <vt:variant>
        <vt:i4>3</vt:i4>
      </vt:variant>
    </vt:vector>
  </HeadingPairs>
  <TitlesOfParts>
    <vt:vector size="10" baseType="lpstr">
      <vt:lpstr>MASTER</vt:lpstr>
      <vt:lpstr>Summary Table</vt:lpstr>
      <vt:lpstr>GIS</vt:lpstr>
      <vt:lpstr>AMENDMENTS</vt:lpstr>
      <vt:lpstr>Filter List</vt:lpstr>
      <vt:lpstr>Sheet1</vt:lpstr>
      <vt:lpstr>Chart1</vt:lpstr>
      <vt:lpstr>FilterList</vt:lpstr>
      <vt:lpstr>GIS</vt:lpstr>
      <vt:lpstr>MASTER!Print_Titles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 Raj</dc:creator>
  <cp:lastModifiedBy>Mishaun Bhakta</cp:lastModifiedBy>
  <cp:lastPrinted>2015-05-20T15:09:35Z</cp:lastPrinted>
  <dcterms:created xsi:type="dcterms:W3CDTF">2014-08-02T18:36:14Z</dcterms:created>
  <dcterms:modified xsi:type="dcterms:W3CDTF">2020-01-20T16:02:00Z</dcterms:modified>
</cp:coreProperties>
</file>