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llyfish1118/Desktop/"/>
    </mc:Choice>
  </mc:AlternateContent>
  <xr:revisionPtr revIDLastSave="0" documentId="8_{50664337-29B6-B742-8E6E-0356BF7D3EEF}" xr6:coauthVersionLast="47" xr6:coauthVersionMax="47" xr10:uidLastSave="{00000000-0000-0000-0000-000000000000}"/>
  <bookViews>
    <workbookView xWindow="32640" yWindow="620" windowWidth="27640" windowHeight="16440" xr2:uid="{5DACFB03-5850-6B4F-A70C-472AE9EDE863}"/>
  </bookViews>
  <sheets>
    <sheet name="Sheet1" sheetId="1" r:id="rId1"/>
    <sheet name="nucle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Q26" i="1" s="1"/>
  <c r="J26" i="1"/>
  <c r="P26" i="1"/>
  <c r="O26" i="1"/>
  <c r="R26" i="1"/>
  <c r="S26" i="1" s="1"/>
  <c r="V26" i="1"/>
  <c r="U26" i="1"/>
  <c r="P5" i="1"/>
  <c r="V14" i="1"/>
  <c r="Q21" i="1"/>
  <c r="Q14" i="1"/>
  <c r="P14" i="1"/>
  <c r="O14" i="1"/>
  <c r="O5" i="1"/>
  <c r="L11" i="1"/>
  <c r="K13" i="1"/>
  <c r="B18" i="2"/>
  <c r="I25" i="1"/>
  <c r="I24" i="1"/>
  <c r="I23" i="1"/>
  <c r="I20" i="1"/>
  <c r="I19" i="1"/>
  <c r="K19" i="1" s="1"/>
  <c r="I18" i="1"/>
  <c r="K18" i="1" s="1"/>
  <c r="I17" i="1"/>
  <c r="I16" i="1"/>
  <c r="K16" i="1" s="1"/>
  <c r="M16" i="1" s="1"/>
  <c r="I13" i="1"/>
  <c r="I12" i="1"/>
  <c r="I11" i="1"/>
  <c r="K25" i="1"/>
  <c r="F25" i="1"/>
  <c r="K24" i="1"/>
  <c r="F24" i="1"/>
  <c r="K23" i="1"/>
  <c r="F23" i="1"/>
  <c r="J21" i="1"/>
  <c r="G21" i="1"/>
  <c r="K20" i="1"/>
  <c r="F20" i="1"/>
  <c r="F19" i="1"/>
  <c r="F18" i="1"/>
  <c r="K17" i="1"/>
  <c r="F17" i="1"/>
  <c r="F16" i="1"/>
  <c r="J14" i="1"/>
  <c r="G14" i="1"/>
  <c r="F13" i="1"/>
  <c r="K12" i="1"/>
  <c r="F12" i="1"/>
  <c r="K11" i="1"/>
  <c r="F11" i="1"/>
  <c r="J5" i="1"/>
  <c r="G5" i="1"/>
  <c r="W26" i="1" l="1"/>
  <c r="T26" i="1"/>
  <c r="Q23" i="1"/>
  <c r="M18" i="1"/>
  <c r="N18" i="1" s="1"/>
  <c r="M13" i="1"/>
  <c r="N13" i="1" s="1"/>
  <c r="M19" i="1"/>
  <c r="N19" i="1" s="1"/>
  <c r="M24" i="1"/>
  <c r="T24" i="1" s="1"/>
  <c r="M20" i="1"/>
  <c r="T20" i="1" s="1"/>
  <c r="Q24" i="1"/>
  <c r="M12" i="1"/>
  <c r="N12" i="1" s="1"/>
  <c r="M17" i="1"/>
  <c r="N17" i="1" s="1"/>
  <c r="M23" i="1"/>
  <c r="T23" i="1" s="1"/>
  <c r="L13" i="1"/>
  <c r="Q17" i="1"/>
  <c r="Q19" i="1"/>
  <c r="M25" i="1"/>
  <c r="Q20" i="1"/>
  <c r="Q18" i="1"/>
  <c r="M11" i="1"/>
  <c r="Q25" i="1"/>
  <c r="L12" i="1"/>
  <c r="Q16" i="1"/>
  <c r="T19" i="1"/>
  <c r="T18" i="1"/>
  <c r="T13" i="1"/>
  <c r="T16" i="1"/>
  <c r="N16" i="1"/>
  <c r="Q11" i="1"/>
  <c r="Q12" i="1"/>
  <c r="Q13" i="1"/>
  <c r="L16" i="1"/>
  <c r="L17" i="1"/>
  <c r="L18" i="1"/>
  <c r="L19" i="1"/>
  <c r="L20" i="1"/>
  <c r="L23" i="1"/>
  <c r="L24" i="1"/>
  <c r="L25" i="1"/>
  <c r="T17" i="1" l="1"/>
  <c r="T12" i="1"/>
  <c r="R21" i="1"/>
  <c r="S21" i="1" s="1"/>
  <c r="N24" i="1"/>
  <c r="N23" i="1"/>
  <c r="P21" i="1"/>
  <c r="T11" i="1"/>
  <c r="U14" i="1" s="1"/>
  <c r="N20" i="1"/>
  <c r="U21" i="1"/>
  <c r="V21" i="1" s="1"/>
  <c r="N11" i="1"/>
  <c r="O21" i="1"/>
  <c r="T21" i="1" s="1"/>
  <c r="N25" i="1"/>
  <c r="T25" i="1"/>
  <c r="R14" i="1"/>
  <c r="S14" i="1" s="1"/>
  <c r="W21" i="1" l="1"/>
  <c r="T14" i="1"/>
  <c r="W14" i="1"/>
</calcChain>
</file>

<file path=xl/sharedStrings.xml><?xml version="1.0" encoding="utf-8"?>
<sst xmlns="http://schemas.openxmlformats.org/spreadsheetml/2006/main" count="80" uniqueCount="55">
  <si>
    <t>Months</t>
  </si>
  <si>
    <t>area(um^2)</t>
  </si>
  <si>
    <t>Total Avg Cones</t>
  </si>
  <si>
    <t>Std Dev</t>
  </si>
  <si>
    <t>Nuclei/um</t>
  </si>
  <si>
    <t xml:space="preserve">% cones </t>
  </si>
  <si>
    <t># rods</t>
  </si>
  <si>
    <t>% rods</t>
  </si>
  <si>
    <t>Total Avg rods</t>
  </si>
  <si>
    <t>St Dev rod</t>
  </si>
  <si>
    <t>% of WT cones</t>
  </si>
  <si>
    <t>St Dev Cones %</t>
  </si>
  <si>
    <t>SEM Con %</t>
  </si>
  <si>
    <t>% of WT rods</t>
  </si>
  <si>
    <t>St Dev Rod %</t>
  </si>
  <si>
    <t>SEM Rod %</t>
  </si>
  <si>
    <t>% of WT PRs</t>
  </si>
  <si>
    <t>1249192R2RE_WT_60xz_ms2048</t>
  </si>
  <si>
    <t>WT</t>
  </si>
  <si>
    <t>2020-12-16-0_WT_RE_60xz004</t>
  </si>
  <si>
    <t>AVG</t>
  </si>
  <si>
    <t>1274991L2LE_1M_60xz_2024</t>
  </si>
  <si>
    <t>1M</t>
  </si>
  <si>
    <t>1274991L2LE_1M_60xz001</t>
  </si>
  <si>
    <t>20190314_contra_cng_3m_20191115_60x_5007</t>
  </si>
  <si>
    <t>3M</t>
  </si>
  <si>
    <t>0190314_contra_cng_3m_20191115_60x_Z065</t>
  </si>
  <si>
    <t>2021-01-07-0_3M_RE_60xz002</t>
  </si>
  <si>
    <t>Avg</t>
  </si>
  <si>
    <t>1257838_NP_RE_5M_CNG_K_20191018_60x_Z038</t>
  </si>
  <si>
    <t>5M</t>
  </si>
  <si>
    <t>1257838_np_re_5m_cng_20191018_60x_5003</t>
  </si>
  <si>
    <t>1257838_np_re_5m_cng_20191018_60x_5004</t>
  </si>
  <si>
    <t>1257838_np_re_5m_cng_20191018_60x_5010</t>
  </si>
  <si>
    <t>1257838_NP_RE_5M_CNG_KO_20191018_60x_Z034</t>
  </si>
  <si>
    <t>2020-05-19-0_7M_60xz_2041</t>
  </si>
  <si>
    <t>7M</t>
  </si>
  <si>
    <t>2020-05-19-0_7M_60xz006</t>
  </si>
  <si>
    <t>2020-12-17-0_7M_RE_60xz007</t>
  </si>
  <si>
    <t>File</t>
  </si>
  <si>
    <t>Cone body count</t>
  </si>
  <si>
    <t>Cone outer segment count</t>
  </si>
  <si>
    <t>Cone Fiber count</t>
  </si>
  <si>
    <t>Average cone count</t>
  </si>
  <si>
    <t>Length of outer nuclear layer</t>
  </si>
  <si>
    <t>1249192R2RE_WT_60xz_ms2048_slide3</t>
  </si>
  <si>
    <t>Standards</t>
  </si>
  <si>
    <t>Width of image = 210</t>
  </si>
  <si>
    <t>STD_1249192R2RE_WT_20xz_ms.nd2 - C=0</t>
  </si>
  <si>
    <t>STD_1249192R2RE_WT_60xz_ms2048.nd2 - C=0</t>
  </si>
  <si>
    <t>STD_1249152_R2_RE_20191007_60x_5011_large.nd2 - C=0</t>
  </si>
  <si>
    <t>STD_2021-01-22_Abtest1_60xzDAPI.tif</t>
  </si>
  <si>
    <t>File Name</t>
  </si>
  <si>
    <t>diameter of nuclei</t>
  </si>
  <si>
    <t>Nuclei area = 9.68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</si>
</sst>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B05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9C70-B865-444B-ACB0-5A26D52D7947}">
  <dimension ref="A1:AH31"/>
  <sheetViews>
    <sheetView tabSelected="1" workbookViewId="0">
      <selection activeCell="G27" sqref="G27"/>
    </sheetView>
  </sheetViews>
  <sheetFormatPr baseColWidth="10" defaultRowHeight="16" x14ac:dyDescent="0.2"/>
  <cols>
    <col min="1" max="1" width="29.83203125" customWidth="1"/>
    <col min="6" max="6" width="17" customWidth="1"/>
    <col min="8" max="8" width="25" customWidth="1"/>
  </cols>
  <sheetData>
    <row r="1" spans="1:34" s="3" customFormat="1" x14ac:dyDescent="0.2">
      <c r="A1" s="1" t="s">
        <v>39</v>
      </c>
      <c r="B1" s="2" t="s">
        <v>0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2</v>
      </c>
      <c r="H1" s="1" t="s">
        <v>44</v>
      </c>
      <c r="I1" s="3" t="s">
        <v>1</v>
      </c>
      <c r="J1" s="1" t="s">
        <v>3</v>
      </c>
      <c r="K1" s="4" t="s">
        <v>4</v>
      </c>
      <c r="L1" s="1" t="s">
        <v>5</v>
      </c>
      <c r="M1" s="1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5" t="s">
        <v>17</v>
      </c>
      <c r="B2" s="6" t="s">
        <v>18</v>
      </c>
      <c r="C2">
        <v>40</v>
      </c>
      <c r="D2">
        <v>46</v>
      </c>
      <c r="E2">
        <v>40</v>
      </c>
      <c r="F2">
        <v>42</v>
      </c>
      <c r="H2">
        <v>84</v>
      </c>
      <c r="I2">
        <v>17640</v>
      </c>
      <c r="K2" s="5">
        <v>1822.3140495867769</v>
      </c>
      <c r="L2" s="5">
        <v>2.3047619047619046</v>
      </c>
      <c r="M2">
        <v>1780.3140495867769</v>
      </c>
      <c r="N2">
        <v>97.695238095238096</v>
      </c>
    </row>
    <row r="3" spans="1:34" x14ac:dyDescent="0.2">
      <c r="A3" s="5" t="s">
        <v>19</v>
      </c>
      <c r="B3" s="6" t="s">
        <v>18</v>
      </c>
      <c r="C3">
        <v>41</v>
      </c>
      <c r="D3">
        <v>45</v>
      </c>
      <c r="E3">
        <v>45</v>
      </c>
      <c r="F3">
        <v>43.666666666666664</v>
      </c>
      <c r="H3">
        <v>54.882137331000003</v>
      </c>
      <c r="I3">
        <v>11525.248839510001</v>
      </c>
      <c r="K3">
        <v>1190.6248801146696</v>
      </c>
      <c r="L3">
        <v>3.6675419265941351</v>
      </c>
      <c r="M3">
        <v>1146.9582134480029</v>
      </c>
      <c r="N3">
        <v>96.33245807340586</v>
      </c>
    </row>
    <row r="4" spans="1:34" x14ac:dyDescent="0.2">
      <c r="A4" s="5" t="s">
        <v>45</v>
      </c>
      <c r="B4" s="6" t="s">
        <v>18</v>
      </c>
      <c r="C4">
        <v>41</v>
      </c>
      <c r="D4">
        <v>46</v>
      </c>
      <c r="E4">
        <v>39</v>
      </c>
      <c r="F4">
        <v>42</v>
      </c>
      <c r="H4">
        <v>84.334717503999997</v>
      </c>
      <c r="I4">
        <v>17710.290675839999</v>
      </c>
      <c r="K4">
        <v>1829.5754830413223</v>
      </c>
      <c r="L4">
        <v>2.295614495783632</v>
      </c>
      <c r="M4">
        <v>1787.5754830413223</v>
      </c>
      <c r="N4">
        <v>97.704385504216376</v>
      </c>
    </row>
    <row r="5" spans="1:34" s="3" customFormat="1" ht="13" x14ac:dyDescent="0.15">
      <c r="A5" s="3" t="s">
        <v>20</v>
      </c>
      <c r="B5" s="7"/>
      <c r="G5" s="3">
        <f>AVERAGE(C1:E4)</f>
        <v>42.555555555555557</v>
      </c>
      <c r="J5" s="3">
        <f>STDEV(C1:E3)</f>
        <v>2.7868739954771309</v>
      </c>
      <c r="O5" s="3">
        <f>AVERAGE(M2,M3,M4)</f>
        <v>1571.6159153587007</v>
      </c>
      <c r="P5" s="3">
        <f>STDEV(M2,M3,M4)</f>
        <v>367.7822792740422</v>
      </c>
    </row>
    <row r="7" spans="1:34" x14ac:dyDescent="0.2">
      <c r="A7" s="5" t="s">
        <v>21</v>
      </c>
      <c r="B7" s="6" t="s">
        <v>22</v>
      </c>
      <c r="C7">
        <v>36</v>
      </c>
      <c r="D7">
        <v>37</v>
      </c>
      <c r="E7">
        <v>45</v>
      </c>
      <c r="F7">
        <v>39.333333333333336</v>
      </c>
      <c r="H7">
        <v>54.621000000000002</v>
      </c>
      <c r="I7" s="5">
        <v>11470.41</v>
      </c>
      <c r="K7">
        <v>1184.9597107438017</v>
      </c>
      <c r="L7">
        <v>3.3193814926115692</v>
      </c>
      <c r="M7">
        <v>1145.6263774104684</v>
      </c>
      <c r="N7">
        <v>96.680618507388445</v>
      </c>
      <c r="Q7">
        <v>104.65631929046563</v>
      </c>
      <c r="T7">
        <v>73.331469937768702</v>
      </c>
    </row>
    <row r="8" spans="1:34" x14ac:dyDescent="0.2">
      <c r="A8" t="s">
        <v>23</v>
      </c>
      <c r="B8" s="6" t="s">
        <v>22</v>
      </c>
      <c r="C8">
        <v>38</v>
      </c>
      <c r="D8">
        <v>46</v>
      </c>
      <c r="E8">
        <v>47</v>
      </c>
      <c r="F8">
        <v>43.666666666666664</v>
      </c>
      <c r="H8">
        <v>57.164034415000003</v>
      </c>
      <c r="I8">
        <v>12004.447228200001</v>
      </c>
      <c r="K8">
        <v>1240.1288458884299</v>
      </c>
      <c r="L8">
        <v>3.5211395018703731</v>
      </c>
      <c r="M8">
        <v>1196.4621792217631</v>
      </c>
      <c r="N8">
        <v>96.47886049812962</v>
      </c>
      <c r="Q8">
        <v>116.1862527716186</v>
      </c>
      <c r="T8">
        <v>76.585466306736436</v>
      </c>
    </row>
    <row r="9" spans="1:34" s="3" customFormat="1" ht="13" x14ac:dyDescent="0.15">
      <c r="A9" s="3" t="s">
        <v>20</v>
      </c>
      <c r="B9" s="7"/>
      <c r="G9" s="3">
        <v>41.5</v>
      </c>
      <c r="J9" s="3">
        <v>5.0099900199501395</v>
      </c>
      <c r="O9" s="3">
        <v>1171.04427831612</v>
      </c>
      <c r="P9" s="3">
        <v>35.946340187821797</v>
      </c>
      <c r="Q9" s="3">
        <v>110.421286031042</v>
      </c>
      <c r="R9" s="3">
        <v>8.1528941511530775</v>
      </c>
      <c r="S9" s="3">
        <v>5.7649667405764822</v>
      </c>
      <c r="T9" s="3">
        <v>74.958468122252569</v>
      </c>
      <c r="U9" s="3">
        <v>2.3009228984534871</v>
      </c>
      <c r="V9" s="3">
        <v>1.6269981844838699</v>
      </c>
      <c r="W9" s="3">
        <v>75.791557822027755</v>
      </c>
    </row>
    <row r="11" spans="1:34" x14ac:dyDescent="0.2">
      <c r="A11" s="5" t="s">
        <v>24</v>
      </c>
      <c r="B11" s="6" t="s">
        <v>25</v>
      </c>
      <c r="C11">
        <v>41</v>
      </c>
      <c r="D11">
        <v>44</v>
      </c>
      <c r="E11">
        <v>50</v>
      </c>
      <c r="F11">
        <f>AVERAGE(C11:E11)</f>
        <v>45</v>
      </c>
      <c r="H11">
        <v>29.298339810000002</v>
      </c>
      <c r="I11" s="5">
        <f>210*29.29833981</f>
        <v>6152.6513601000006</v>
      </c>
      <c r="K11">
        <f>I11/9.68</f>
        <v>635.60447934917363</v>
      </c>
      <c r="L11">
        <f>(F11/K11)*100</f>
        <v>7.0798745858552934</v>
      </c>
      <c r="M11">
        <f>K11-F11</f>
        <v>590.60447934917363</v>
      </c>
      <c r="N11">
        <f>(M11/K11)*100</f>
        <v>92.920125414144707</v>
      </c>
      <c r="Q11">
        <f>(F11/G5)*100</f>
        <v>105.74412532637076</v>
      </c>
      <c r="T11">
        <f>(M11/O5)*100</f>
        <v>37.579441234811874</v>
      </c>
    </row>
    <row r="12" spans="1:34" x14ac:dyDescent="0.2">
      <c r="A12" s="5" t="s">
        <v>26</v>
      </c>
      <c r="B12" s="6" t="s">
        <v>25</v>
      </c>
      <c r="C12">
        <v>29</v>
      </c>
      <c r="D12">
        <v>26</v>
      </c>
      <c r="E12">
        <v>38</v>
      </c>
      <c r="F12">
        <f>AVERAGE(C12:E12)</f>
        <v>31</v>
      </c>
      <c r="H12">
        <v>25.392972400000001</v>
      </c>
      <c r="I12">
        <f>210*25.3929724</f>
        <v>5332.5242040000003</v>
      </c>
      <c r="K12">
        <f>I12/9.68</f>
        <v>550.88059958677695</v>
      </c>
      <c r="L12">
        <f>(F12/K12)*100</f>
        <v>5.6273537356831085</v>
      </c>
      <c r="M12">
        <f>K12-F12</f>
        <v>519.88059958677695</v>
      </c>
      <c r="N12">
        <f>(M12/K12)*100</f>
        <v>94.372646264316899</v>
      </c>
      <c r="Q12">
        <f>(F12/G5)*100</f>
        <v>72.845953002610969</v>
      </c>
      <c r="T12">
        <f>(M12/O5)*100</f>
        <v>33.079367198194923</v>
      </c>
    </row>
    <row r="13" spans="1:34" x14ac:dyDescent="0.2">
      <c r="A13" s="5" t="s">
        <v>27</v>
      </c>
      <c r="B13" s="6" t="s">
        <v>25</v>
      </c>
      <c r="C13">
        <v>42</v>
      </c>
      <c r="D13">
        <v>45</v>
      </c>
      <c r="E13">
        <v>47</v>
      </c>
      <c r="F13">
        <f>AVERAGE(C13:E13)</f>
        <v>44.666666666666664</v>
      </c>
      <c r="H13">
        <v>25.57700488</v>
      </c>
      <c r="I13">
        <f>210*25.57700488</f>
        <v>5371.1710247999999</v>
      </c>
      <c r="K13">
        <f>I13/9.68</f>
        <v>554.87303975206612</v>
      </c>
      <c r="L13">
        <f>(F13/K13)*100</f>
        <v>8.0498895182626047</v>
      </c>
      <c r="M13">
        <f>K13-F13</f>
        <v>510.20637308539943</v>
      </c>
      <c r="N13">
        <f>(M13/K13)*100</f>
        <v>91.950110481737397</v>
      </c>
      <c r="Q13">
        <f>(F13/G5)*100</f>
        <v>104.96083550913838</v>
      </c>
      <c r="T13">
        <f>(M13/O5)*100</f>
        <v>32.46380798892276</v>
      </c>
    </row>
    <row r="14" spans="1:34" s="3" customFormat="1" ht="13" x14ac:dyDescent="0.15">
      <c r="A14" s="3" t="s">
        <v>28</v>
      </c>
      <c r="B14" s="7"/>
      <c r="G14" s="3">
        <f>AVERAGE(C11:E13)</f>
        <v>40.222222222222221</v>
      </c>
      <c r="J14" s="3">
        <f>STDEV(C11:E13)</f>
        <v>8.0277297191948573</v>
      </c>
      <c r="O14" s="3">
        <f>AVERAGE(M11:M13)</f>
        <v>540.23048400711673</v>
      </c>
      <c r="P14" s="3">
        <f>STDEV(M11:M13)</f>
        <v>43.892507556998503</v>
      </c>
      <c r="Q14" s="3">
        <f>(G14/G5)*100</f>
        <v>94.516971279373365</v>
      </c>
      <c r="R14" s="3">
        <f>STDEV(Q11:Q13)</f>
        <v>18.771738347800262</v>
      </c>
      <c r="S14" s="3">
        <f>R14/SQRT(COUNT(Q11:Q13))</f>
        <v>10.837868188259703</v>
      </c>
      <c r="T14" s="3">
        <f>(O14/O5)*100</f>
        <v>34.374205473976524</v>
      </c>
      <c r="U14" s="3">
        <f>STDEV(T11:T13)</f>
        <v>2.7928266141909508</v>
      </c>
      <c r="V14" s="3">
        <f>U14/SQRT(COUNT(T11:T13))</f>
        <v>1.6124391975030967</v>
      </c>
      <c r="W14" s="3">
        <f>((G14+O14)/(G5+O5))*100</f>
        <v>35.959792171309665</v>
      </c>
    </row>
    <row r="15" spans="1:34" s="3" customFormat="1" ht="13" x14ac:dyDescent="0.15">
      <c r="B15" s="7"/>
    </row>
    <row r="16" spans="1:34" x14ac:dyDescent="0.2">
      <c r="A16" s="5" t="s">
        <v>29</v>
      </c>
      <c r="B16" s="6" t="s">
        <v>30</v>
      </c>
      <c r="C16">
        <v>26</v>
      </c>
      <c r="D16">
        <v>34</v>
      </c>
      <c r="E16">
        <v>31</v>
      </c>
      <c r="F16">
        <f>AVERAGE(C16:E16)</f>
        <v>30.333333333333332</v>
      </c>
      <c r="H16">
        <v>24.421190370000001</v>
      </c>
      <c r="I16" s="5">
        <f>210*24.42119037</f>
        <v>5128.4499777000001</v>
      </c>
      <c r="K16">
        <f>I16/9.68</f>
        <v>529.79855141528924</v>
      </c>
      <c r="L16">
        <f>(F16/K16)*100</f>
        <v>5.7254466348202921</v>
      </c>
      <c r="M16">
        <f>K16-F16</f>
        <v>499.46521808195592</v>
      </c>
      <c r="N16">
        <f>(M16/K16)*100</f>
        <v>94.274553365179713</v>
      </c>
      <c r="Q16">
        <f>(F16/G5)*100</f>
        <v>71.27937336814621</v>
      </c>
      <c r="T16">
        <f>(M16/O5)*100</f>
        <v>31.780361422972707</v>
      </c>
    </row>
    <row r="17" spans="1:23" x14ac:dyDescent="0.2">
      <c r="A17" t="s">
        <v>31</v>
      </c>
      <c r="B17" s="6" t="s">
        <v>30</v>
      </c>
      <c r="C17">
        <v>44</v>
      </c>
      <c r="D17">
        <v>45</v>
      </c>
      <c r="E17">
        <v>44</v>
      </c>
      <c r="F17">
        <f>AVERAGE(C17:E17)</f>
        <v>44.333333333333336</v>
      </c>
      <c r="H17">
        <v>23.012504159999999</v>
      </c>
      <c r="I17">
        <f>210*23.01250416</f>
        <v>4832.6258736</v>
      </c>
      <c r="K17">
        <f>I17/9.68</f>
        <v>499.23821008264463</v>
      </c>
      <c r="L17">
        <f>(F17/K17)*100</f>
        <v>8.8801963547610523</v>
      </c>
      <c r="M17">
        <f>K17-F17</f>
        <v>454.90487674931131</v>
      </c>
      <c r="N17">
        <f>(M17/K17)*100</f>
        <v>91.119803645238946</v>
      </c>
      <c r="Q17">
        <f>(F17/G5)*100</f>
        <v>104.177545691906</v>
      </c>
      <c r="T17">
        <f>(M17/O5)*100</f>
        <v>28.945041361806602</v>
      </c>
    </row>
    <row r="18" spans="1:23" x14ac:dyDescent="0.2">
      <c r="A18" t="s">
        <v>32</v>
      </c>
      <c r="B18" s="6" t="s">
        <v>30</v>
      </c>
      <c r="C18">
        <v>34</v>
      </c>
      <c r="D18">
        <v>37</v>
      </c>
      <c r="E18">
        <v>41</v>
      </c>
      <c r="F18">
        <f>AVERAGE(C18:E18)</f>
        <v>37.333333333333336</v>
      </c>
      <c r="H18">
        <v>22.663783209999998</v>
      </c>
      <c r="I18">
        <f>210*22.66378321</f>
        <v>4759.3944740999996</v>
      </c>
      <c r="K18">
        <f>I18/9.68</f>
        <v>491.67298286157023</v>
      </c>
      <c r="L18">
        <f>(F18/K18)*100</f>
        <v>7.5931227939454375</v>
      </c>
      <c r="M18">
        <f>K18-F18</f>
        <v>454.33964952823692</v>
      </c>
      <c r="N18">
        <f>(M18/K18)*100</f>
        <v>92.406877206054574</v>
      </c>
      <c r="Q18">
        <f>(F18/G5)*100</f>
        <v>87.728459530026115</v>
      </c>
      <c r="T18">
        <f>(M18/O5)*100</f>
        <v>28.909076644501901</v>
      </c>
    </row>
    <row r="19" spans="1:23" x14ac:dyDescent="0.2">
      <c r="A19" t="s">
        <v>33</v>
      </c>
      <c r="B19" s="6"/>
      <c r="C19">
        <v>43</v>
      </c>
      <c r="D19">
        <v>42</v>
      </c>
      <c r="E19">
        <v>47</v>
      </c>
      <c r="F19">
        <f>AVERAGE(C19:E19)</f>
        <v>44</v>
      </c>
      <c r="H19">
        <v>20.30592592</v>
      </c>
      <c r="I19">
        <f>210*20.30592592</f>
        <v>4264.2444432000002</v>
      </c>
      <c r="K19">
        <f>I19/9.68</f>
        <v>440.52112016528929</v>
      </c>
      <c r="L19">
        <f>(F19/K19)*100</f>
        <v>9.9881703704672837</v>
      </c>
      <c r="M19">
        <f>K19-F19</f>
        <v>396.52112016528929</v>
      </c>
      <c r="N19">
        <f>(M19/K19)*100</f>
        <v>90.011829629532713</v>
      </c>
      <c r="Q19">
        <f>(F19/G5)*100</f>
        <v>103.39425587467363</v>
      </c>
      <c r="T19">
        <f>(M19/O5)*100</f>
        <v>25.23015428198871</v>
      </c>
    </row>
    <row r="20" spans="1:23" x14ac:dyDescent="0.2">
      <c r="A20" s="5" t="s">
        <v>34</v>
      </c>
      <c r="B20" s="6" t="s">
        <v>30</v>
      </c>
      <c r="C20">
        <v>24</v>
      </c>
      <c r="D20">
        <v>27</v>
      </c>
      <c r="E20">
        <v>22</v>
      </c>
      <c r="F20">
        <f>AVERAGE(C20:E20)</f>
        <v>24.333333333333332</v>
      </c>
      <c r="H20">
        <v>21.44937127</v>
      </c>
      <c r="I20">
        <f>210*21.44937127</f>
        <v>4504.3679666999997</v>
      </c>
      <c r="K20">
        <f>I20/9.68</f>
        <v>465.32726928719006</v>
      </c>
      <c r="L20">
        <f>(F20/K20)*100</f>
        <v>5.2292945071988282</v>
      </c>
      <c r="M20">
        <f>K20-F20</f>
        <v>440.99393595385675</v>
      </c>
      <c r="N20">
        <f>(M20/K20)*100</f>
        <v>94.77070549280117</v>
      </c>
      <c r="Q20">
        <f>(F20/G5)*100</f>
        <v>57.180156657963444</v>
      </c>
      <c r="T20">
        <f>(M20/O5)*100</f>
        <v>28.059905199751405</v>
      </c>
    </row>
    <row r="21" spans="1:23" s="3" customFormat="1" ht="13" x14ac:dyDescent="0.15">
      <c r="A21" s="3" t="s">
        <v>20</v>
      </c>
      <c r="B21" s="7"/>
      <c r="G21" s="3">
        <f>AVERAGE(C16:E20)</f>
        <v>36.06666666666667</v>
      </c>
      <c r="J21" s="3">
        <f>STDEV(C16:E20)</f>
        <v>8.4301047838485808</v>
      </c>
      <c r="O21" s="3">
        <f>AVERAGE(M16:M20)</f>
        <v>449.24496009573005</v>
      </c>
      <c r="P21" s="3">
        <f>STDEV(M16:M20)</f>
        <v>36.837302851670557</v>
      </c>
      <c r="Q21" s="3">
        <f>(G21/G5)*100</f>
        <v>84.751958224543088</v>
      </c>
      <c r="R21" s="3">
        <f>STDEV(Q16:Q20)</f>
        <v>20.466210289703316</v>
      </c>
      <c r="S21" s="3">
        <f>R21/SQRT(COUNT(Q16:Q20))</f>
        <v>9.1527674899164548</v>
      </c>
      <c r="T21" s="3">
        <f>(O21/O5)*100</f>
        <v>28.584907782204265</v>
      </c>
      <c r="U21" s="3">
        <f>STDEV(T16:T20)</f>
        <v>2.3439125610574463</v>
      </c>
      <c r="V21" s="3">
        <f>U21/SQRT(COUNT(T16:T20))</f>
        <v>1.0482295639680153</v>
      </c>
      <c r="W21" s="3">
        <f>((G21+O21)/(G5+O5))*100</f>
        <v>30.06567985540714</v>
      </c>
    </row>
    <row r="22" spans="1:23" s="3" customFormat="1" ht="13" x14ac:dyDescent="0.15">
      <c r="B22" s="7"/>
    </row>
    <row r="23" spans="1:23" x14ac:dyDescent="0.2">
      <c r="A23" t="s">
        <v>35</v>
      </c>
      <c r="B23" s="6" t="s">
        <v>36</v>
      </c>
      <c r="C23">
        <v>31</v>
      </c>
      <c r="F23">
        <f>AVERAGE(C23)</f>
        <v>31</v>
      </c>
      <c r="H23">
        <v>4.7213930419999999</v>
      </c>
      <c r="I23" s="5">
        <f>210*4.721393042</f>
        <v>991.49253881999994</v>
      </c>
      <c r="K23">
        <f>I23/9.68</f>
        <v>102.42691516735538</v>
      </c>
      <c r="L23">
        <f>(F23/K23)*100</f>
        <v>30.265482416754512</v>
      </c>
      <c r="M23">
        <f>K23-F23</f>
        <v>71.426915167355375</v>
      </c>
      <c r="N23">
        <f>(M23/K23)*100</f>
        <v>69.734517583245491</v>
      </c>
      <c r="Q23">
        <f>(F23/G5)*100</f>
        <v>72.845953002610969</v>
      </c>
      <c r="T23">
        <f>(M23/O5)*100</f>
        <v>4.5448073202448525</v>
      </c>
    </row>
    <row r="24" spans="1:23" x14ac:dyDescent="0.2">
      <c r="A24" t="s">
        <v>37</v>
      </c>
      <c r="B24" s="6" t="s">
        <v>36</v>
      </c>
      <c r="C24">
        <v>21</v>
      </c>
      <c r="F24">
        <f>C24</f>
        <v>21</v>
      </c>
      <c r="H24">
        <v>6.658169676</v>
      </c>
      <c r="I24" s="5">
        <f>210*6.658169676</f>
        <v>1398.2156319599999</v>
      </c>
      <c r="K24">
        <f>I24/9.68</f>
        <v>144.44376363223139</v>
      </c>
      <c r="L24">
        <f>(F24/K24)*100</f>
        <v>14.53853006313803</v>
      </c>
      <c r="M24">
        <f>K24-F24</f>
        <v>123.44376363223139</v>
      </c>
      <c r="N24">
        <f>(M24/K24)*100</f>
        <v>85.46146993686196</v>
      </c>
      <c r="Q24">
        <f>(F24/G5)*100</f>
        <v>49.347258485639685</v>
      </c>
      <c r="T24">
        <f>(M24/O5)*100</f>
        <v>7.8545758175308995</v>
      </c>
    </row>
    <row r="25" spans="1:23" x14ac:dyDescent="0.2">
      <c r="A25" s="5" t="s">
        <v>38</v>
      </c>
      <c r="B25" s="6"/>
      <c r="C25">
        <v>31</v>
      </c>
      <c r="F25">
        <f>C25</f>
        <v>31</v>
      </c>
      <c r="H25">
        <v>3.299293252</v>
      </c>
      <c r="I25" s="5">
        <f>210*3.299293252</f>
        <v>692.85158292000006</v>
      </c>
      <c r="K25">
        <f>I25/9.68</f>
        <v>71.575576747933894</v>
      </c>
      <c r="L25">
        <f>(F25/K25)*100</f>
        <v>43.310863018501415</v>
      </c>
      <c r="M25">
        <f>K25-F25</f>
        <v>40.575576747933894</v>
      </c>
      <c r="N25">
        <f>(M25/K25)*100</f>
        <v>56.689136981498578</v>
      </c>
      <c r="Q25">
        <f>(F25/G5)*100</f>
        <v>72.845953002610969</v>
      </c>
      <c r="T25">
        <f>(M25/O5)*100</f>
        <v>2.5817743604787209</v>
      </c>
    </row>
    <row r="26" spans="1:23" s="3" customFormat="1" ht="13" x14ac:dyDescent="0.15">
      <c r="A26" s="3" t="s">
        <v>28</v>
      </c>
      <c r="B26" s="7"/>
      <c r="G26" s="3">
        <f>AVERAGE(C23:C25)</f>
        <v>27.666666666666668</v>
      </c>
      <c r="J26" s="3">
        <f>STDEV(C23:C25)</f>
        <v>5.7735026918962511</v>
      </c>
      <c r="O26" s="3">
        <f>AVERAGE(M23:M25)</f>
        <v>78.482085182506879</v>
      </c>
      <c r="P26" s="3">
        <f>STDEV(M23:M25)</f>
        <v>41.882164071711188</v>
      </c>
      <c r="Q26" s="3">
        <f>(G26/G5)*100</f>
        <v>65.013054830287203</v>
      </c>
      <c r="R26" s="3">
        <f>STDEV(Q23:Q25)</f>
        <v>13.566977604978129</v>
      </c>
      <c r="S26" s="3">
        <f>R26/SQRT(COUNT(Q23:Q25))</f>
        <v>7.8328981723237474</v>
      </c>
      <c r="T26" s="3">
        <f>(O26/O5)*100</f>
        <v>4.9937191660848237</v>
      </c>
      <c r="U26" s="3">
        <f>STDEV(T23:T25)</f>
        <v>2.6649109150916255</v>
      </c>
      <c r="V26" s="3">
        <f>U26/SQRT(COUNT(T23:T25))</f>
        <v>1.538587034194522</v>
      </c>
      <c r="W26" s="3">
        <f>((G26+O26)/(G5+O5))*100</f>
        <v>6.5760517864345331</v>
      </c>
    </row>
    <row r="29" spans="1:23" x14ac:dyDescent="0.2">
      <c r="A29" s="8" t="s">
        <v>46</v>
      </c>
    </row>
    <row r="30" spans="1:23" x14ac:dyDescent="0.2">
      <c r="A30" t="s">
        <v>47</v>
      </c>
    </row>
    <row r="31" spans="1:23" x14ac:dyDescent="0.2">
      <c r="A3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4AE3-F6D7-FC4E-9826-8E2004E8DD0F}">
  <dimension ref="A1:B18"/>
  <sheetViews>
    <sheetView workbookViewId="0">
      <selection activeCell="E10" sqref="E10"/>
    </sheetView>
  </sheetViews>
  <sheetFormatPr baseColWidth="10" defaultRowHeight="16" x14ac:dyDescent="0.2"/>
  <cols>
    <col min="1" max="1" width="49.6640625" customWidth="1"/>
    <col min="2" max="2" width="14" customWidth="1"/>
  </cols>
  <sheetData>
    <row r="1" spans="1:2" s="8" customFormat="1" x14ac:dyDescent="0.2">
      <c r="A1" s="8" t="s">
        <v>52</v>
      </c>
      <c r="B1" s="8" t="s">
        <v>53</v>
      </c>
    </row>
    <row r="2" spans="1:2" x14ac:dyDescent="0.2">
      <c r="A2" t="s">
        <v>48</v>
      </c>
      <c r="B2">
        <v>3.699519827</v>
      </c>
    </row>
    <row r="3" spans="1:2" x14ac:dyDescent="0.2">
      <c r="A3" t="s">
        <v>48</v>
      </c>
      <c r="B3">
        <v>3.699519827</v>
      </c>
    </row>
    <row r="4" spans="1:2" x14ac:dyDescent="0.2">
      <c r="A4" t="s">
        <v>48</v>
      </c>
      <c r="B4">
        <v>4.1361889080000003</v>
      </c>
    </row>
    <row r="5" spans="1:2" x14ac:dyDescent="0.2">
      <c r="A5" t="s">
        <v>48</v>
      </c>
      <c r="B5">
        <v>3.5952870240000001</v>
      </c>
    </row>
    <row r="6" spans="1:2" x14ac:dyDescent="0.2">
      <c r="A6" t="s">
        <v>49</v>
      </c>
      <c r="B6">
        <v>4.4081771200000004</v>
      </c>
    </row>
    <row r="7" spans="1:2" x14ac:dyDescent="0.2">
      <c r="A7" t="s">
        <v>49</v>
      </c>
      <c r="B7">
        <v>2.9739427479999998</v>
      </c>
    </row>
    <row r="8" spans="1:2" x14ac:dyDescent="0.2">
      <c r="A8" t="s">
        <v>49</v>
      </c>
      <c r="B8">
        <v>3.6481535119999999</v>
      </c>
    </row>
    <row r="9" spans="1:2" x14ac:dyDescent="0.2">
      <c r="A9" t="s">
        <v>49</v>
      </c>
      <c r="B9">
        <v>3.3249690730000001</v>
      </c>
    </row>
    <row r="10" spans="1:2" x14ac:dyDescent="0.2">
      <c r="A10" t="s">
        <v>50</v>
      </c>
      <c r="B10">
        <v>2.6203921609999998</v>
      </c>
    </row>
    <row r="11" spans="1:2" x14ac:dyDescent="0.2">
      <c r="A11" t="s">
        <v>50</v>
      </c>
      <c r="B11">
        <v>2.8176832119999999</v>
      </c>
    </row>
    <row r="12" spans="1:2" x14ac:dyDescent="0.2">
      <c r="A12" t="s">
        <v>50</v>
      </c>
      <c r="B12">
        <v>3.0796576230000001</v>
      </c>
    </row>
    <row r="13" spans="1:2" x14ac:dyDescent="0.2">
      <c r="A13" t="s">
        <v>50</v>
      </c>
      <c r="B13">
        <v>5.5971601099999999</v>
      </c>
    </row>
    <row r="14" spans="1:2" x14ac:dyDescent="0.2">
      <c r="A14" t="s">
        <v>50</v>
      </c>
      <c r="B14">
        <v>2.34375</v>
      </c>
    </row>
    <row r="15" spans="1:2" x14ac:dyDescent="0.2">
      <c r="A15" t="s">
        <v>51</v>
      </c>
      <c r="B15">
        <v>3.2276320460000001</v>
      </c>
    </row>
    <row r="16" spans="1:2" x14ac:dyDescent="0.2">
      <c r="A16" t="s">
        <v>51</v>
      </c>
      <c r="B16">
        <v>3.4994292730000001</v>
      </c>
    </row>
    <row r="17" spans="1:2" x14ac:dyDescent="0.2">
      <c r="A17" t="s">
        <v>51</v>
      </c>
      <c r="B17">
        <v>4.7427344920000003</v>
      </c>
    </row>
    <row r="18" spans="1:2" x14ac:dyDescent="0.2">
      <c r="A18" s="8" t="s">
        <v>20</v>
      </c>
      <c r="B18">
        <f>AVERAGE(B2:B17)</f>
        <v>3.5883873097499999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nuclei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Scalabrino</dc:creator>
  <cp:lastModifiedBy>Miranda Scalabrino</cp:lastModifiedBy>
  <dcterms:created xsi:type="dcterms:W3CDTF">2022-06-06T12:40:35Z</dcterms:created>
  <dcterms:modified xsi:type="dcterms:W3CDTF">2022-06-06T13:14:35Z</dcterms:modified>
</cp:coreProperties>
</file>